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July 2025\31-07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3" i="1" l="1"/>
  <c r="I184" i="1"/>
  <c r="I185" i="1"/>
  <c r="I186" i="1"/>
  <c r="I181" i="1"/>
  <c r="I175" i="1" l="1"/>
  <c r="J183" i="1"/>
  <c r="K187" i="1"/>
  <c r="K185" i="1"/>
  <c r="I188" i="1" l="1"/>
  <c r="J78" i="1"/>
  <c r="J77" i="1"/>
  <c r="J76" i="1"/>
  <c r="J75" i="1"/>
  <c r="H68" i="1"/>
  <c r="D80" i="1" l="1"/>
  <c r="D78" i="1"/>
  <c r="D76" i="1"/>
  <c r="D74" i="1"/>
  <c r="J67" i="1"/>
  <c r="J69" i="1" s="1"/>
  <c r="J73" i="1"/>
  <c r="J71" i="1"/>
  <c r="J70" i="1"/>
  <c r="D79" i="1"/>
  <c r="D77" i="1"/>
  <c r="D75" i="1"/>
  <c r="D73" i="1"/>
  <c r="J72" i="1"/>
  <c r="C71" i="1" s="1"/>
  <c r="D71" i="1" s="1"/>
  <c r="N162" i="1"/>
  <c r="L165" i="1"/>
  <c r="L163" i="1"/>
  <c r="L164" i="1"/>
  <c r="L166" i="1"/>
  <c r="L162" i="1"/>
  <c r="K162" i="1"/>
  <c r="D167" i="1"/>
  <c r="D165" i="1"/>
  <c r="J165" i="1" s="1"/>
  <c r="D164" i="1"/>
  <c r="J164" i="1" s="1"/>
  <c r="D163" i="1"/>
  <c r="J163" i="1" s="1"/>
  <c r="D162" i="1"/>
  <c r="J74" i="1" l="1"/>
  <c r="J79" i="1" s="1"/>
  <c r="J80" i="1" s="1"/>
  <c r="C72" i="1" s="1"/>
  <c r="J68" i="1" s="1"/>
  <c r="G71" i="1" l="1"/>
  <c r="E71" i="1"/>
  <c r="D72" i="1"/>
  <c r="I68" i="1" s="1"/>
  <c r="I69" i="1" s="1"/>
  <c r="I167" i="1"/>
  <c r="I164" i="1"/>
  <c r="I67" i="1" l="1"/>
  <c r="C69" i="1" s="1"/>
  <c r="G144" i="1"/>
  <c r="G145" i="1"/>
  <c r="D188" i="1"/>
  <c r="L188" i="1" s="1"/>
  <c r="D187" i="1"/>
  <c r="L187" i="1" s="1"/>
  <c r="D186" i="1"/>
  <c r="L186" i="1" s="1"/>
  <c r="D185" i="1"/>
  <c r="L185" i="1" s="1"/>
  <c r="D184" i="1"/>
  <c r="L184" i="1" s="1"/>
  <c r="D183" i="1"/>
  <c r="L183" i="1" s="1"/>
  <c r="D182" i="1"/>
  <c r="F182" i="1" s="1"/>
  <c r="D181" i="1"/>
  <c r="L181" i="1" s="1"/>
  <c r="A182" i="1"/>
  <c r="A183" i="1" s="1"/>
  <c r="A184" i="1" s="1"/>
  <c r="A185" i="1" s="1"/>
  <c r="A186" i="1" s="1"/>
  <c r="A187" i="1" s="1"/>
  <c r="G181" i="1"/>
  <c r="G182" i="1" s="1"/>
  <c r="G183" i="1" s="1"/>
  <c r="G184" i="1" s="1"/>
  <c r="G185" i="1" s="1"/>
  <c r="G186" i="1" s="1"/>
  <c r="G188" i="1" s="1"/>
  <c r="D177" i="1"/>
  <c r="J177" i="1" s="1"/>
  <c r="D176" i="1"/>
  <c r="J176" i="1" s="1"/>
  <c r="D175" i="1"/>
  <c r="J175" i="1" s="1"/>
  <c r="D174" i="1"/>
  <c r="J174" i="1" s="1"/>
  <c r="D173" i="1"/>
  <c r="J173" i="1" s="1"/>
  <c r="D172" i="1"/>
  <c r="J172" i="1" s="1"/>
  <c r="D171" i="1"/>
  <c r="A172" i="1"/>
  <c r="A173" i="1" s="1"/>
  <c r="A174" i="1" s="1"/>
  <c r="A175" i="1" s="1"/>
  <c r="A176" i="1" s="1"/>
  <c r="A177" i="1" s="1"/>
  <c r="G171" i="1"/>
  <c r="G172" i="1" s="1"/>
  <c r="G173" i="1" s="1"/>
  <c r="G174" i="1" s="1"/>
  <c r="G175" i="1" s="1"/>
  <c r="G176" i="1" s="1"/>
  <c r="G177" i="1" s="1"/>
  <c r="D166" i="1"/>
  <c r="J166" i="1" s="1"/>
  <c r="I162" i="1"/>
  <c r="C144" i="1" l="1"/>
  <c r="E144" i="1"/>
  <c r="I182" i="1"/>
  <c r="N182" i="1"/>
  <c r="L182" i="1"/>
  <c r="K182" i="1"/>
  <c r="G146" i="1"/>
  <c r="G147" i="1" s="1"/>
  <c r="E145" i="1"/>
  <c r="E146" i="1"/>
  <c r="C146" i="1"/>
  <c r="C145" i="1"/>
  <c r="G187" i="1"/>
  <c r="C14" i="1"/>
  <c r="C147" i="1" l="1"/>
  <c r="E147" i="1"/>
  <c r="E29" i="1"/>
  <c r="A163" i="1" l="1"/>
  <c r="A164" i="1" s="1"/>
  <c r="A165" i="1" s="1"/>
  <c r="A166" i="1" s="1"/>
  <c r="A167" i="1" s="1"/>
  <c r="G162" i="1"/>
  <c r="G163" i="1" s="1"/>
  <c r="G164" i="1" s="1"/>
  <c r="G165" i="1" s="1"/>
  <c r="G166" i="1" s="1"/>
  <c r="G167" i="1" s="1"/>
  <c r="F136" i="1" l="1"/>
  <c r="F154" i="1" l="1"/>
  <c r="F155" i="1"/>
  <c r="F156" i="1"/>
  <c r="F153" i="1"/>
  <c r="B191" i="1" l="1"/>
  <c r="B192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2" i="1"/>
  <c r="A154" i="1"/>
  <c r="A155" i="1" s="1"/>
  <c r="A156" i="1" s="1"/>
  <c r="G153" i="1"/>
  <c r="G154" i="1" s="1"/>
  <c r="G155" i="1" s="1"/>
  <c r="G156" i="1" s="1"/>
  <c r="J121" i="1"/>
  <c r="J120" i="1"/>
  <c r="J119" i="1"/>
  <c r="J118" i="1"/>
  <c r="C109" i="1"/>
  <c r="J106" i="1"/>
  <c r="J105" i="1"/>
  <c r="J104" i="1"/>
  <c r="J103" i="1"/>
  <c r="C95" i="1"/>
  <c r="J92" i="1"/>
  <c r="J91" i="1"/>
  <c r="J90" i="1"/>
  <c r="J89" i="1"/>
  <c r="D54" i="1"/>
  <c r="G49" i="1"/>
  <c r="G50" i="1" s="1"/>
  <c r="C49" i="1"/>
  <c r="C50" i="1" s="1"/>
  <c r="E42" i="1"/>
  <c r="E43" i="1" s="1"/>
  <c r="E26" i="1"/>
  <c r="E24" i="1"/>
  <c r="E7" i="1"/>
  <c r="E3" i="1"/>
  <c r="H82" i="1"/>
  <c r="H110" i="1"/>
  <c r="H96" i="1"/>
  <c r="D61" i="1" l="1"/>
  <c r="D106" i="1"/>
  <c r="D107" i="1"/>
  <c r="D108" i="1"/>
  <c r="D102" i="1"/>
  <c r="D103" i="1"/>
  <c r="D104" i="1"/>
  <c r="D105" i="1"/>
  <c r="C101" i="1"/>
  <c r="J95" i="1" s="1"/>
  <c r="J97" i="1" s="1"/>
  <c r="D94" i="1"/>
  <c r="D92" i="1"/>
  <c r="D91" i="1"/>
  <c r="D90" i="1"/>
  <c r="D88" i="1"/>
  <c r="J81" i="1"/>
  <c r="D93" i="1"/>
  <c r="D89" i="1"/>
  <c r="J85" i="1"/>
  <c r="J86" i="1"/>
  <c r="J84" i="1"/>
  <c r="J87" i="1"/>
  <c r="J109" i="1"/>
  <c r="J111" i="1" s="1"/>
  <c r="J114" i="1"/>
  <c r="D123" i="1"/>
  <c r="D121" i="1"/>
  <c r="D119" i="1"/>
  <c r="D117" i="1"/>
  <c r="J115" i="1"/>
  <c r="J113" i="1"/>
  <c r="J116" i="1"/>
  <c r="J117" i="1" s="1"/>
  <c r="J122" i="1" s="1"/>
  <c r="J123" i="1" s="1"/>
  <c r="D122" i="1"/>
  <c r="D120" i="1"/>
  <c r="D118" i="1"/>
  <c r="J101" i="1"/>
  <c r="J102" i="1" s="1"/>
  <c r="J107" i="1" s="1"/>
  <c r="J108" i="1" s="1"/>
  <c r="C100" i="1" s="1"/>
  <c r="J99" i="1"/>
  <c r="J100" i="1"/>
  <c r="C99" i="1" s="1"/>
  <c r="J98" i="1"/>
  <c r="J88" i="1" l="1"/>
  <c r="J93" i="1" s="1"/>
  <c r="D116" i="1"/>
  <c r="D114" i="1"/>
  <c r="D101" i="1"/>
  <c r="D87" i="1"/>
  <c r="J83" i="1"/>
  <c r="D85" i="1"/>
  <c r="E99" i="1"/>
  <c r="D100" i="1"/>
  <c r="G99" i="1"/>
  <c r="D99" i="1"/>
  <c r="J96" i="1" s="1"/>
  <c r="E114" i="1"/>
  <c r="C112" i="1" s="1"/>
  <c r="D115" i="1"/>
  <c r="G114" i="1"/>
  <c r="D65" i="1" l="1"/>
  <c r="D66" i="1" s="1"/>
  <c r="G112" i="1"/>
  <c r="J94" i="1"/>
  <c r="C86" i="1" s="1"/>
  <c r="E85" i="1" s="1"/>
  <c r="I110" i="1"/>
  <c r="J110" i="1"/>
  <c r="I96" i="1"/>
  <c r="F66" i="1" l="1"/>
  <c r="J82" i="1"/>
  <c r="G85" i="1"/>
  <c r="D86" i="1"/>
  <c r="I82" i="1" s="1"/>
  <c r="I83" i="1" s="1"/>
  <c r="I111" i="1"/>
  <c r="I97" i="1"/>
  <c r="I95" i="1" s="1"/>
  <c r="C97" i="1" s="1"/>
  <c r="I109" i="1" l="1"/>
  <c r="C111" i="1" s="1"/>
  <c r="I81" i="1"/>
  <c r="C83" i="1" s="1"/>
</calcChain>
</file>

<file path=xl/sharedStrings.xml><?xml version="1.0" encoding="utf-8"?>
<sst xmlns="http://schemas.openxmlformats.org/spreadsheetml/2006/main" count="405" uniqueCount="228">
  <si>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</si>
  <si>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</si>
  <si>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</si>
  <si>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</si>
  <si>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</si>
  <si>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</si>
  <si>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</si>
  <si>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</si>
  <si>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</si>
  <si>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</si>
  <si>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</si>
  <si>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</si>
  <si>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</si>
  <si>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</si>
  <si>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</si>
  <si>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</si>
  <si>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</si>
  <si>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</si>
  <si>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</si>
  <si>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</si>
  <si>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</si>
  <si>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</si>
  <si>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</si>
  <si>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</si>
  <si>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</si>
  <si>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</si>
  <si>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</si>
  <si>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</si>
  <si>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</si>
  <si>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</si>
  <si>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</si>
  <si>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</si>
  <si>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</si>
  <si>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</si>
  <si>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</si>
  <si>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</si>
  <si>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</si>
  <si>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</si>
  <si>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</si>
  <si>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</si>
  <si>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</si>
  <si>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</si>
  <si>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</si>
  <si>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</si>
  <si>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</si>
  <si>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</si>
  <si>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</si>
  <si>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</si>
  <si>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</si>
  <si>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</si>
  <si>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</si>
  <si>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</si>
  <si>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</si>
  <si>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</si>
  <si>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</si>
  <si>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</si>
  <si>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</si>
  <si>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</si>
  <si>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</si>
  <si>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</si>
  <si>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</si>
  <si>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</si>
  <si>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</si>
  <si>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</si>
  <si>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</si>
  <si>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</si>
  <si>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</si>
  <si>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</si>
  <si>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</si>
  <si>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</si>
  <si>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</si>
  <si>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</si>
  <si>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</si>
  <si>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</si>
  <si>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</si>
  <si>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</si>
  <si>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</si>
  <si>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</si>
  <si>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</si>
  <si>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</si>
  <si>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</si>
  <si>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</si>
  <si>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</si>
  <si>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</si>
  <si>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</si>
  <si>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</si>
  <si>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</si>
  <si>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</si>
  <si>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</si>
  <si>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</si>
  <si>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</si>
  <si>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</si>
  <si>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</si>
  <si>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</si>
  <si>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</si>
  <si>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</si>
  <si>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</si>
  <si>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</si>
  <si>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</si>
  <si>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</si>
  <si>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</si>
  <si>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</si>
  <si>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</si>
  <si>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</si>
  <si>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</si>
  <si>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</si>
  <si>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</si>
  <si>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</si>
  <si>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</si>
  <si>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</si>
  <si>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</si>
  <si>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</si>
  <si>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</si>
  <si>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</si>
  <si>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</si>
  <si>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</si>
  <si>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</si>
  <si>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</si>
  <si>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</si>
  <si>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</si>
  <si>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</si>
  <si>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</si>
  <si>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</si>
  <si>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</si>
  <si>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</si>
  <si>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</si>
  <si>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</si>
  <si>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</si>
  <si>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</si>
  <si>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</si>
  <si>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</si>
  <si>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</si>
  <si>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</si>
  <si>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</si>
  <si>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</si>
  <si>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</si>
  <si>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</si>
  <si>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</si>
  <si>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</si>
  <si>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</si>
  <si>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</si>
  <si>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</si>
  <si>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</si>
  <si>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</si>
  <si>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</si>
  <si>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</si>
  <si>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</si>
  <si>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</si>
  <si>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</si>
  <si>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</si>
  <si>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</si>
  <si>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</si>
  <si>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</si>
  <si>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</si>
  <si>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</si>
  <si>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</si>
  <si>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</si>
  <si>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</si>
  <si>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</si>
  <si>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</si>
  <si>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</si>
  <si>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</si>
  <si>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</si>
  <si>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</si>
  <si>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</si>
  <si>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</si>
  <si>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</si>
  <si>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</si>
  <si>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</si>
  <si>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</si>
  <si>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</si>
  <si>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P51700046891</t>
  </si>
  <si>
    <t>Axis Badlapur</t>
  </si>
  <si>
    <t>Ekdant Pooja Chsl</t>
  </si>
  <si>
    <t>Landmark Infra</t>
  </si>
  <si>
    <t>Mr. Milind Mandavkar (7021443550)</t>
  </si>
  <si>
    <t>Wing (A, B &amp; C)</t>
  </si>
  <si>
    <t>Survey No</t>
  </si>
  <si>
    <t>40, H. No. 11, P. No. 3, S. No. 40, H. No. 12, P. No. 1 &amp; 2, S. No. 40, H. No. 13, P. No. 1</t>
  </si>
  <si>
    <t>Kulgaon</t>
  </si>
  <si>
    <t>Ambernath</t>
  </si>
  <si>
    <t>Thane</t>
  </si>
  <si>
    <t>https://goo.gl/maps/MrVEKNH1FC73Z3k28</t>
  </si>
  <si>
    <t>Internal Rd</t>
  </si>
  <si>
    <t>Tukai Bunglow</t>
  </si>
  <si>
    <t>0.65KM from Badlapur Railway Station</t>
  </si>
  <si>
    <t>Badlapur East</t>
  </si>
  <si>
    <t>Patil Pada</t>
  </si>
  <si>
    <t>Bunglow</t>
  </si>
  <si>
    <t>KBNP/NRV/BP/5628-43</t>
  </si>
  <si>
    <t>Wing A &amp; B = Stilt + 1st to 7th Floor
Wing C = Stilt (Pt)/ Gr + 1st to 7th Floor</t>
  </si>
  <si>
    <t>B Wing = Gr + 1st to 7th Floor</t>
  </si>
  <si>
    <t>C Wing = St/Gr + 1st to 7th Floor</t>
  </si>
  <si>
    <t>As per RERA - 31/07/2026</t>
  </si>
  <si>
    <t>A Wing</t>
  </si>
  <si>
    <t>Ground Floor For Parking</t>
  </si>
  <si>
    <t>1st to 7th Floor For Residential</t>
  </si>
  <si>
    <t>2BHK</t>
  </si>
  <si>
    <t>1BHK</t>
  </si>
  <si>
    <t>B Wing</t>
  </si>
  <si>
    <t>C Wing</t>
  </si>
  <si>
    <t>Ground Floor For Society Office Driver Room &amp; Parking</t>
  </si>
  <si>
    <t>3BHK</t>
  </si>
  <si>
    <t xml:space="preserve">Builder Saleable area </t>
  </si>
  <si>
    <t>Approved Plans,Builder Saleable Area, Cost Sheet</t>
  </si>
  <si>
    <t>A &amp; B Wing = Gr + 1st to 7th Floor</t>
  </si>
  <si>
    <t>We have taken CC from RERA site.</t>
  </si>
  <si>
    <t>We considered Gross carpet area = Net carpet + A.P Area.</t>
  </si>
  <si>
    <t>Kulgoan Badlapur Municipal Council</t>
  </si>
  <si>
    <t>03 Wings</t>
  </si>
  <si>
    <t>Flats - 147</t>
  </si>
  <si>
    <t>A Wing = Gr + 1st to 7th Floor
B Wing = Gr + 1st to 7th Floor
C Wing = Gr + 1st to 7th Floor</t>
  </si>
  <si>
    <t>Internal Road</t>
  </si>
  <si>
    <t>Open Plot</t>
  </si>
  <si>
    <t>Latitude &amp; Longitude</t>
  </si>
  <si>
    <t>A Wing = Gr + 1st to 7th Floor</t>
  </si>
  <si>
    <t>Grill Charges</t>
  </si>
  <si>
    <t>Development + Amenities Charges</t>
  </si>
  <si>
    <t>4600 to 5000</t>
  </si>
  <si>
    <t xml:space="preserve">Rushikesh </t>
  </si>
  <si>
    <t>Cost Sheet</t>
  </si>
  <si>
    <t>Office No. 1031, Wing J, Akshar Business Park, Plot No. 03 Sector 25, Near APMC Market,
 Vashi, Navi Mumbai, Maharashtra 400703 TEL: 022-46090378/79/80                                                                      
 E mail : vsjcapf@gmail.com. Web site : www.vsjadon.com</t>
  </si>
  <si>
    <t>19.1635713,73.2373066</t>
  </si>
  <si>
    <t>Sudhir Bhosale</t>
  </si>
  <si>
    <t xml:space="preserve">Occupancy Certificate No.: (Wing B &amp; C) </t>
  </si>
  <si>
    <t>KBMC/TPD/2025-26/100
Gr + 1st to 7th Floor</t>
  </si>
  <si>
    <t>Pooja</t>
  </si>
  <si>
    <t>Wing A = Construction work is in process at the time of Visit. 
Wing B = OC Received but Lift is not working.
Wing C = All work completed. OC Received.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</si>
</sst>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24" fillId="0" borderId="1" xfId="0" applyFont="1" applyBorder="1"/>
    <xf numFmtId="0" fontId="24" fillId="0" borderId="5" xfId="0" applyFont="1" applyBorder="1"/>
    <xf numFmtId="2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15" xfId="0" applyFont="1" applyFill="1" applyBorder="1"/>
    <xf numFmtId="0" fontId="24" fillId="0" borderId="9" xfId="0" applyFont="1" applyBorder="1"/>
    <xf numFmtId="0" fontId="25" fillId="0" borderId="9" xfId="0" applyFont="1" applyBorder="1"/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center" vertical="center"/>
      <protection locked="0"/>
    </xf>
    <xf numFmtId="0" fontId="13" fillId="0" borderId="1" xfId="1" applyFont="1" applyBorder="1" applyAlignment="1" applyProtection="1">
      <alignment horizontal="center" vertical="center"/>
      <protection locked="0"/>
    </xf>
    <xf numFmtId="9" fontId="13" fillId="0" borderId="8" xfId="1" applyNumberFormat="1" applyFont="1" applyBorder="1" applyAlignment="1" applyProtection="1">
      <alignment horizontal="center" vertical="center" wrapText="1"/>
      <protection locked="0"/>
    </xf>
    <xf numFmtId="0" fontId="13" fillId="0" borderId="9" xfId="1" applyFont="1" applyBorder="1" applyAlignment="1" applyProtection="1">
      <alignment horizontal="center" vertical="center" wrapText="1"/>
      <protection locked="0"/>
    </xf>
    <xf numFmtId="0" fontId="13" fillId="0" borderId="8" xfId="1" applyFont="1" applyBorder="1" applyAlignment="1" applyProtection="1">
      <alignment horizontal="center" vertical="center" wrapText="1"/>
      <protection locked="0"/>
    </xf>
    <xf numFmtId="0" fontId="13" fillId="0" borderId="34" xfId="1" applyFont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0" fillId="0" borderId="32" xfId="1" applyFont="1" applyBorder="1" applyAlignment="1" applyProtection="1">
      <alignment horizontal="left" vertical="top" wrapText="1"/>
      <protection locked="0"/>
    </xf>
    <xf numFmtId="0" fontId="10" fillId="0" borderId="20" xfId="1" applyFont="1" applyBorder="1" applyAlignment="1" applyProtection="1">
      <alignment horizontal="left" vertical="top" wrapText="1"/>
      <protection locked="0"/>
    </xf>
    <xf numFmtId="0" fontId="10" fillId="0" borderId="19" xfId="1" applyFont="1" applyBorder="1" applyAlignment="1" applyProtection="1">
      <alignment horizontal="left" vertical="top" wrapText="1"/>
      <protection locked="0"/>
    </xf>
    <xf numFmtId="0" fontId="10" fillId="0" borderId="2" xfId="1" applyFont="1" applyBorder="1" applyAlignment="1" applyProtection="1">
      <alignment horizontal="left" vertical="top" wrapText="1"/>
      <protection locked="0"/>
    </xf>
    <xf numFmtId="0" fontId="10" fillId="0" borderId="3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14" fontId="8" fillId="0" borderId="8" xfId="1" applyNumberFormat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0" fontId="7" fillId="0" borderId="1" xfId="1" applyFont="1" applyBorder="1" applyAlignment="1" applyProtection="1">
      <alignment horizontal="left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colors>
    <mruColors>
      <color rgb="FFDC30AF"/>
      <color rgb="FF2CA2BA"/>
      <color rgb="FFE4F5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301</xdr:row>
      <xdr:rowOff>0</xdr:rowOff>
    </xdr:from>
    <xdr:to>
      <xdr:col>7</xdr:col>
      <xdr:colOff>144924</xdr:colOff>
      <xdr:row>319</xdr:row>
      <xdr:rowOff>416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425" y="55597425"/>
          <a:ext cx="5145549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295276</xdr:colOff>
      <xdr:row>319</xdr:row>
      <xdr:rowOff>195172</xdr:rowOff>
    </xdr:from>
    <xdr:to>
      <xdr:col>7</xdr:col>
      <xdr:colOff>144924</xdr:colOff>
      <xdr:row>337</xdr:row>
      <xdr:rowOff>194722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4426" y="59393047"/>
          <a:ext cx="514554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161925</xdr:colOff>
      <xdr:row>166</xdr:row>
      <xdr:rowOff>180975</xdr:rowOff>
    </xdr:from>
    <xdr:to>
      <xdr:col>16</xdr:col>
      <xdr:colOff>392529</xdr:colOff>
      <xdr:row>177</xdr:row>
      <xdr:rowOff>140700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2800" y="28936950"/>
          <a:ext cx="7155279" cy="21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561975</xdr:colOff>
      <xdr:row>256</xdr:row>
      <xdr:rowOff>19050</xdr:rowOff>
    </xdr:from>
    <xdr:to>
      <xdr:col>7</xdr:col>
      <xdr:colOff>494169</xdr:colOff>
      <xdr:row>277</xdr:row>
      <xdr:rowOff>138525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561975" y="45554900"/>
          <a:ext cx="5907544" cy="4253325"/>
          <a:chOff x="561975" y="47548800"/>
          <a:chExt cx="5628144" cy="4320000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61975" y="47548800"/>
            <a:ext cx="5628144" cy="43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1371600" y="48301275"/>
            <a:ext cx="1924050" cy="1371600"/>
          </a:xfrm>
          <a:prstGeom prst="rect">
            <a:avLst/>
          </a:prstGeom>
          <a:noFill/>
          <a:ln w="28575">
            <a:solidFill>
              <a:srgbClr val="C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1000125" y="49815750"/>
            <a:ext cx="2343150" cy="1390650"/>
          </a:xfrm>
          <a:prstGeom prst="rect">
            <a:avLst/>
          </a:prstGeom>
          <a:noFill/>
          <a:ln w="28575">
            <a:solidFill>
              <a:srgbClr val="E4F509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467100" y="48729900"/>
            <a:ext cx="2228850" cy="1866900"/>
          </a:xfrm>
          <a:prstGeom prst="rect">
            <a:avLst/>
          </a:prstGeom>
          <a:noFill/>
          <a:ln w="28575"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1962149" y="49358550"/>
            <a:ext cx="952500" cy="504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800" b="1">
                <a:ln>
                  <a:noFill/>
                </a:ln>
                <a:solidFill>
                  <a:srgbClr val="0070C0"/>
                </a:solidFill>
              </a:rPr>
              <a:t>A Wing</a:t>
            </a: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2466974" y="50853975"/>
            <a:ext cx="952500" cy="504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800" b="1">
                <a:ln>
                  <a:noFill/>
                </a:ln>
                <a:solidFill>
                  <a:srgbClr val="DC30AF"/>
                </a:solidFill>
              </a:rPr>
              <a:t>B Wing</a:t>
            </a:r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4600574" y="48882300"/>
            <a:ext cx="962025" cy="504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800" b="1">
                <a:ln>
                  <a:noFill/>
                </a:ln>
                <a:solidFill>
                  <a:srgbClr val="C00000"/>
                </a:solidFill>
              </a:rPr>
              <a:t>C Wing</a:t>
            </a:r>
          </a:p>
        </xdr:txBody>
      </xdr:sp>
    </xdr:grpSp>
    <xdr:clientData/>
  </xdr:twoCellAnchor>
  <xdr:oneCellAnchor>
    <xdr:from>
      <xdr:col>8</xdr:col>
      <xdr:colOff>419100</xdr:colOff>
      <xdr:row>211</xdr:row>
      <xdr:rowOff>28575</xdr:rowOff>
    </xdr:from>
    <xdr:ext cx="722442" cy="31149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943725" y="37823775"/>
          <a:ext cx="722442" cy="31149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1"/>
            <a:t>Wing A</a:t>
          </a:r>
        </a:p>
      </xdr:txBody>
    </xdr:sp>
    <xdr:clientData/>
  </xdr:oneCellAnchor>
  <xdr:twoCellAnchor>
    <xdr:from>
      <xdr:col>8</xdr:col>
      <xdr:colOff>1028700</xdr:colOff>
      <xdr:row>213</xdr:row>
      <xdr:rowOff>95250</xdr:rowOff>
    </xdr:from>
    <xdr:to>
      <xdr:col>17</xdr:col>
      <xdr:colOff>281866</xdr:colOff>
      <xdr:row>249</xdr:row>
      <xdr:rowOff>188391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861300" y="37172900"/>
          <a:ext cx="6657266" cy="7173391"/>
          <a:chOff x="85725" y="38585775"/>
          <a:chExt cx="6320716" cy="7284516"/>
        </a:xfrm>
      </xdr:grpSpPr>
      <xdr:pic>
        <xdr:nvPicPr>
          <xdr:cNvPr id="47" name="Picture 46" descr="insp-211037-843.jpg (719×540)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88781" y="43710291"/>
            <a:ext cx="2876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8" name="Picture 47" descr="insp-211037-844.jpg (719×960)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34989" y="38585775"/>
            <a:ext cx="2022188" cy="27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9" name="Picture 48" descr="insp-211037-851.jpg (719×960)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5725" y="38585775"/>
            <a:ext cx="2022188" cy="27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" name="Picture 49" descr="insp-211037-860.jpg (719×960)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29058" y="41418033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1" name="Picture 50" descr="insp-211037-871.jpg (719×960)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84232" y="41418033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2" name="Picture 51" descr="insp-211037-883.jpg (719×960)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44120" y="41418033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3" name="Picture 52" descr="insp-211037-931.jpg (719×540)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41686" y="43710291"/>
            <a:ext cx="287600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4" name="Picture 53" descr="insp-211037-928.jpg (719×960)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84253" y="38585775"/>
            <a:ext cx="2022188" cy="27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530247</xdr:colOff>
      <xdr:row>254</xdr:row>
      <xdr:rowOff>0</xdr:rowOff>
    </xdr:from>
    <xdr:to>
      <xdr:col>13</xdr:col>
      <xdr:colOff>668772</xdr:colOff>
      <xdr:row>298</xdr:row>
      <xdr:rowOff>78222</xdr:rowOff>
    </xdr:to>
    <xdr:grpSp>
      <xdr:nvGrpSpPr>
        <xdr:cNvPr id="55" name="Group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pSpPr/>
      </xdr:nvGrpSpPr>
      <xdr:grpSpPr>
        <a:xfrm rot="5400000">
          <a:off x="6926274" y="45578723"/>
          <a:ext cx="5393172" cy="4520025"/>
          <a:chOff x="561975" y="47548800"/>
          <a:chExt cx="5628144" cy="4320000"/>
        </a:xfrm>
      </xdr:grpSpPr>
      <xdr:pic>
        <xdr:nvPicPr>
          <xdr:cNvPr id="56" name="Picture 5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61975" y="47548800"/>
            <a:ext cx="5628144" cy="43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/>
        </xdr:nvSpPr>
        <xdr:spPr>
          <a:xfrm>
            <a:off x="1962149" y="49358550"/>
            <a:ext cx="952500" cy="504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800" b="1">
                <a:ln>
                  <a:noFill/>
                </a:ln>
                <a:solidFill>
                  <a:srgbClr val="0070C0"/>
                </a:solidFill>
              </a:rPr>
              <a:t>A Wing</a:t>
            </a:r>
          </a:p>
        </xdr:txBody>
      </xdr:sp>
      <xdr:sp macro="" textlink="">
        <xdr:nvSpPr>
          <xdr:cNvPr id="61" name="Rectangle 6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/>
        </xdr:nvSpPr>
        <xdr:spPr>
          <a:xfrm>
            <a:off x="2466974" y="50853975"/>
            <a:ext cx="952500" cy="504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800" b="1">
                <a:ln>
                  <a:noFill/>
                </a:ln>
                <a:solidFill>
                  <a:srgbClr val="DC30AF"/>
                </a:solidFill>
              </a:rPr>
              <a:t>B Wing</a:t>
            </a:r>
          </a:p>
        </xdr:txBody>
      </xdr:sp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/>
        </xdr:nvSpPr>
        <xdr:spPr>
          <a:xfrm>
            <a:off x="4600574" y="48882300"/>
            <a:ext cx="962025" cy="504825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IN" sz="1800" b="1">
                <a:ln>
                  <a:noFill/>
                </a:ln>
                <a:solidFill>
                  <a:srgbClr val="C00000"/>
                </a:solidFill>
              </a:rPr>
              <a:t>C Wing</a:t>
            </a:r>
          </a:p>
        </xdr:txBody>
      </xdr:sp>
    </xdr:grpSp>
    <xdr:clientData/>
  </xdr:twoCellAnchor>
  <xdr:twoCellAnchor>
    <xdr:from>
      <xdr:col>9</xdr:col>
      <xdr:colOff>447675</xdr:colOff>
      <xdr:row>213</xdr:row>
      <xdr:rowOff>28575</xdr:rowOff>
    </xdr:from>
    <xdr:to>
      <xdr:col>17</xdr:col>
      <xdr:colOff>463018</xdr:colOff>
      <xdr:row>254</xdr:row>
      <xdr:rowOff>107747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1D6FA9AF-E406-4D77-88DA-7CADCE77FAD0}"/>
            </a:ext>
          </a:extLst>
        </xdr:cNvPr>
        <xdr:cNvGrpSpPr/>
      </xdr:nvGrpSpPr>
      <xdr:grpSpPr>
        <a:xfrm>
          <a:off x="8499475" y="37106225"/>
          <a:ext cx="6200243" cy="8143672"/>
          <a:chOff x="393653" y="178835"/>
          <a:chExt cx="5920843" cy="8470697"/>
        </a:xfrm>
      </xdr:grpSpPr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E910F9F0-84C1-428F-8ED8-B1C84328EC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87891" y="3203495"/>
            <a:ext cx="2626605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EA608FF5-B54A-4BB3-8DFE-44669E2AB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227222" y="178835"/>
            <a:ext cx="2166025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812CA866-F290-4190-B4F3-517E1B9B5A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41679" y="3196640"/>
            <a:ext cx="1489142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0" name="Picture 39">
            <a:extLst>
              <a:ext uri="{FF2B5EF4-FFF2-40B4-BE49-F238E27FC236}">
                <a16:creationId xmlns:a16="http://schemas.microsoft.com/office/drawing/2014/main" id="{B0031AE2-063B-4511-A4AC-52371A4D2C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63771" y="178835"/>
            <a:ext cx="2166025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2F684807-9485-4176-893A-235FC3E2EF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3653" y="3203495"/>
            <a:ext cx="1489142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2" name="Picture 41">
            <a:extLst>
              <a:ext uri="{FF2B5EF4-FFF2-40B4-BE49-F238E27FC236}">
                <a16:creationId xmlns:a16="http://schemas.microsoft.com/office/drawing/2014/main" id="{C0A46973-512A-48F8-A867-276AFC0707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32263" y="5273675"/>
            <a:ext cx="2387823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3" name="Picture 42">
            <a:extLst>
              <a:ext uri="{FF2B5EF4-FFF2-40B4-BE49-F238E27FC236}">
                <a16:creationId xmlns:a16="http://schemas.microsoft.com/office/drawing/2014/main" id="{01ACCB3F-1321-45A8-ACA7-749BC4FF76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64810" y="5280530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BF88A501-A5C6-42E0-B248-11C85F21BF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646783" y="5273675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182CC6DB-C0E3-4214-A307-6905E119D6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58537" y="7209532"/>
            <a:ext cx="1078500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8DED9227-0EF8-4737-BBA1-09F60EE4A3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76229" y="7209532"/>
            <a:ext cx="1910258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2081045" y="288846"/>
            <a:ext cx="87556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A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58" name="TextBox 59">
            <a:extLst>
              <a:ext uri="{FF2B5EF4-FFF2-40B4-BE49-F238E27FC236}">
                <a16:creationId xmlns:a16="http://schemas.microsoft.com/office/drawing/2014/main" id="{3F1CFA2D-8114-45FB-8A9A-7A8ECA36C298}"/>
              </a:ext>
            </a:extLst>
          </xdr:cNvPr>
          <xdr:cNvSpPr txBox="1"/>
        </xdr:nvSpPr>
        <xdr:spPr>
          <a:xfrm>
            <a:off x="4174014" y="2009412"/>
            <a:ext cx="865943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59" name="TextBox 60">
            <a:extLst>
              <a:ext uri="{FF2B5EF4-FFF2-40B4-BE49-F238E27FC236}">
                <a16:creationId xmlns:a16="http://schemas.microsoft.com/office/drawing/2014/main" id="{41D52698-5E9F-48E8-BEF9-8CF7BB210040}"/>
              </a:ext>
            </a:extLst>
          </xdr:cNvPr>
          <xdr:cNvSpPr txBox="1"/>
        </xdr:nvSpPr>
        <xdr:spPr>
          <a:xfrm>
            <a:off x="465328" y="3817308"/>
            <a:ext cx="865943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63" name="TextBox 61">
            <a:extLst>
              <a:ext uri="{FF2B5EF4-FFF2-40B4-BE49-F238E27FC236}">
                <a16:creationId xmlns:a16="http://schemas.microsoft.com/office/drawing/2014/main" id="{6D9B7626-C272-418B-A19D-5D981E24EB42}"/>
              </a:ext>
            </a:extLst>
          </xdr:cNvPr>
          <xdr:cNvSpPr txBox="1"/>
        </xdr:nvSpPr>
        <xdr:spPr>
          <a:xfrm>
            <a:off x="2011619" y="3200016"/>
            <a:ext cx="85792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C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64" name="TextBox 62">
            <a:extLst>
              <a:ext uri="{FF2B5EF4-FFF2-40B4-BE49-F238E27FC236}">
                <a16:creationId xmlns:a16="http://schemas.microsoft.com/office/drawing/2014/main" id="{FBBBE356-6A0A-47D0-8EA9-AE3AE86B20B8}"/>
              </a:ext>
            </a:extLst>
          </xdr:cNvPr>
          <xdr:cNvSpPr txBox="1"/>
        </xdr:nvSpPr>
        <xdr:spPr>
          <a:xfrm>
            <a:off x="4290990" y="3299963"/>
            <a:ext cx="85792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C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65" name="TextBox 63">
            <a:extLst>
              <a:ext uri="{FF2B5EF4-FFF2-40B4-BE49-F238E27FC236}">
                <a16:creationId xmlns:a16="http://schemas.microsoft.com/office/drawing/2014/main" id="{DAE75943-AFAF-4556-8224-63C527377CF9}"/>
              </a:ext>
            </a:extLst>
          </xdr:cNvPr>
          <xdr:cNvSpPr txBox="1"/>
        </xdr:nvSpPr>
        <xdr:spPr>
          <a:xfrm>
            <a:off x="3130799" y="6103465"/>
            <a:ext cx="865943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B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66" name="TextBox 64">
            <a:extLst>
              <a:ext uri="{FF2B5EF4-FFF2-40B4-BE49-F238E27FC236}">
                <a16:creationId xmlns:a16="http://schemas.microsoft.com/office/drawing/2014/main" id="{B7101BDD-B5AF-4A8C-9A09-CF36C9549E4A}"/>
              </a:ext>
            </a:extLst>
          </xdr:cNvPr>
          <xdr:cNvSpPr txBox="1"/>
        </xdr:nvSpPr>
        <xdr:spPr>
          <a:xfrm>
            <a:off x="4902231" y="6043489"/>
            <a:ext cx="857927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C</a:t>
            </a:r>
            <a:endParaRPr lang="en-IN" b="1">
              <a:solidFill>
                <a:srgbClr val="FF0000"/>
              </a:solidFill>
            </a:endParaRPr>
          </a:p>
        </xdr:txBody>
      </xdr:sp>
      <xdr:sp macro="" textlink="">
        <xdr:nvSpPr>
          <xdr:cNvPr id="67" name="TextBox 65">
            <a:extLst>
              <a:ext uri="{FF2B5EF4-FFF2-40B4-BE49-F238E27FC236}">
                <a16:creationId xmlns:a16="http://schemas.microsoft.com/office/drawing/2014/main" id="{5E2CA9E2-205A-4923-805A-FD6E81116034}"/>
              </a:ext>
            </a:extLst>
          </xdr:cNvPr>
          <xdr:cNvSpPr txBox="1"/>
        </xdr:nvSpPr>
        <xdr:spPr>
          <a:xfrm>
            <a:off x="898299" y="6276910"/>
            <a:ext cx="87556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A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8</xdr:col>
      <xdr:colOff>257175</xdr:colOff>
      <xdr:row>50</xdr:row>
      <xdr:rowOff>390525</xdr:rowOff>
    </xdr:from>
    <xdr:to>
      <xdr:col>12</xdr:col>
      <xdr:colOff>466275</xdr:colOff>
      <xdr:row>55</xdr:row>
      <xdr:rowOff>425242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FBFB0F-3E55-4C69-91EE-6B1333A69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2275" y="11820525"/>
          <a:ext cx="3600000" cy="1453942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210</xdr:row>
      <xdr:rowOff>1</xdr:rowOff>
    </xdr:from>
    <xdr:to>
      <xdr:col>10</xdr:col>
      <xdr:colOff>635000</xdr:colOff>
      <xdr:row>211</xdr:row>
      <xdr:rowOff>107951</xdr:rowOff>
    </xdr:to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2DB91B68-D7A4-411D-8B28-58CDA53FC00F}"/>
            </a:ext>
          </a:extLst>
        </xdr:cNvPr>
        <xdr:cNvSpPr txBox="1"/>
      </xdr:nvSpPr>
      <xdr:spPr>
        <a:xfrm>
          <a:off x="8851900" y="38303201"/>
          <a:ext cx="635000" cy="3048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2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Wing A</a:t>
          </a:r>
          <a:endParaRPr lang="en-IN" sz="12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177800</xdr:colOff>
      <xdr:row>212</xdr:row>
      <xdr:rowOff>69850</xdr:rowOff>
    </xdr:from>
    <xdr:to>
      <xdr:col>7</xdr:col>
      <xdr:colOff>644435</xdr:colOff>
      <xdr:row>253</xdr:row>
      <xdr:rowOff>63500</xdr:rowOff>
    </xdr:to>
    <xdr:grpSp>
      <xdr:nvGrpSpPr>
        <xdr:cNvPr id="7" name="Group 6"/>
        <xdr:cNvGrpSpPr/>
      </xdr:nvGrpSpPr>
      <xdr:grpSpPr>
        <a:xfrm>
          <a:off x="177800" y="36950650"/>
          <a:ext cx="6441985" cy="8058150"/>
          <a:chOff x="177800" y="38766750"/>
          <a:chExt cx="6441985" cy="8058150"/>
        </a:xfrm>
      </xdr:grpSpPr>
      <xdr:pic>
        <xdr:nvPicPr>
          <xdr:cNvPr id="88" name="Picture 87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8144" y="3877194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89" name="Picture 88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03058" y="4089926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0" name="Picture 89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800" y="4302658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1" name="Picture 90"/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0601" y="4089926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2" name="Picture 91"/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8144" y="4089926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3" name="Picture 92"/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802" y="3877194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4" name="Picture 93"/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03058" y="38766750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5" name="Picture 94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8142" y="45153904"/>
            <a:ext cx="1516727" cy="167099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6" name="Picture 95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18143" y="4302658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7" name="Picture 96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03057" y="4302658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8" name="Picture 97"/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0601" y="3877194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99" name="Picture 98"/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800" y="45153904"/>
            <a:ext cx="1516727" cy="167099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0" name="Picture 99"/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0601" y="4302658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1" name="Picture 100"/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0601" y="45153904"/>
            <a:ext cx="1516727" cy="167099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2" name="Picture 101"/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801" y="40899264"/>
            <a:ext cx="1516727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03" name="Picture 102"/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03057" y="45153904"/>
            <a:ext cx="1516727" cy="1670996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106" name="TextBox 105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2053094" y="4027689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07" name="TextBox 106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3962251" y="4035309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08" name="TextBox 107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5255458" y="40373300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09" name="TextBox 108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228601" y="4107706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C</a:t>
            </a:r>
            <a:endParaRPr lang="en-IN" sz="1200" b="1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0" name="TextBox 109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2186444" y="4238516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1" name="TextBox 110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1932443" y="4441723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2" name="TextBox 111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3987651" y="4463948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3" name="TextBox 112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5395157" y="4441723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4" name="TextBox 113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527050" y="4631595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5" name="TextBox 114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1983242" y="4624610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6" name="TextBox 115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3740001" y="4623340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C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7" name="TextBox 116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3987651" y="4223276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8" name="TextBox 117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5560258" y="4222641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  <xdr:sp macro="" textlink="">
        <xdr:nvSpPr>
          <xdr:cNvPr id="119" name="TextBox 118">
            <a:extLst>
              <a:ext uri="{FF2B5EF4-FFF2-40B4-BE49-F238E27FC236}">
                <a16:creationId xmlns:a16="http://schemas.microsoft.com/office/drawing/2014/main" id="{2DB91B68-D7A4-411D-8B28-58CDA53FC00F}"/>
              </a:ext>
            </a:extLst>
          </xdr:cNvPr>
          <xdr:cNvSpPr txBox="1"/>
        </xdr:nvSpPr>
        <xdr:spPr>
          <a:xfrm>
            <a:off x="419100" y="44461684"/>
            <a:ext cx="823456" cy="304800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1200" b="1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  <a:endParaRPr lang="en-IN" sz="1200" b="1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MrVEKNH1FC73Z3k2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99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40" customWidth="1"/>
    <col min="2" max="2" width="12" style="40" customWidth="1"/>
    <col min="3" max="3" width="12.7265625" style="40" customWidth="1"/>
    <col min="4" max="4" width="14.1796875" style="40" customWidth="1"/>
    <col min="5" max="7" width="11.7265625" style="40" customWidth="1"/>
    <col min="8" max="8" width="12.26953125" style="40" customWidth="1"/>
    <col min="9" max="9" width="17.453125" style="22" customWidth="1"/>
    <col min="10" max="10" width="11.453125" style="22" customWidth="1"/>
    <col min="11" max="11" width="10.54296875" style="22" bestFit="1" customWidth="1"/>
    <col min="12" max="12" width="11.453125" style="22" customWidth="1"/>
    <col min="13" max="13" width="11.81640625" style="22" customWidth="1"/>
    <col min="14" max="14" width="12.54296875" style="22" customWidth="1"/>
    <col min="15" max="15" width="9.81640625" style="22" customWidth="1"/>
    <col min="16" max="16" width="11.7265625" style="22" customWidth="1"/>
    <col min="17" max="247" width="9.1796875" style="22"/>
    <col min="248" max="248" width="8.7265625" style="22" customWidth="1"/>
    <col min="249" max="249" width="9.81640625" style="22" customWidth="1"/>
    <col min="250" max="250" width="14.453125" style="22" customWidth="1"/>
    <col min="251" max="251" width="7.26953125" style="22" customWidth="1"/>
    <col min="252" max="252" width="5.54296875" style="22" customWidth="1"/>
    <col min="253" max="253" width="9" style="22" customWidth="1"/>
    <col min="254" max="255" width="9.81640625" style="22" customWidth="1"/>
    <col min="256" max="256" width="11.1796875" style="22" customWidth="1"/>
    <col min="257" max="257" width="2.81640625" style="22" customWidth="1"/>
    <col min="258" max="258" width="3.54296875" style="22" customWidth="1"/>
    <col min="259" max="503" width="9.1796875" style="22"/>
    <col min="504" max="504" width="8.7265625" style="22" customWidth="1"/>
    <col min="505" max="505" width="9.81640625" style="22" customWidth="1"/>
    <col min="506" max="506" width="14.453125" style="22" customWidth="1"/>
    <col min="507" max="507" width="7.26953125" style="22" customWidth="1"/>
    <col min="508" max="508" width="5.54296875" style="22" customWidth="1"/>
    <col min="509" max="509" width="9" style="22" customWidth="1"/>
    <col min="510" max="511" width="9.81640625" style="22" customWidth="1"/>
    <col min="512" max="512" width="11.1796875" style="22" customWidth="1"/>
    <col min="513" max="513" width="2.81640625" style="22" customWidth="1"/>
    <col min="514" max="514" width="3.54296875" style="22" customWidth="1"/>
    <col min="515" max="759" width="9.1796875" style="22"/>
    <col min="760" max="760" width="8.7265625" style="22" customWidth="1"/>
    <col min="761" max="761" width="9.81640625" style="22" customWidth="1"/>
    <col min="762" max="762" width="14.453125" style="22" customWidth="1"/>
    <col min="763" max="763" width="7.26953125" style="22" customWidth="1"/>
    <col min="764" max="764" width="5.54296875" style="22" customWidth="1"/>
    <col min="765" max="765" width="9" style="22" customWidth="1"/>
    <col min="766" max="767" width="9.81640625" style="22" customWidth="1"/>
    <col min="768" max="768" width="11.1796875" style="22" customWidth="1"/>
    <col min="769" max="769" width="2.81640625" style="22" customWidth="1"/>
    <col min="770" max="770" width="3.54296875" style="22" customWidth="1"/>
    <col min="771" max="1015" width="9.1796875" style="22"/>
    <col min="1016" max="1016" width="8.7265625" style="22" customWidth="1"/>
    <col min="1017" max="1017" width="9.81640625" style="22" customWidth="1"/>
    <col min="1018" max="1018" width="14.453125" style="22" customWidth="1"/>
    <col min="1019" max="1019" width="7.26953125" style="22" customWidth="1"/>
    <col min="1020" max="1020" width="5.54296875" style="22" customWidth="1"/>
    <col min="1021" max="1021" width="9" style="22" customWidth="1"/>
    <col min="1022" max="1023" width="9.81640625" style="22" customWidth="1"/>
    <col min="1024" max="1024" width="11.1796875" style="22" customWidth="1"/>
    <col min="1025" max="1025" width="2.81640625" style="22" customWidth="1"/>
    <col min="1026" max="1026" width="3.54296875" style="22" customWidth="1"/>
    <col min="1027" max="1271" width="9.1796875" style="22"/>
    <col min="1272" max="1272" width="8.7265625" style="22" customWidth="1"/>
    <col min="1273" max="1273" width="9.81640625" style="22" customWidth="1"/>
    <col min="1274" max="1274" width="14.453125" style="22" customWidth="1"/>
    <col min="1275" max="1275" width="7.26953125" style="22" customWidth="1"/>
    <col min="1276" max="1276" width="5.54296875" style="22" customWidth="1"/>
    <col min="1277" max="1277" width="9" style="22" customWidth="1"/>
    <col min="1278" max="1279" width="9.81640625" style="22" customWidth="1"/>
    <col min="1280" max="1280" width="11.1796875" style="22" customWidth="1"/>
    <col min="1281" max="1281" width="2.81640625" style="22" customWidth="1"/>
    <col min="1282" max="1282" width="3.54296875" style="22" customWidth="1"/>
    <col min="1283" max="1527" width="9.1796875" style="22"/>
    <col min="1528" max="1528" width="8.7265625" style="22" customWidth="1"/>
    <col min="1529" max="1529" width="9.81640625" style="22" customWidth="1"/>
    <col min="1530" max="1530" width="14.453125" style="22" customWidth="1"/>
    <col min="1531" max="1531" width="7.26953125" style="22" customWidth="1"/>
    <col min="1532" max="1532" width="5.54296875" style="22" customWidth="1"/>
    <col min="1533" max="1533" width="9" style="22" customWidth="1"/>
    <col min="1534" max="1535" width="9.81640625" style="22" customWidth="1"/>
    <col min="1536" max="1536" width="11.1796875" style="22" customWidth="1"/>
    <col min="1537" max="1537" width="2.81640625" style="22" customWidth="1"/>
    <col min="1538" max="1538" width="3.54296875" style="22" customWidth="1"/>
    <col min="1539" max="1783" width="9.1796875" style="22"/>
    <col min="1784" max="1784" width="8.7265625" style="22" customWidth="1"/>
    <col min="1785" max="1785" width="9.81640625" style="22" customWidth="1"/>
    <col min="1786" max="1786" width="14.453125" style="22" customWidth="1"/>
    <col min="1787" max="1787" width="7.26953125" style="22" customWidth="1"/>
    <col min="1788" max="1788" width="5.54296875" style="22" customWidth="1"/>
    <col min="1789" max="1789" width="9" style="22" customWidth="1"/>
    <col min="1790" max="1791" width="9.81640625" style="22" customWidth="1"/>
    <col min="1792" max="1792" width="11.1796875" style="22" customWidth="1"/>
    <col min="1793" max="1793" width="2.81640625" style="22" customWidth="1"/>
    <col min="1794" max="1794" width="3.54296875" style="22" customWidth="1"/>
    <col min="1795" max="2039" width="9.1796875" style="22"/>
    <col min="2040" max="2040" width="8.7265625" style="22" customWidth="1"/>
    <col min="2041" max="2041" width="9.81640625" style="22" customWidth="1"/>
    <col min="2042" max="2042" width="14.453125" style="22" customWidth="1"/>
    <col min="2043" max="2043" width="7.26953125" style="22" customWidth="1"/>
    <col min="2044" max="2044" width="5.54296875" style="22" customWidth="1"/>
    <col min="2045" max="2045" width="9" style="22" customWidth="1"/>
    <col min="2046" max="2047" width="9.81640625" style="22" customWidth="1"/>
    <col min="2048" max="2048" width="11.1796875" style="22" customWidth="1"/>
    <col min="2049" max="2049" width="2.81640625" style="22" customWidth="1"/>
    <col min="2050" max="2050" width="3.54296875" style="22" customWidth="1"/>
    <col min="2051" max="2295" width="9.1796875" style="22"/>
    <col min="2296" max="2296" width="8.7265625" style="22" customWidth="1"/>
    <col min="2297" max="2297" width="9.81640625" style="22" customWidth="1"/>
    <col min="2298" max="2298" width="14.453125" style="22" customWidth="1"/>
    <col min="2299" max="2299" width="7.26953125" style="22" customWidth="1"/>
    <col min="2300" max="2300" width="5.54296875" style="22" customWidth="1"/>
    <col min="2301" max="2301" width="9" style="22" customWidth="1"/>
    <col min="2302" max="2303" width="9.81640625" style="22" customWidth="1"/>
    <col min="2304" max="2304" width="11.1796875" style="22" customWidth="1"/>
    <col min="2305" max="2305" width="2.81640625" style="22" customWidth="1"/>
    <col min="2306" max="2306" width="3.54296875" style="22" customWidth="1"/>
    <col min="2307" max="2551" width="9.1796875" style="22"/>
    <col min="2552" max="2552" width="8.7265625" style="22" customWidth="1"/>
    <col min="2553" max="2553" width="9.81640625" style="22" customWidth="1"/>
    <col min="2554" max="2554" width="14.453125" style="22" customWidth="1"/>
    <col min="2555" max="2555" width="7.26953125" style="22" customWidth="1"/>
    <col min="2556" max="2556" width="5.54296875" style="22" customWidth="1"/>
    <col min="2557" max="2557" width="9" style="22" customWidth="1"/>
    <col min="2558" max="2559" width="9.81640625" style="22" customWidth="1"/>
    <col min="2560" max="2560" width="11.1796875" style="22" customWidth="1"/>
    <col min="2561" max="2561" width="2.81640625" style="22" customWidth="1"/>
    <col min="2562" max="2562" width="3.54296875" style="22" customWidth="1"/>
    <col min="2563" max="2807" width="9.1796875" style="22"/>
    <col min="2808" max="2808" width="8.7265625" style="22" customWidth="1"/>
    <col min="2809" max="2809" width="9.81640625" style="22" customWidth="1"/>
    <col min="2810" max="2810" width="14.453125" style="22" customWidth="1"/>
    <col min="2811" max="2811" width="7.26953125" style="22" customWidth="1"/>
    <col min="2812" max="2812" width="5.54296875" style="22" customWidth="1"/>
    <col min="2813" max="2813" width="9" style="22" customWidth="1"/>
    <col min="2814" max="2815" width="9.81640625" style="22" customWidth="1"/>
    <col min="2816" max="2816" width="11.1796875" style="22" customWidth="1"/>
    <col min="2817" max="2817" width="2.81640625" style="22" customWidth="1"/>
    <col min="2818" max="2818" width="3.54296875" style="22" customWidth="1"/>
    <col min="2819" max="3063" width="9.1796875" style="22"/>
    <col min="3064" max="3064" width="8.7265625" style="22" customWidth="1"/>
    <col min="3065" max="3065" width="9.81640625" style="22" customWidth="1"/>
    <col min="3066" max="3066" width="14.453125" style="22" customWidth="1"/>
    <col min="3067" max="3067" width="7.26953125" style="22" customWidth="1"/>
    <col min="3068" max="3068" width="5.54296875" style="22" customWidth="1"/>
    <col min="3069" max="3069" width="9" style="22" customWidth="1"/>
    <col min="3070" max="3071" width="9.81640625" style="22" customWidth="1"/>
    <col min="3072" max="3072" width="11.1796875" style="22" customWidth="1"/>
    <col min="3073" max="3073" width="2.81640625" style="22" customWidth="1"/>
    <col min="3074" max="3074" width="3.54296875" style="22" customWidth="1"/>
    <col min="3075" max="3319" width="9.1796875" style="22"/>
    <col min="3320" max="3320" width="8.7265625" style="22" customWidth="1"/>
    <col min="3321" max="3321" width="9.81640625" style="22" customWidth="1"/>
    <col min="3322" max="3322" width="14.453125" style="22" customWidth="1"/>
    <col min="3323" max="3323" width="7.26953125" style="22" customWidth="1"/>
    <col min="3324" max="3324" width="5.54296875" style="22" customWidth="1"/>
    <col min="3325" max="3325" width="9" style="22" customWidth="1"/>
    <col min="3326" max="3327" width="9.81640625" style="22" customWidth="1"/>
    <col min="3328" max="3328" width="11.1796875" style="22" customWidth="1"/>
    <col min="3329" max="3329" width="2.81640625" style="22" customWidth="1"/>
    <col min="3330" max="3330" width="3.54296875" style="22" customWidth="1"/>
    <col min="3331" max="3575" width="9.1796875" style="22"/>
    <col min="3576" max="3576" width="8.7265625" style="22" customWidth="1"/>
    <col min="3577" max="3577" width="9.81640625" style="22" customWidth="1"/>
    <col min="3578" max="3578" width="14.453125" style="22" customWidth="1"/>
    <col min="3579" max="3579" width="7.26953125" style="22" customWidth="1"/>
    <col min="3580" max="3580" width="5.54296875" style="22" customWidth="1"/>
    <col min="3581" max="3581" width="9" style="22" customWidth="1"/>
    <col min="3582" max="3583" width="9.81640625" style="22" customWidth="1"/>
    <col min="3584" max="3584" width="11.1796875" style="22" customWidth="1"/>
    <col min="3585" max="3585" width="2.81640625" style="22" customWidth="1"/>
    <col min="3586" max="3586" width="3.54296875" style="22" customWidth="1"/>
    <col min="3587" max="3831" width="9.1796875" style="22"/>
    <col min="3832" max="3832" width="8.7265625" style="22" customWidth="1"/>
    <col min="3833" max="3833" width="9.81640625" style="22" customWidth="1"/>
    <col min="3834" max="3834" width="14.453125" style="22" customWidth="1"/>
    <col min="3835" max="3835" width="7.26953125" style="22" customWidth="1"/>
    <col min="3836" max="3836" width="5.54296875" style="22" customWidth="1"/>
    <col min="3837" max="3837" width="9" style="22" customWidth="1"/>
    <col min="3838" max="3839" width="9.81640625" style="22" customWidth="1"/>
    <col min="3840" max="3840" width="11.1796875" style="22" customWidth="1"/>
    <col min="3841" max="3841" width="2.81640625" style="22" customWidth="1"/>
    <col min="3842" max="3842" width="3.54296875" style="22" customWidth="1"/>
    <col min="3843" max="4087" width="9.1796875" style="22"/>
    <col min="4088" max="4088" width="8.7265625" style="22" customWidth="1"/>
    <col min="4089" max="4089" width="9.81640625" style="22" customWidth="1"/>
    <col min="4090" max="4090" width="14.453125" style="22" customWidth="1"/>
    <col min="4091" max="4091" width="7.26953125" style="22" customWidth="1"/>
    <col min="4092" max="4092" width="5.54296875" style="22" customWidth="1"/>
    <col min="4093" max="4093" width="9" style="22" customWidth="1"/>
    <col min="4094" max="4095" width="9.81640625" style="22" customWidth="1"/>
    <col min="4096" max="4096" width="11.1796875" style="22" customWidth="1"/>
    <col min="4097" max="4097" width="2.81640625" style="22" customWidth="1"/>
    <col min="4098" max="4098" width="3.54296875" style="22" customWidth="1"/>
    <col min="4099" max="4343" width="9.1796875" style="22"/>
    <col min="4344" max="4344" width="8.7265625" style="22" customWidth="1"/>
    <col min="4345" max="4345" width="9.81640625" style="22" customWidth="1"/>
    <col min="4346" max="4346" width="14.453125" style="22" customWidth="1"/>
    <col min="4347" max="4347" width="7.26953125" style="22" customWidth="1"/>
    <col min="4348" max="4348" width="5.54296875" style="22" customWidth="1"/>
    <col min="4349" max="4349" width="9" style="22" customWidth="1"/>
    <col min="4350" max="4351" width="9.81640625" style="22" customWidth="1"/>
    <col min="4352" max="4352" width="11.1796875" style="22" customWidth="1"/>
    <col min="4353" max="4353" width="2.81640625" style="22" customWidth="1"/>
    <col min="4354" max="4354" width="3.54296875" style="22" customWidth="1"/>
    <col min="4355" max="4599" width="9.1796875" style="22"/>
    <col min="4600" max="4600" width="8.7265625" style="22" customWidth="1"/>
    <col min="4601" max="4601" width="9.81640625" style="22" customWidth="1"/>
    <col min="4602" max="4602" width="14.453125" style="22" customWidth="1"/>
    <col min="4603" max="4603" width="7.26953125" style="22" customWidth="1"/>
    <col min="4604" max="4604" width="5.54296875" style="22" customWidth="1"/>
    <col min="4605" max="4605" width="9" style="22" customWidth="1"/>
    <col min="4606" max="4607" width="9.81640625" style="22" customWidth="1"/>
    <col min="4608" max="4608" width="11.1796875" style="22" customWidth="1"/>
    <col min="4609" max="4609" width="2.81640625" style="22" customWidth="1"/>
    <col min="4610" max="4610" width="3.54296875" style="22" customWidth="1"/>
    <col min="4611" max="4855" width="9.1796875" style="22"/>
    <col min="4856" max="4856" width="8.7265625" style="22" customWidth="1"/>
    <col min="4857" max="4857" width="9.81640625" style="22" customWidth="1"/>
    <col min="4858" max="4858" width="14.453125" style="22" customWidth="1"/>
    <col min="4859" max="4859" width="7.26953125" style="22" customWidth="1"/>
    <col min="4860" max="4860" width="5.54296875" style="22" customWidth="1"/>
    <col min="4861" max="4861" width="9" style="22" customWidth="1"/>
    <col min="4862" max="4863" width="9.81640625" style="22" customWidth="1"/>
    <col min="4864" max="4864" width="11.1796875" style="22" customWidth="1"/>
    <col min="4865" max="4865" width="2.81640625" style="22" customWidth="1"/>
    <col min="4866" max="4866" width="3.54296875" style="22" customWidth="1"/>
    <col min="4867" max="5111" width="9.1796875" style="22"/>
    <col min="5112" max="5112" width="8.7265625" style="22" customWidth="1"/>
    <col min="5113" max="5113" width="9.81640625" style="22" customWidth="1"/>
    <col min="5114" max="5114" width="14.453125" style="22" customWidth="1"/>
    <col min="5115" max="5115" width="7.26953125" style="22" customWidth="1"/>
    <col min="5116" max="5116" width="5.54296875" style="22" customWidth="1"/>
    <col min="5117" max="5117" width="9" style="22" customWidth="1"/>
    <col min="5118" max="5119" width="9.81640625" style="22" customWidth="1"/>
    <col min="5120" max="5120" width="11.1796875" style="22" customWidth="1"/>
    <col min="5121" max="5121" width="2.81640625" style="22" customWidth="1"/>
    <col min="5122" max="5122" width="3.54296875" style="22" customWidth="1"/>
    <col min="5123" max="5367" width="9.1796875" style="22"/>
    <col min="5368" max="5368" width="8.7265625" style="22" customWidth="1"/>
    <col min="5369" max="5369" width="9.81640625" style="22" customWidth="1"/>
    <col min="5370" max="5370" width="14.453125" style="22" customWidth="1"/>
    <col min="5371" max="5371" width="7.26953125" style="22" customWidth="1"/>
    <col min="5372" max="5372" width="5.54296875" style="22" customWidth="1"/>
    <col min="5373" max="5373" width="9" style="22" customWidth="1"/>
    <col min="5374" max="5375" width="9.81640625" style="22" customWidth="1"/>
    <col min="5376" max="5376" width="11.1796875" style="22" customWidth="1"/>
    <col min="5377" max="5377" width="2.81640625" style="22" customWidth="1"/>
    <col min="5378" max="5378" width="3.54296875" style="22" customWidth="1"/>
    <col min="5379" max="5623" width="9.1796875" style="22"/>
    <col min="5624" max="5624" width="8.7265625" style="22" customWidth="1"/>
    <col min="5625" max="5625" width="9.81640625" style="22" customWidth="1"/>
    <col min="5626" max="5626" width="14.453125" style="22" customWidth="1"/>
    <col min="5627" max="5627" width="7.26953125" style="22" customWidth="1"/>
    <col min="5628" max="5628" width="5.54296875" style="22" customWidth="1"/>
    <col min="5629" max="5629" width="9" style="22" customWidth="1"/>
    <col min="5630" max="5631" width="9.81640625" style="22" customWidth="1"/>
    <col min="5632" max="5632" width="11.1796875" style="22" customWidth="1"/>
    <col min="5633" max="5633" width="2.81640625" style="22" customWidth="1"/>
    <col min="5634" max="5634" width="3.54296875" style="22" customWidth="1"/>
    <col min="5635" max="5879" width="9.1796875" style="22"/>
    <col min="5880" max="5880" width="8.7265625" style="22" customWidth="1"/>
    <col min="5881" max="5881" width="9.81640625" style="22" customWidth="1"/>
    <col min="5882" max="5882" width="14.453125" style="22" customWidth="1"/>
    <col min="5883" max="5883" width="7.26953125" style="22" customWidth="1"/>
    <col min="5884" max="5884" width="5.54296875" style="22" customWidth="1"/>
    <col min="5885" max="5885" width="9" style="22" customWidth="1"/>
    <col min="5886" max="5887" width="9.81640625" style="22" customWidth="1"/>
    <col min="5888" max="5888" width="11.1796875" style="22" customWidth="1"/>
    <col min="5889" max="5889" width="2.81640625" style="22" customWidth="1"/>
    <col min="5890" max="5890" width="3.54296875" style="22" customWidth="1"/>
    <col min="5891" max="6135" width="9.1796875" style="22"/>
    <col min="6136" max="6136" width="8.7265625" style="22" customWidth="1"/>
    <col min="6137" max="6137" width="9.81640625" style="22" customWidth="1"/>
    <col min="6138" max="6138" width="14.453125" style="22" customWidth="1"/>
    <col min="6139" max="6139" width="7.26953125" style="22" customWidth="1"/>
    <col min="6140" max="6140" width="5.54296875" style="22" customWidth="1"/>
    <col min="6141" max="6141" width="9" style="22" customWidth="1"/>
    <col min="6142" max="6143" width="9.81640625" style="22" customWidth="1"/>
    <col min="6144" max="6144" width="11.1796875" style="22" customWidth="1"/>
    <col min="6145" max="6145" width="2.81640625" style="22" customWidth="1"/>
    <col min="6146" max="6146" width="3.54296875" style="22" customWidth="1"/>
    <col min="6147" max="6391" width="9.1796875" style="22"/>
    <col min="6392" max="6392" width="8.7265625" style="22" customWidth="1"/>
    <col min="6393" max="6393" width="9.81640625" style="22" customWidth="1"/>
    <col min="6394" max="6394" width="14.453125" style="22" customWidth="1"/>
    <col min="6395" max="6395" width="7.26953125" style="22" customWidth="1"/>
    <col min="6396" max="6396" width="5.54296875" style="22" customWidth="1"/>
    <col min="6397" max="6397" width="9" style="22" customWidth="1"/>
    <col min="6398" max="6399" width="9.81640625" style="22" customWidth="1"/>
    <col min="6400" max="6400" width="11.1796875" style="22" customWidth="1"/>
    <col min="6401" max="6401" width="2.81640625" style="22" customWidth="1"/>
    <col min="6402" max="6402" width="3.54296875" style="22" customWidth="1"/>
    <col min="6403" max="6647" width="9.1796875" style="22"/>
    <col min="6648" max="6648" width="8.7265625" style="22" customWidth="1"/>
    <col min="6649" max="6649" width="9.81640625" style="22" customWidth="1"/>
    <col min="6650" max="6650" width="14.453125" style="22" customWidth="1"/>
    <col min="6651" max="6651" width="7.26953125" style="22" customWidth="1"/>
    <col min="6652" max="6652" width="5.54296875" style="22" customWidth="1"/>
    <col min="6653" max="6653" width="9" style="22" customWidth="1"/>
    <col min="6654" max="6655" width="9.81640625" style="22" customWidth="1"/>
    <col min="6656" max="6656" width="11.1796875" style="22" customWidth="1"/>
    <col min="6657" max="6657" width="2.81640625" style="22" customWidth="1"/>
    <col min="6658" max="6658" width="3.54296875" style="22" customWidth="1"/>
    <col min="6659" max="6903" width="9.1796875" style="22"/>
    <col min="6904" max="6904" width="8.7265625" style="22" customWidth="1"/>
    <col min="6905" max="6905" width="9.81640625" style="22" customWidth="1"/>
    <col min="6906" max="6906" width="14.453125" style="22" customWidth="1"/>
    <col min="6907" max="6907" width="7.26953125" style="22" customWidth="1"/>
    <col min="6908" max="6908" width="5.54296875" style="22" customWidth="1"/>
    <col min="6909" max="6909" width="9" style="22" customWidth="1"/>
    <col min="6910" max="6911" width="9.81640625" style="22" customWidth="1"/>
    <col min="6912" max="6912" width="11.1796875" style="22" customWidth="1"/>
    <col min="6913" max="6913" width="2.81640625" style="22" customWidth="1"/>
    <col min="6914" max="6914" width="3.54296875" style="22" customWidth="1"/>
    <col min="6915" max="7159" width="9.1796875" style="22"/>
    <col min="7160" max="7160" width="8.7265625" style="22" customWidth="1"/>
    <col min="7161" max="7161" width="9.81640625" style="22" customWidth="1"/>
    <col min="7162" max="7162" width="14.453125" style="22" customWidth="1"/>
    <col min="7163" max="7163" width="7.26953125" style="22" customWidth="1"/>
    <col min="7164" max="7164" width="5.54296875" style="22" customWidth="1"/>
    <col min="7165" max="7165" width="9" style="22" customWidth="1"/>
    <col min="7166" max="7167" width="9.81640625" style="22" customWidth="1"/>
    <col min="7168" max="7168" width="11.1796875" style="22" customWidth="1"/>
    <col min="7169" max="7169" width="2.81640625" style="22" customWidth="1"/>
    <col min="7170" max="7170" width="3.54296875" style="22" customWidth="1"/>
    <col min="7171" max="7415" width="9.1796875" style="22"/>
    <col min="7416" max="7416" width="8.7265625" style="22" customWidth="1"/>
    <col min="7417" max="7417" width="9.81640625" style="22" customWidth="1"/>
    <col min="7418" max="7418" width="14.453125" style="22" customWidth="1"/>
    <col min="7419" max="7419" width="7.26953125" style="22" customWidth="1"/>
    <col min="7420" max="7420" width="5.54296875" style="22" customWidth="1"/>
    <col min="7421" max="7421" width="9" style="22" customWidth="1"/>
    <col min="7422" max="7423" width="9.81640625" style="22" customWidth="1"/>
    <col min="7424" max="7424" width="11.1796875" style="22" customWidth="1"/>
    <col min="7425" max="7425" width="2.81640625" style="22" customWidth="1"/>
    <col min="7426" max="7426" width="3.54296875" style="22" customWidth="1"/>
    <col min="7427" max="7671" width="9.1796875" style="22"/>
    <col min="7672" max="7672" width="8.7265625" style="22" customWidth="1"/>
    <col min="7673" max="7673" width="9.81640625" style="22" customWidth="1"/>
    <col min="7674" max="7674" width="14.453125" style="22" customWidth="1"/>
    <col min="7675" max="7675" width="7.26953125" style="22" customWidth="1"/>
    <col min="7676" max="7676" width="5.54296875" style="22" customWidth="1"/>
    <col min="7677" max="7677" width="9" style="22" customWidth="1"/>
    <col min="7678" max="7679" width="9.81640625" style="22" customWidth="1"/>
    <col min="7680" max="7680" width="11.1796875" style="22" customWidth="1"/>
    <col min="7681" max="7681" width="2.81640625" style="22" customWidth="1"/>
    <col min="7682" max="7682" width="3.54296875" style="22" customWidth="1"/>
    <col min="7683" max="7927" width="9.1796875" style="22"/>
    <col min="7928" max="7928" width="8.7265625" style="22" customWidth="1"/>
    <col min="7929" max="7929" width="9.81640625" style="22" customWidth="1"/>
    <col min="7930" max="7930" width="14.453125" style="22" customWidth="1"/>
    <col min="7931" max="7931" width="7.26953125" style="22" customWidth="1"/>
    <col min="7932" max="7932" width="5.54296875" style="22" customWidth="1"/>
    <col min="7933" max="7933" width="9" style="22" customWidth="1"/>
    <col min="7934" max="7935" width="9.81640625" style="22" customWidth="1"/>
    <col min="7936" max="7936" width="11.1796875" style="22" customWidth="1"/>
    <col min="7937" max="7937" width="2.81640625" style="22" customWidth="1"/>
    <col min="7938" max="7938" width="3.54296875" style="22" customWidth="1"/>
    <col min="7939" max="8183" width="9.1796875" style="22"/>
    <col min="8184" max="8184" width="8.7265625" style="22" customWidth="1"/>
    <col min="8185" max="8185" width="9.81640625" style="22" customWidth="1"/>
    <col min="8186" max="8186" width="14.453125" style="22" customWidth="1"/>
    <col min="8187" max="8187" width="7.26953125" style="22" customWidth="1"/>
    <col min="8188" max="8188" width="5.54296875" style="22" customWidth="1"/>
    <col min="8189" max="8189" width="9" style="22" customWidth="1"/>
    <col min="8190" max="8191" width="9.81640625" style="22" customWidth="1"/>
    <col min="8192" max="8192" width="11.1796875" style="22" customWidth="1"/>
    <col min="8193" max="8193" width="2.81640625" style="22" customWidth="1"/>
    <col min="8194" max="8194" width="3.54296875" style="22" customWidth="1"/>
    <col min="8195" max="8439" width="9.1796875" style="22"/>
    <col min="8440" max="8440" width="8.7265625" style="22" customWidth="1"/>
    <col min="8441" max="8441" width="9.81640625" style="22" customWidth="1"/>
    <col min="8442" max="8442" width="14.453125" style="22" customWidth="1"/>
    <col min="8443" max="8443" width="7.26953125" style="22" customWidth="1"/>
    <col min="8444" max="8444" width="5.54296875" style="22" customWidth="1"/>
    <col min="8445" max="8445" width="9" style="22" customWidth="1"/>
    <col min="8446" max="8447" width="9.81640625" style="22" customWidth="1"/>
    <col min="8448" max="8448" width="11.1796875" style="22" customWidth="1"/>
    <col min="8449" max="8449" width="2.81640625" style="22" customWidth="1"/>
    <col min="8450" max="8450" width="3.54296875" style="22" customWidth="1"/>
    <col min="8451" max="8695" width="9.1796875" style="22"/>
    <col min="8696" max="8696" width="8.7265625" style="22" customWidth="1"/>
    <col min="8697" max="8697" width="9.81640625" style="22" customWidth="1"/>
    <col min="8698" max="8698" width="14.453125" style="22" customWidth="1"/>
    <col min="8699" max="8699" width="7.26953125" style="22" customWidth="1"/>
    <col min="8700" max="8700" width="5.54296875" style="22" customWidth="1"/>
    <col min="8701" max="8701" width="9" style="22" customWidth="1"/>
    <col min="8702" max="8703" width="9.81640625" style="22" customWidth="1"/>
    <col min="8704" max="8704" width="11.1796875" style="22" customWidth="1"/>
    <col min="8705" max="8705" width="2.81640625" style="22" customWidth="1"/>
    <col min="8706" max="8706" width="3.54296875" style="22" customWidth="1"/>
    <col min="8707" max="8951" width="9.1796875" style="22"/>
    <col min="8952" max="8952" width="8.7265625" style="22" customWidth="1"/>
    <col min="8953" max="8953" width="9.81640625" style="22" customWidth="1"/>
    <col min="8954" max="8954" width="14.453125" style="22" customWidth="1"/>
    <col min="8955" max="8955" width="7.26953125" style="22" customWidth="1"/>
    <col min="8956" max="8956" width="5.54296875" style="22" customWidth="1"/>
    <col min="8957" max="8957" width="9" style="22" customWidth="1"/>
    <col min="8958" max="8959" width="9.81640625" style="22" customWidth="1"/>
    <col min="8960" max="8960" width="11.1796875" style="22" customWidth="1"/>
    <col min="8961" max="8961" width="2.81640625" style="22" customWidth="1"/>
    <col min="8962" max="8962" width="3.54296875" style="22" customWidth="1"/>
    <col min="8963" max="9207" width="9.1796875" style="22"/>
    <col min="9208" max="9208" width="8.7265625" style="22" customWidth="1"/>
    <col min="9209" max="9209" width="9.81640625" style="22" customWidth="1"/>
    <col min="9210" max="9210" width="14.453125" style="22" customWidth="1"/>
    <col min="9211" max="9211" width="7.26953125" style="22" customWidth="1"/>
    <col min="9212" max="9212" width="5.54296875" style="22" customWidth="1"/>
    <col min="9213" max="9213" width="9" style="22" customWidth="1"/>
    <col min="9214" max="9215" width="9.81640625" style="22" customWidth="1"/>
    <col min="9216" max="9216" width="11.1796875" style="22" customWidth="1"/>
    <col min="9217" max="9217" width="2.81640625" style="22" customWidth="1"/>
    <col min="9218" max="9218" width="3.54296875" style="22" customWidth="1"/>
    <col min="9219" max="9463" width="9.1796875" style="22"/>
    <col min="9464" max="9464" width="8.7265625" style="22" customWidth="1"/>
    <col min="9465" max="9465" width="9.81640625" style="22" customWidth="1"/>
    <col min="9466" max="9466" width="14.453125" style="22" customWidth="1"/>
    <col min="9467" max="9467" width="7.26953125" style="22" customWidth="1"/>
    <col min="9468" max="9468" width="5.54296875" style="22" customWidth="1"/>
    <col min="9469" max="9469" width="9" style="22" customWidth="1"/>
    <col min="9470" max="9471" width="9.81640625" style="22" customWidth="1"/>
    <col min="9472" max="9472" width="11.1796875" style="22" customWidth="1"/>
    <col min="9473" max="9473" width="2.81640625" style="22" customWidth="1"/>
    <col min="9474" max="9474" width="3.54296875" style="22" customWidth="1"/>
    <col min="9475" max="9719" width="9.1796875" style="22"/>
    <col min="9720" max="9720" width="8.7265625" style="22" customWidth="1"/>
    <col min="9721" max="9721" width="9.81640625" style="22" customWidth="1"/>
    <col min="9722" max="9722" width="14.453125" style="22" customWidth="1"/>
    <col min="9723" max="9723" width="7.26953125" style="22" customWidth="1"/>
    <col min="9724" max="9724" width="5.54296875" style="22" customWidth="1"/>
    <col min="9725" max="9725" width="9" style="22" customWidth="1"/>
    <col min="9726" max="9727" width="9.81640625" style="22" customWidth="1"/>
    <col min="9728" max="9728" width="11.1796875" style="22" customWidth="1"/>
    <col min="9729" max="9729" width="2.81640625" style="22" customWidth="1"/>
    <col min="9730" max="9730" width="3.54296875" style="22" customWidth="1"/>
    <col min="9731" max="9975" width="9.1796875" style="22"/>
    <col min="9976" max="9976" width="8.7265625" style="22" customWidth="1"/>
    <col min="9977" max="9977" width="9.81640625" style="22" customWidth="1"/>
    <col min="9978" max="9978" width="14.453125" style="22" customWidth="1"/>
    <col min="9979" max="9979" width="7.26953125" style="22" customWidth="1"/>
    <col min="9980" max="9980" width="5.54296875" style="22" customWidth="1"/>
    <col min="9981" max="9981" width="9" style="22" customWidth="1"/>
    <col min="9982" max="9983" width="9.81640625" style="22" customWidth="1"/>
    <col min="9984" max="9984" width="11.1796875" style="22" customWidth="1"/>
    <col min="9985" max="9985" width="2.81640625" style="22" customWidth="1"/>
    <col min="9986" max="9986" width="3.54296875" style="22" customWidth="1"/>
    <col min="9987" max="10231" width="9.1796875" style="22"/>
    <col min="10232" max="10232" width="8.7265625" style="22" customWidth="1"/>
    <col min="10233" max="10233" width="9.81640625" style="22" customWidth="1"/>
    <col min="10234" max="10234" width="14.453125" style="22" customWidth="1"/>
    <col min="10235" max="10235" width="7.26953125" style="22" customWidth="1"/>
    <col min="10236" max="10236" width="5.54296875" style="22" customWidth="1"/>
    <col min="10237" max="10237" width="9" style="22" customWidth="1"/>
    <col min="10238" max="10239" width="9.81640625" style="22" customWidth="1"/>
    <col min="10240" max="10240" width="11.1796875" style="22" customWidth="1"/>
    <col min="10241" max="10241" width="2.81640625" style="22" customWidth="1"/>
    <col min="10242" max="10242" width="3.54296875" style="22" customWidth="1"/>
    <col min="10243" max="10487" width="9.1796875" style="22"/>
    <col min="10488" max="10488" width="8.7265625" style="22" customWidth="1"/>
    <col min="10489" max="10489" width="9.81640625" style="22" customWidth="1"/>
    <col min="10490" max="10490" width="14.453125" style="22" customWidth="1"/>
    <col min="10491" max="10491" width="7.26953125" style="22" customWidth="1"/>
    <col min="10492" max="10492" width="5.54296875" style="22" customWidth="1"/>
    <col min="10493" max="10493" width="9" style="22" customWidth="1"/>
    <col min="10494" max="10495" width="9.81640625" style="22" customWidth="1"/>
    <col min="10496" max="10496" width="11.1796875" style="22" customWidth="1"/>
    <col min="10497" max="10497" width="2.81640625" style="22" customWidth="1"/>
    <col min="10498" max="10498" width="3.54296875" style="22" customWidth="1"/>
    <col min="10499" max="10743" width="9.1796875" style="22"/>
    <col min="10744" max="10744" width="8.7265625" style="22" customWidth="1"/>
    <col min="10745" max="10745" width="9.81640625" style="22" customWidth="1"/>
    <col min="10746" max="10746" width="14.453125" style="22" customWidth="1"/>
    <col min="10747" max="10747" width="7.26953125" style="22" customWidth="1"/>
    <col min="10748" max="10748" width="5.54296875" style="22" customWidth="1"/>
    <col min="10749" max="10749" width="9" style="22" customWidth="1"/>
    <col min="10750" max="10751" width="9.81640625" style="22" customWidth="1"/>
    <col min="10752" max="10752" width="11.1796875" style="22" customWidth="1"/>
    <col min="10753" max="10753" width="2.81640625" style="22" customWidth="1"/>
    <col min="10754" max="10754" width="3.54296875" style="22" customWidth="1"/>
    <col min="10755" max="10999" width="9.1796875" style="22"/>
    <col min="11000" max="11000" width="8.7265625" style="22" customWidth="1"/>
    <col min="11001" max="11001" width="9.81640625" style="22" customWidth="1"/>
    <col min="11002" max="11002" width="14.453125" style="22" customWidth="1"/>
    <col min="11003" max="11003" width="7.26953125" style="22" customWidth="1"/>
    <col min="11004" max="11004" width="5.54296875" style="22" customWidth="1"/>
    <col min="11005" max="11005" width="9" style="22" customWidth="1"/>
    <col min="11006" max="11007" width="9.81640625" style="22" customWidth="1"/>
    <col min="11008" max="11008" width="11.1796875" style="22" customWidth="1"/>
    <col min="11009" max="11009" width="2.81640625" style="22" customWidth="1"/>
    <col min="11010" max="11010" width="3.54296875" style="22" customWidth="1"/>
    <col min="11011" max="11255" width="9.1796875" style="22"/>
    <col min="11256" max="11256" width="8.7265625" style="22" customWidth="1"/>
    <col min="11257" max="11257" width="9.81640625" style="22" customWidth="1"/>
    <col min="11258" max="11258" width="14.453125" style="22" customWidth="1"/>
    <col min="11259" max="11259" width="7.26953125" style="22" customWidth="1"/>
    <col min="11260" max="11260" width="5.54296875" style="22" customWidth="1"/>
    <col min="11261" max="11261" width="9" style="22" customWidth="1"/>
    <col min="11262" max="11263" width="9.81640625" style="22" customWidth="1"/>
    <col min="11264" max="11264" width="11.1796875" style="22" customWidth="1"/>
    <col min="11265" max="11265" width="2.81640625" style="22" customWidth="1"/>
    <col min="11266" max="11266" width="3.54296875" style="22" customWidth="1"/>
    <col min="11267" max="11511" width="9.1796875" style="22"/>
    <col min="11512" max="11512" width="8.7265625" style="22" customWidth="1"/>
    <col min="11513" max="11513" width="9.81640625" style="22" customWidth="1"/>
    <col min="11514" max="11514" width="14.453125" style="22" customWidth="1"/>
    <col min="11515" max="11515" width="7.26953125" style="22" customWidth="1"/>
    <col min="11516" max="11516" width="5.54296875" style="22" customWidth="1"/>
    <col min="11517" max="11517" width="9" style="22" customWidth="1"/>
    <col min="11518" max="11519" width="9.81640625" style="22" customWidth="1"/>
    <col min="11520" max="11520" width="11.1796875" style="22" customWidth="1"/>
    <col min="11521" max="11521" width="2.81640625" style="22" customWidth="1"/>
    <col min="11522" max="11522" width="3.54296875" style="22" customWidth="1"/>
    <col min="11523" max="11767" width="9.1796875" style="22"/>
    <col min="11768" max="11768" width="8.7265625" style="22" customWidth="1"/>
    <col min="11769" max="11769" width="9.81640625" style="22" customWidth="1"/>
    <col min="11770" max="11770" width="14.453125" style="22" customWidth="1"/>
    <col min="11771" max="11771" width="7.26953125" style="22" customWidth="1"/>
    <col min="11772" max="11772" width="5.54296875" style="22" customWidth="1"/>
    <col min="11773" max="11773" width="9" style="22" customWidth="1"/>
    <col min="11774" max="11775" width="9.81640625" style="22" customWidth="1"/>
    <col min="11776" max="11776" width="11.1796875" style="22" customWidth="1"/>
    <col min="11777" max="11777" width="2.81640625" style="22" customWidth="1"/>
    <col min="11778" max="11778" width="3.54296875" style="22" customWidth="1"/>
    <col min="11779" max="12023" width="9.1796875" style="22"/>
    <col min="12024" max="12024" width="8.7265625" style="22" customWidth="1"/>
    <col min="12025" max="12025" width="9.81640625" style="22" customWidth="1"/>
    <col min="12026" max="12026" width="14.453125" style="22" customWidth="1"/>
    <col min="12027" max="12027" width="7.26953125" style="22" customWidth="1"/>
    <col min="12028" max="12028" width="5.54296875" style="22" customWidth="1"/>
    <col min="12029" max="12029" width="9" style="22" customWidth="1"/>
    <col min="12030" max="12031" width="9.81640625" style="22" customWidth="1"/>
    <col min="12032" max="12032" width="11.1796875" style="22" customWidth="1"/>
    <col min="12033" max="12033" width="2.81640625" style="22" customWidth="1"/>
    <col min="12034" max="12034" width="3.54296875" style="22" customWidth="1"/>
    <col min="12035" max="12279" width="9.1796875" style="22"/>
    <col min="12280" max="12280" width="8.7265625" style="22" customWidth="1"/>
    <col min="12281" max="12281" width="9.81640625" style="22" customWidth="1"/>
    <col min="12282" max="12282" width="14.453125" style="22" customWidth="1"/>
    <col min="12283" max="12283" width="7.26953125" style="22" customWidth="1"/>
    <col min="12284" max="12284" width="5.54296875" style="22" customWidth="1"/>
    <col min="12285" max="12285" width="9" style="22" customWidth="1"/>
    <col min="12286" max="12287" width="9.81640625" style="22" customWidth="1"/>
    <col min="12288" max="12288" width="11.1796875" style="22" customWidth="1"/>
    <col min="12289" max="12289" width="2.81640625" style="22" customWidth="1"/>
    <col min="12290" max="12290" width="3.54296875" style="22" customWidth="1"/>
    <col min="12291" max="12535" width="9.1796875" style="22"/>
    <col min="12536" max="12536" width="8.7265625" style="22" customWidth="1"/>
    <col min="12537" max="12537" width="9.81640625" style="22" customWidth="1"/>
    <col min="12538" max="12538" width="14.453125" style="22" customWidth="1"/>
    <col min="12539" max="12539" width="7.26953125" style="22" customWidth="1"/>
    <col min="12540" max="12540" width="5.54296875" style="22" customWidth="1"/>
    <col min="12541" max="12541" width="9" style="22" customWidth="1"/>
    <col min="12542" max="12543" width="9.81640625" style="22" customWidth="1"/>
    <col min="12544" max="12544" width="11.1796875" style="22" customWidth="1"/>
    <col min="12545" max="12545" width="2.81640625" style="22" customWidth="1"/>
    <col min="12546" max="12546" width="3.54296875" style="22" customWidth="1"/>
    <col min="12547" max="12791" width="9.1796875" style="22"/>
    <col min="12792" max="12792" width="8.7265625" style="22" customWidth="1"/>
    <col min="12793" max="12793" width="9.81640625" style="22" customWidth="1"/>
    <col min="12794" max="12794" width="14.453125" style="22" customWidth="1"/>
    <col min="12795" max="12795" width="7.26953125" style="22" customWidth="1"/>
    <col min="12796" max="12796" width="5.54296875" style="22" customWidth="1"/>
    <col min="12797" max="12797" width="9" style="22" customWidth="1"/>
    <col min="12798" max="12799" width="9.81640625" style="22" customWidth="1"/>
    <col min="12800" max="12800" width="11.1796875" style="22" customWidth="1"/>
    <col min="12801" max="12801" width="2.81640625" style="22" customWidth="1"/>
    <col min="12802" max="12802" width="3.54296875" style="22" customWidth="1"/>
    <col min="12803" max="13047" width="9.1796875" style="22"/>
    <col min="13048" max="13048" width="8.7265625" style="22" customWidth="1"/>
    <col min="13049" max="13049" width="9.81640625" style="22" customWidth="1"/>
    <col min="13050" max="13050" width="14.453125" style="22" customWidth="1"/>
    <col min="13051" max="13051" width="7.26953125" style="22" customWidth="1"/>
    <col min="13052" max="13052" width="5.54296875" style="22" customWidth="1"/>
    <col min="13053" max="13053" width="9" style="22" customWidth="1"/>
    <col min="13054" max="13055" width="9.81640625" style="22" customWidth="1"/>
    <col min="13056" max="13056" width="11.1796875" style="22" customWidth="1"/>
    <col min="13057" max="13057" width="2.81640625" style="22" customWidth="1"/>
    <col min="13058" max="13058" width="3.54296875" style="22" customWidth="1"/>
    <col min="13059" max="13303" width="9.1796875" style="22"/>
    <col min="13304" max="13304" width="8.7265625" style="22" customWidth="1"/>
    <col min="13305" max="13305" width="9.81640625" style="22" customWidth="1"/>
    <col min="13306" max="13306" width="14.453125" style="22" customWidth="1"/>
    <col min="13307" max="13307" width="7.26953125" style="22" customWidth="1"/>
    <col min="13308" max="13308" width="5.54296875" style="22" customWidth="1"/>
    <col min="13309" max="13309" width="9" style="22" customWidth="1"/>
    <col min="13310" max="13311" width="9.81640625" style="22" customWidth="1"/>
    <col min="13312" max="13312" width="11.1796875" style="22" customWidth="1"/>
    <col min="13313" max="13313" width="2.81640625" style="22" customWidth="1"/>
    <col min="13314" max="13314" width="3.54296875" style="22" customWidth="1"/>
    <col min="13315" max="13559" width="9.1796875" style="22"/>
    <col min="13560" max="13560" width="8.7265625" style="22" customWidth="1"/>
    <col min="13561" max="13561" width="9.81640625" style="22" customWidth="1"/>
    <col min="13562" max="13562" width="14.453125" style="22" customWidth="1"/>
    <col min="13563" max="13563" width="7.26953125" style="22" customWidth="1"/>
    <col min="13564" max="13564" width="5.54296875" style="22" customWidth="1"/>
    <col min="13565" max="13565" width="9" style="22" customWidth="1"/>
    <col min="13566" max="13567" width="9.81640625" style="22" customWidth="1"/>
    <col min="13568" max="13568" width="11.1796875" style="22" customWidth="1"/>
    <col min="13569" max="13569" width="2.81640625" style="22" customWidth="1"/>
    <col min="13570" max="13570" width="3.54296875" style="22" customWidth="1"/>
    <col min="13571" max="13815" width="9.1796875" style="22"/>
    <col min="13816" max="13816" width="8.7265625" style="22" customWidth="1"/>
    <col min="13817" max="13817" width="9.81640625" style="22" customWidth="1"/>
    <col min="13818" max="13818" width="14.453125" style="22" customWidth="1"/>
    <col min="13819" max="13819" width="7.26953125" style="22" customWidth="1"/>
    <col min="13820" max="13820" width="5.54296875" style="22" customWidth="1"/>
    <col min="13821" max="13821" width="9" style="22" customWidth="1"/>
    <col min="13822" max="13823" width="9.81640625" style="22" customWidth="1"/>
    <col min="13824" max="13824" width="11.1796875" style="22" customWidth="1"/>
    <col min="13825" max="13825" width="2.81640625" style="22" customWidth="1"/>
    <col min="13826" max="13826" width="3.54296875" style="22" customWidth="1"/>
    <col min="13827" max="14071" width="9.1796875" style="22"/>
    <col min="14072" max="14072" width="8.7265625" style="22" customWidth="1"/>
    <col min="14073" max="14073" width="9.81640625" style="22" customWidth="1"/>
    <col min="14074" max="14074" width="14.453125" style="22" customWidth="1"/>
    <col min="14075" max="14075" width="7.26953125" style="22" customWidth="1"/>
    <col min="14076" max="14076" width="5.54296875" style="22" customWidth="1"/>
    <col min="14077" max="14077" width="9" style="22" customWidth="1"/>
    <col min="14078" max="14079" width="9.81640625" style="22" customWidth="1"/>
    <col min="14080" max="14080" width="11.1796875" style="22" customWidth="1"/>
    <col min="14081" max="14081" width="2.81640625" style="22" customWidth="1"/>
    <col min="14082" max="14082" width="3.54296875" style="22" customWidth="1"/>
    <col min="14083" max="14327" width="9.1796875" style="22"/>
    <col min="14328" max="14328" width="8.7265625" style="22" customWidth="1"/>
    <col min="14329" max="14329" width="9.81640625" style="22" customWidth="1"/>
    <col min="14330" max="14330" width="14.453125" style="22" customWidth="1"/>
    <col min="14331" max="14331" width="7.26953125" style="22" customWidth="1"/>
    <col min="14332" max="14332" width="5.54296875" style="22" customWidth="1"/>
    <col min="14333" max="14333" width="9" style="22" customWidth="1"/>
    <col min="14334" max="14335" width="9.81640625" style="22" customWidth="1"/>
    <col min="14336" max="14336" width="11.1796875" style="22" customWidth="1"/>
    <col min="14337" max="14337" width="2.81640625" style="22" customWidth="1"/>
    <col min="14338" max="14338" width="3.54296875" style="22" customWidth="1"/>
    <col min="14339" max="14583" width="9.1796875" style="22"/>
    <col min="14584" max="14584" width="8.7265625" style="22" customWidth="1"/>
    <col min="14585" max="14585" width="9.81640625" style="22" customWidth="1"/>
    <col min="14586" max="14586" width="14.453125" style="22" customWidth="1"/>
    <col min="14587" max="14587" width="7.26953125" style="22" customWidth="1"/>
    <col min="14588" max="14588" width="5.54296875" style="22" customWidth="1"/>
    <col min="14589" max="14589" width="9" style="22" customWidth="1"/>
    <col min="14590" max="14591" width="9.81640625" style="22" customWidth="1"/>
    <col min="14592" max="14592" width="11.1796875" style="22" customWidth="1"/>
    <col min="14593" max="14593" width="2.81640625" style="22" customWidth="1"/>
    <col min="14594" max="14594" width="3.54296875" style="22" customWidth="1"/>
    <col min="14595" max="14839" width="9.1796875" style="22"/>
    <col min="14840" max="14840" width="8.7265625" style="22" customWidth="1"/>
    <col min="14841" max="14841" width="9.81640625" style="22" customWidth="1"/>
    <col min="14842" max="14842" width="14.453125" style="22" customWidth="1"/>
    <col min="14843" max="14843" width="7.26953125" style="22" customWidth="1"/>
    <col min="14844" max="14844" width="5.54296875" style="22" customWidth="1"/>
    <col min="14845" max="14845" width="9" style="22" customWidth="1"/>
    <col min="14846" max="14847" width="9.81640625" style="22" customWidth="1"/>
    <col min="14848" max="14848" width="11.1796875" style="22" customWidth="1"/>
    <col min="14849" max="14849" width="2.81640625" style="22" customWidth="1"/>
    <col min="14850" max="14850" width="3.54296875" style="22" customWidth="1"/>
    <col min="14851" max="15095" width="9.1796875" style="22"/>
    <col min="15096" max="15096" width="8.7265625" style="22" customWidth="1"/>
    <col min="15097" max="15097" width="9.81640625" style="22" customWidth="1"/>
    <col min="15098" max="15098" width="14.453125" style="22" customWidth="1"/>
    <col min="15099" max="15099" width="7.26953125" style="22" customWidth="1"/>
    <col min="15100" max="15100" width="5.54296875" style="22" customWidth="1"/>
    <col min="15101" max="15101" width="9" style="22" customWidth="1"/>
    <col min="15102" max="15103" width="9.81640625" style="22" customWidth="1"/>
    <col min="15104" max="15104" width="11.1796875" style="22" customWidth="1"/>
    <col min="15105" max="15105" width="2.81640625" style="22" customWidth="1"/>
    <col min="15106" max="15106" width="3.54296875" style="22" customWidth="1"/>
    <col min="15107" max="15351" width="9.1796875" style="22"/>
    <col min="15352" max="15352" width="8.7265625" style="22" customWidth="1"/>
    <col min="15353" max="15353" width="9.81640625" style="22" customWidth="1"/>
    <col min="15354" max="15354" width="14.453125" style="22" customWidth="1"/>
    <col min="15355" max="15355" width="7.26953125" style="22" customWidth="1"/>
    <col min="15356" max="15356" width="5.54296875" style="22" customWidth="1"/>
    <col min="15357" max="15357" width="9" style="22" customWidth="1"/>
    <col min="15358" max="15359" width="9.81640625" style="22" customWidth="1"/>
    <col min="15360" max="15360" width="11.1796875" style="22" customWidth="1"/>
    <col min="15361" max="15361" width="2.81640625" style="22" customWidth="1"/>
    <col min="15362" max="15362" width="3.54296875" style="22" customWidth="1"/>
    <col min="15363" max="15607" width="9.1796875" style="22"/>
    <col min="15608" max="15608" width="8.7265625" style="22" customWidth="1"/>
    <col min="15609" max="15609" width="9.81640625" style="22" customWidth="1"/>
    <col min="15610" max="15610" width="14.453125" style="22" customWidth="1"/>
    <col min="15611" max="15611" width="7.26953125" style="22" customWidth="1"/>
    <col min="15612" max="15612" width="5.54296875" style="22" customWidth="1"/>
    <col min="15613" max="15613" width="9" style="22" customWidth="1"/>
    <col min="15614" max="15615" width="9.81640625" style="22" customWidth="1"/>
    <col min="15616" max="15616" width="11.1796875" style="22" customWidth="1"/>
    <col min="15617" max="15617" width="2.81640625" style="22" customWidth="1"/>
    <col min="15618" max="15618" width="3.54296875" style="22" customWidth="1"/>
    <col min="15619" max="15863" width="9.1796875" style="22"/>
    <col min="15864" max="15864" width="8.7265625" style="22" customWidth="1"/>
    <col min="15865" max="15865" width="9.81640625" style="22" customWidth="1"/>
    <col min="15866" max="15866" width="14.453125" style="22" customWidth="1"/>
    <col min="15867" max="15867" width="7.26953125" style="22" customWidth="1"/>
    <col min="15868" max="15868" width="5.54296875" style="22" customWidth="1"/>
    <col min="15869" max="15869" width="9" style="22" customWidth="1"/>
    <col min="15870" max="15871" width="9.81640625" style="22" customWidth="1"/>
    <col min="15872" max="15872" width="11.1796875" style="22" customWidth="1"/>
    <col min="15873" max="15873" width="2.81640625" style="22" customWidth="1"/>
    <col min="15874" max="15874" width="3.54296875" style="22" customWidth="1"/>
    <col min="15875" max="16119" width="9.1796875" style="22"/>
    <col min="16120" max="16120" width="8.7265625" style="22" customWidth="1"/>
    <col min="16121" max="16121" width="9.81640625" style="22" customWidth="1"/>
    <col min="16122" max="16122" width="14.453125" style="22" customWidth="1"/>
    <col min="16123" max="16123" width="7.26953125" style="22" customWidth="1"/>
    <col min="16124" max="16124" width="5.54296875" style="22" customWidth="1"/>
    <col min="16125" max="16125" width="9" style="22" customWidth="1"/>
    <col min="16126" max="16127" width="9.81640625" style="22" customWidth="1"/>
    <col min="16128" max="16128" width="11.1796875" style="22" customWidth="1"/>
    <col min="16129" max="16129" width="2.81640625" style="22" customWidth="1"/>
    <col min="16130" max="16130" width="3.54296875" style="22" customWidth="1"/>
    <col min="16131" max="16384" width="9.1796875" style="22"/>
  </cols>
  <sheetData>
    <row r="1" spans="1:8" ht="46.5" customHeight="1" x14ac:dyDescent="0.35">
      <c r="A1" s="156" t="s">
        <v>221</v>
      </c>
      <c r="B1" s="156"/>
      <c r="C1" s="156"/>
      <c r="D1" s="156"/>
      <c r="E1" s="156"/>
      <c r="F1" s="156"/>
      <c r="G1" s="156"/>
      <c r="H1" s="156"/>
    </row>
    <row r="2" spans="1:8" ht="16.5" customHeight="1" x14ac:dyDescent="0.35">
      <c r="A2" s="148" t="s">
        <v>0</v>
      </c>
      <c r="B2" s="148"/>
      <c r="C2" s="148"/>
      <c r="D2" s="148"/>
      <c r="E2" s="148"/>
      <c r="F2" s="148"/>
      <c r="G2" s="148"/>
      <c r="H2" s="148"/>
    </row>
    <row r="3" spans="1:8" x14ac:dyDescent="0.35">
      <c r="A3" s="127" t="s">
        <v>1</v>
      </c>
      <c r="B3" s="127"/>
      <c r="C3" s="127"/>
      <c r="D3" s="127"/>
      <c r="E3" s="127" t="str">
        <f ca="1">TEXT(TODAY(),"DD/MM/YYYY")</f>
        <v>30/08/2025</v>
      </c>
      <c r="F3" s="127"/>
      <c r="G3" s="127"/>
      <c r="H3" s="127"/>
    </row>
    <row r="4" spans="1:8" ht="15" customHeight="1" x14ac:dyDescent="0.35">
      <c r="A4" s="127" t="s">
        <v>2</v>
      </c>
      <c r="B4" s="127"/>
      <c r="C4" s="127"/>
      <c r="D4" s="127"/>
      <c r="E4" s="127" t="s">
        <v>172</v>
      </c>
      <c r="F4" s="127"/>
      <c r="G4" s="127"/>
      <c r="H4" s="127"/>
    </row>
    <row r="5" spans="1:8" x14ac:dyDescent="0.35">
      <c r="A5" s="127" t="s">
        <v>3</v>
      </c>
      <c r="B5" s="127"/>
      <c r="C5" s="127"/>
      <c r="D5" s="127"/>
      <c r="E5" s="155">
        <v>45868</v>
      </c>
      <c r="F5" s="127"/>
      <c r="G5" s="127"/>
      <c r="H5" s="127"/>
    </row>
    <row r="6" spans="1:8" ht="16.5" customHeight="1" x14ac:dyDescent="0.35">
      <c r="A6" s="127" t="s">
        <v>4</v>
      </c>
      <c r="B6" s="127"/>
      <c r="C6" s="127"/>
      <c r="D6" s="127"/>
      <c r="E6" s="127" t="s">
        <v>174</v>
      </c>
      <c r="F6" s="127"/>
      <c r="G6" s="127"/>
      <c r="H6" s="127"/>
    </row>
    <row r="7" spans="1:8" ht="15" customHeight="1" x14ac:dyDescent="0.35">
      <c r="A7" s="127" t="s">
        <v>5</v>
      </c>
      <c r="B7" s="127"/>
      <c r="C7" s="127"/>
      <c r="D7" s="127"/>
      <c r="E7" s="127" t="str">
        <f>E6</f>
        <v>Landmark Infra</v>
      </c>
      <c r="F7" s="127"/>
      <c r="G7" s="127"/>
      <c r="H7" s="127"/>
    </row>
    <row r="8" spans="1:8" x14ac:dyDescent="0.35">
      <c r="A8" s="127" t="s">
        <v>6</v>
      </c>
      <c r="B8" s="127"/>
      <c r="C8" s="127"/>
      <c r="D8" s="127"/>
      <c r="E8" s="72" t="s">
        <v>173</v>
      </c>
      <c r="F8" s="72"/>
      <c r="G8" s="72"/>
      <c r="H8" s="72"/>
    </row>
    <row r="9" spans="1:8" x14ac:dyDescent="0.35">
      <c r="A9" s="127" t="s">
        <v>168</v>
      </c>
      <c r="B9" s="127"/>
      <c r="C9" s="127"/>
      <c r="D9" s="127"/>
      <c r="E9" s="127" t="s">
        <v>175</v>
      </c>
      <c r="F9" s="127"/>
      <c r="G9" s="127"/>
      <c r="H9" s="127"/>
    </row>
    <row r="10" spans="1:8" x14ac:dyDescent="0.35">
      <c r="A10" s="127" t="s">
        <v>169</v>
      </c>
      <c r="B10" s="127"/>
      <c r="C10" s="127"/>
      <c r="D10" s="127"/>
      <c r="E10" s="127" t="s">
        <v>30</v>
      </c>
      <c r="F10" s="127"/>
      <c r="G10" s="127"/>
      <c r="H10" s="127"/>
    </row>
    <row r="11" spans="1:8" x14ac:dyDescent="0.35">
      <c r="A11" s="127" t="s">
        <v>7</v>
      </c>
      <c r="B11" s="127"/>
      <c r="C11" s="127"/>
      <c r="D11" s="127"/>
      <c r="E11" s="127" t="s">
        <v>176</v>
      </c>
      <c r="F11" s="127"/>
      <c r="G11" s="127"/>
      <c r="H11" s="127"/>
    </row>
    <row r="12" spans="1:8" x14ac:dyDescent="0.35">
      <c r="A12" s="70" t="s">
        <v>8</v>
      </c>
      <c r="B12" s="70"/>
      <c r="C12" s="70"/>
      <c r="D12" s="70"/>
      <c r="E12" s="150" t="s">
        <v>204</v>
      </c>
      <c r="F12" s="150"/>
      <c r="G12" s="150"/>
      <c r="H12" s="150"/>
    </row>
    <row r="13" spans="1:8" x14ac:dyDescent="0.35">
      <c r="A13" s="70" t="s">
        <v>9</v>
      </c>
      <c r="B13" s="70"/>
      <c r="C13" s="70"/>
      <c r="D13" s="70"/>
      <c r="E13" s="150" t="s">
        <v>171</v>
      </c>
      <c r="F13" s="127"/>
      <c r="G13" s="127"/>
      <c r="H13" s="127"/>
    </row>
    <row r="14" spans="1:8" ht="47.25" customHeight="1" x14ac:dyDescent="0.35">
      <c r="A14" s="153" t="s">
        <v>10</v>
      </c>
      <c r="B14" s="153"/>
      <c r="C14" s="15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Ekdant Pooja Chsl, Survey No.40, H. No. 11, P. No. 3, S. No. 40, H. No. 12, P. No. 1 &amp; 2, S. No. 40, H. No. 13, P. No. 1, near Tukai Bunglow, Internal Rd, Patil Pada, Kulgaon, Badlapur East, Ambernath, Thane - 421503.</v>
      </c>
      <c r="D14" s="153"/>
      <c r="E14" s="153"/>
      <c r="F14" s="153"/>
      <c r="G14" s="153"/>
      <c r="H14" s="153"/>
    </row>
    <row r="15" spans="1:8" ht="31.5" customHeight="1" x14ac:dyDescent="0.35">
      <c r="A15" s="150" t="s">
        <v>177</v>
      </c>
      <c r="B15" s="150"/>
      <c r="C15" s="150" t="s">
        <v>178</v>
      </c>
      <c r="D15" s="150"/>
      <c r="E15" s="150"/>
      <c r="F15" s="150"/>
      <c r="G15" s="150"/>
      <c r="H15" s="150"/>
    </row>
    <row r="16" spans="1:8" ht="15.75" customHeight="1" x14ac:dyDescent="0.35">
      <c r="A16" s="150" t="s">
        <v>167</v>
      </c>
      <c r="B16" s="150"/>
      <c r="C16" s="150" t="s">
        <v>187</v>
      </c>
      <c r="D16" s="150"/>
      <c r="E16" s="150"/>
      <c r="F16" s="150"/>
      <c r="G16" s="150"/>
      <c r="H16" s="150"/>
    </row>
    <row r="17" spans="1:8" ht="15.75" customHeight="1" x14ac:dyDescent="0.35">
      <c r="A17" s="153" t="s">
        <v>11</v>
      </c>
      <c r="B17" s="153"/>
      <c r="C17" s="127" t="s">
        <v>183</v>
      </c>
      <c r="D17" s="127"/>
      <c r="E17" s="153" t="s">
        <v>74</v>
      </c>
      <c r="F17" s="153"/>
      <c r="G17" s="150" t="s">
        <v>179</v>
      </c>
      <c r="H17" s="150"/>
    </row>
    <row r="18" spans="1:8" x14ac:dyDescent="0.35">
      <c r="A18" s="70" t="s">
        <v>13</v>
      </c>
      <c r="B18" s="70"/>
      <c r="C18" s="150" t="s">
        <v>186</v>
      </c>
      <c r="D18" s="150"/>
      <c r="E18" s="153" t="s">
        <v>12</v>
      </c>
      <c r="F18" s="153"/>
      <c r="G18" s="154" t="s">
        <v>181</v>
      </c>
      <c r="H18" s="154"/>
    </row>
    <row r="19" spans="1:8" x14ac:dyDescent="0.35">
      <c r="A19" s="70" t="s">
        <v>75</v>
      </c>
      <c r="B19" s="70"/>
      <c r="C19" s="150" t="s">
        <v>180</v>
      </c>
      <c r="D19" s="150"/>
      <c r="E19" s="153" t="s">
        <v>14</v>
      </c>
      <c r="F19" s="153"/>
      <c r="G19" s="150">
        <v>421503</v>
      </c>
      <c r="H19" s="150"/>
    </row>
    <row r="20" spans="1:8" ht="32.25" customHeight="1" x14ac:dyDescent="0.35">
      <c r="A20" s="70" t="s">
        <v>123</v>
      </c>
      <c r="B20" s="70"/>
      <c r="C20" s="150" t="s">
        <v>184</v>
      </c>
      <c r="D20" s="150"/>
      <c r="E20" s="153" t="s">
        <v>15</v>
      </c>
      <c r="F20" s="153"/>
      <c r="G20" s="150" t="s">
        <v>185</v>
      </c>
      <c r="H20" s="150"/>
    </row>
    <row r="21" spans="1:8" ht="15" customHeight="1" x14ac:dyDescent="0.35">
      <c r="A21" s="153" t="s">
        <v>78</v>
      </c>
      <c r="B21" s="153"/>
      <c r="C21" s="153"/>
      <c r="D21" s="153"/>
      <c r="E21" s="127" t="s">
        <v>16</v>
      </c>
      <c r="F21" s="127"/>
      <c r="G21" s="127"/>
      <c r="H21" s="127"/>
    </row>
    <row r="22" spans="1:8" ht="18.75" customHeight="1" x14ac:dyDescent="0.35">
      <c r="A22" s="153"/>
      <c r="B22" s="153"/>
      <c r="C22" s="153"/>
      <c r="D22" s="153"/>
      <c r="E22" s="127"/>
      <c r="F22" s="127"/>
      <c r="G22" s="127"/>
      <c r="H22" s="127"/>
    </row>
    <row r="23" spans="1:8" ht="15" customHeight="1" x14ac:dyDescent="0.35">
      <c r="A23" s="153" t="s">
        <v>17</v>
      </c>
      <c r="B23" s="153"/>
      <c r="C23" s="153"/>
      <c r="D23" s="153"/>
      <c r="E23" s="150" t="s">
        <v>18</v>
      </c>
      <c r="F23" s="150"/>
      <c r="G23" s="150"/>
      <c r="H23" s="150"/>
    </row>
    <row r="24" spans="1:8" ht="15" customHeight="1" x14ac:dyDescent="0.35">
      <c r="A24" s="70" t="s">
        <v>19</v>
      </c>
      <c r="B24" s="70"/>
      <c r="C24" s="70"/>
      <c r="D24" s="70"/>
      <c r="E24" s="150" t="str">
        <f>IF(AND(G18="Mumbai"),"Upper Class","Middle Class")</f>
        <v>Middle Class</v>
      </c>
      <c r="F24" s="150"/>
      <c r="G24" s="150"/>
      <c r="H24" s="150"/>
    </row>
    <row r="25" spans="1:8" x14ac:dyDescent="0.35">
      <c r="A25" s="70" t="s">
        <v>20</v>
      </c>
      <c r="B25" s="70"/>
      <c r="C25" s="70"/>
      <c r="D25" s="70"/>
      <c r="E25" s="150" t="s">
        <v>21</v>
      </c>
      <c r="F25" s="150"/>
      <c r="G25" s="150"/>
      <c r="H25" s="150"/>
    </row>
    <row r="26" spans="1:8" ht="15.75" customHeight="1" x14ac:dyDescent="0.35">
      <c r="A26" s="70" t="s">
        <v>22</v>
      </c>
      <c r="B26" s="70"/>
      <c r="C26" s="70"/>
      <c r="D26" s="70"/>
      <c r="E26" s="150" t="str">
        <f>IF(AND(G18="Mumbai"),"Developed","Developing")</f>
        <v>Developing</v>
      </c>
      <c r="F26" s="150"/>
      <c r="G26" s="150"/>
      <c r="H26" s="150"/>
    </row>
    <row r="27" spans="1:8" x14ac:dyDescent="0.35">
      <c r="A27" s="70" t="s">
        <v>23</v>
      </c>
      <c r="B27" s="70"/>
      <c r="C27" s="70"/>
      <c r="D27" s="70"/>
      <c r="E27" s="150" t="s">
        <v>24</v>
      </c>
      <c r="F27" s="150"/>
      <c r="G27" s="150"/>
      <c r="H27" s="150"/>
    </row>
    <row r="28" spans="1:8" ht="15.75" customHeight="1" x14ac:dyDescent="0.35">
      <c r="A28" s="70" t="s">
        <v>83</v>
      </c>
      <c r="B28" s="70"/>
      <c r="C28" s="70"/>
      <c r="D28" s="70"/>
      <c r="E28" s="150" t="s">
        <v>84</v>
      </c>
      <c r="F28" s="150"/>
      <c r="G28" s="150"/>
      <c r="H28" s="150"/>
    </row>
    <row r="29" spans="1:8" ht="15" customHeight="1" x14ac:dyDescent="0.35">
      <c r="A29" s="70" t="s">
        <v>33</v>
      </c>
      <c r="B29" s="70"/>
      <c r="C29" s="70"/>
      <c r="D29" s="70"/>
      <c r="E29" s="150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50"/>
      <c r="G29" s="150"/>
      <c r="H29" s="150"/>
    </row>
    <row r="30" spans="1:8" ht="15.75" customHeight="1" x14ac:dyDescent="0.35">
      <c r="A30" s="70" t="s">
        <v>95</v>
      </c>
      <c r="B30" s="70"/>
      <c r="C30" s="70"/>
      <c r="D30" s="70"/>
      <c r="E30" s="150" t="s">
        <v>34</v>
      </c>
      <c r="F30" s="150"/>
      <c r="G30" s="150"/>
      <c r="H30" s="150"/>
    </row>
    <row r="31" spans="1:8" s="23" customFormat="1" x14ac:dyDescent="0.35">
      <c r="A31" s="152" t="s">
        <v>96</v>
      </c>
      <c r="B31" s="152"/>
      <c r="C31" s="151" t="s">
        <v>29</v>
      </c>
      <c r="D31" s="151"/>
      <c r="E31" s="151"/>
      <c r="F31" s="151" t="s">
        <v>31</v>
      </c>
      <c r="G31" s="151"/>
      <c r="H31" s="151"/>
    </row>
    <row r="32" spans="1:8" s="23" customFormat="1" x14ac:dyDescent="0.35">
      <c r="A32" s="145" t="s">
        <v>25</v>
      </c>
      <c r="B32" s="145" t="s">
        <v>30</v>
      </c>
      <c r="C32" s="146" t="s">
        <v>30</v>
      </c>
      <c r="D32" s="146"/>
      <c r="E32" s="146"/>
      <c r="F32" s="146" t="s">
        <v>188</v>
      </c>
      <c r="G32" s="146"/>
      <c r="H32" s="146"/>
    </row>
    <row r="33" spans="1:8" x14ac:dyDescent="0.35">
      <c r="A33" s="145" t="s">
        <v>26</v>
      </c>
      <c r="B33" s="145" t="s">
        <v>30</v>
      </c>
      <c r="C33" s="146" t="s">
        <v>30</v>
      </c>
      <c r="D33" s="146"/>
      <c r="E33" s="146"/>
      <c r="F33" s="146" t="s">
        <v>188</v>
      </c>
      <c r="G33" s="146"/>
      <c r="H33" s="146"/>
    </row>
    <row r="34" spans="1:8" s="23" customFormat="1" x14ac:dyDescent="0.35">
      <c r="A34" s="145" t="s">
        <v>28</v>
      </c>
      <c r="B34" s="145" t="s">
        <v>30</v>
      </c>
      <c r="C34" s="146" t="s">
        <v>30</v>
      </c>
      <c r="D34" s="146"/>
      <c r="E34" s="146"/>
      <c r="F34" s="146" t="s">
        <v>212</v>
      </c>
      <c r="G34" s="146"/>
      <c r="H34" s="146"/>
    </row>
    <row r="35" spans="1:8" x14ac:dyDescent="0.35">
      <c r="A35" s="145" t="s">
        <v>27</v>
      </c>
      <c r="B35" s="145" t="s">
        <v>30</v>
      </c>
      <c r="C35" s="146" t="s">
        <v>30</v>
      </c>
      <c r="D35" s="146"/>
      <c r="E35" s="146"/>
      <c r="F35" s="146" t="s">
        <v>213</v>
      </c>
      <c r="G35" s="146"/>
      <c r="H35" s="146"/>
    </row>
    <row r="36" spans="1:8" x14ac:dyDescent="0.35">
      <c r="A36" s="70" t="s">
        <v>32</v>
      </c>
      <c r="B36" s="70"/>
      <c r="C36" s="70"/>
      <c r="D36" s="70"/>
      <c r="E36" s="70"/>
      <c r="F36" s="70"/>
      <c r="G36" s="70"/>
      <c r="H36" s="70"/>
    </row>
    <row r="37" spans="1:8" ht="15.75" customHeight="1" x14ac:dyDescent="0.35">
      <c r="A37" s="148" t="s">
        <v>214</v>
      </c>
      <c r="B37" s="148"/>
      <c r="C37" s="193" t="s">
        <v>222</v>
      </c>
      <c r="D37" s="193"/>
      <c r="E37" s="193"/>
      <c r="F37" s="193"/>
      <c r="G37" s="193"/>
      <c r="H37" s="193"/>
    </row>
    <row r="38" spans="1:8" x14ac:dyDescent="0.35">
      <c r="A38" s="148" t="s">
        <v>166</v>
      </c>
      <c r="B38" s="148"/>
      <c r="C38" s="149" t="s">
        <v>182</v>
      </c>
      <c r="D38" s="150"/>
      <c r="E38" s="150"/>
      <c r="F38" s="150"/>
      <c r="G38" s="150"/>
      <c r="H38" s="150"/>
    </row>
    <row r="39" spans="1:8" x14ac:dyDescent="0.35">
      <c r="A39" s="133" t="s">
        <v>35</v>
      </c>
      <c r="B39" s="133"/>
      <c r="C39" s="133"/>
      <c r="D39" s="133"/>
      <c r="E39" s="133"/>
      <c r="F39" s="133"/>
      <c r="G39" s="133"/>
      <c r="H39" s="133"/>
    </row>
    <row r="40" spans="1:8" x14ac:dyDescent="0.35">
      <c r="A40" s="70" t="s">
        <v>36</v>
      </c>
      <c r="B40" s="70"/>
      <c r="C40" s="70"/>
      <c r="D40" s="70"/>
      <c r="E40" s="147">
        <v>2480.4699999999998</v>
      </c>
      <c r="F40" s="147"/>
      <c r="G40" s="147"/>
      <c r="H40" s="147"/>
    </row>
    <row r="41" spans="1:8" x14ac:dyDescent="0.35">
      <c r="A41" s="70" t="s">
        <v>37</v>
      </c>
      <c r="B41" s="70"/>
      <c r="C41" s="70"/>
      <c r="D41" s="70"/>
      <c r="E41" s="125">
        <v>1</v>
      </c>
      <c r="F41" s="125"/>
      <c r="G41" s="125"/>
      <c r="H41" s="125"/>
    </row>
    <row r="42" spans="1:8" x14ac:dyDescent="0.35">
      <c r="A42" s="70" t="s">
        <v>38</v>
      </c>
      <c r="B42" s="70"/>
      <c r="C42" s="70"/>
      <c r="D42" s="70"/>
      <c r="E42" s="125">
        <f>E44/E40-E41</f>
        <v>1.8727458908997088</v>
      </c>
      <c r="F42" s="125"/>
      <c r="G42" s="125"/>
      <c r="H42" s="125"/>
    </row>
    <row r="43" spans="1:8" x14ac:dyDescent="0.35">
      <c r="A43" s="70" t="s">
        <v>39</v>
      </c>
      <c r="B43" s="70"/>
      <c r="C43" s="70"/>
      <c r="D43" s="70"/>
      <c r="E43" s="125">
        <f>E41+E42</f>
        <v>2.8727458908997088</v>
      </c>
      <c r="F43" s="125"/>
      <c r="G43" s="125"/>
      <c r="H43" s="125"/>
    </row>
    <row r="44" spans="1:8" x14ac:dyDescent="0.35">
      <c r="A44" s="70" t="s">
        <v>94</v>
      </c>
      <c r="B44" s="70"/>
      <c r="C44" s="70"/>
      <c r="D44" s="70"/>
      <c r="E44" s="126">
        <v>7125.76</v>
      </c>
      <c r="F44" s="126"/>
      <c r="G44" s="126"/>
      <c r="H44" s="126"/>
    </row>
    <row r="45" spans="1:8" x14ac:dyDescent="0.35">
      <c r="A45" s="127" t="s">
        <v>40</v>
      </c>
      <c r="B45" s="127"/>
      <c r="C45" s="127"/>
      <c r="D45" s="127"/>
      <c r="E45" s="127" t="s">
        <v>209</v>
      </c>
      <c r="F45" s="127"/>
      <c r="G45" s="127"/>
      <c r="H45" s="127"/>
    </row>
    <row r="46" spans="1:8" x14ac:dyDescent="0.35">
      <c r="A46" s="133" t="s">
        <v>41</v>
      </c>
      <c r="B46" s="133"/>
      <c r="C46" s="133"/>
      <c r="D46" s="133"/>
      <c r="E46" s="133"/>
      <c r="F46" s="133"/>
      <c r="G46" s="133"/>
      <c r="H46" s="133"/>
    </row>
    <row r="47" spans="1:8" ht="33.75" customHeight="1" x14ac:dyDescent="0.35">
      <c r="A47" s="128" t="s">
        <v>153</v>
      </c>
      <c r="B47" s="129"/>
      <c r="C47" s="130" t="s">
        <v>208</v>
      </c>
      <c r="D47" s="131"/>
      <c r="E47" s="131"/>
      <c r="F47" s="131"/>
      <c r="G47" s="131"/>
      <c r="H47" s="132"/>
    </row>
    <row r="48" spans="1:8" ht="15.75" customHeight="1" x14ac:dyDescent="0.35">
      <c r="A48" s="128" t="s">
        <v>42</v>
      </c>
      <c r="B48" s="129"/>
      <c r="C48" s="128" t="s">
        <v>189</v>
      </c>
      <c r="D48" s="184"/>
      <c r="E48" s="129"/>
      <c r="F48" s="19" t="s">
        <v>43</v>
      </c>
      <c r="G48" s="139">
        <v>44740</v>
      </c>
      <c r="H48" s="129"/>
    </row>
    <row r="49" spans="1:14" x14ac:dyDescent="0.35">
      <c r="A49" s="128" t="s">
        <v>44</v>
      </c>
      <c r="B49" s="129"/>
      <c r="C49" s="128" t="str">
        <f>C48</f>
        <v>KBNP/NRV/BP/5628-43</v>
      </c>
      <c r="D49" s="184"/>
      <c r="E49" s="129"/>
      <c r="F49" s="19" t="s">
        <v>43</v>
      </c>
      <c r="G49" s="139">
        <f>G48</f>
        <v>44740</v>
      </c>
      <c r="H49" s="140"/>
    </row>
    <row r="50" spans="1:14" s="24" customFormat="1" ht="15.75" customHeight="1" x14ac:dyDescent="0.35">
      <c r="A50" s="141" t="s">
        <v>157</v>
      </c>
      <c r="B50" s="142"/>
      <c r="C50" s="128" t="str">
        <f>C49</f>
        <v>KBNP/NRV/BP/5628-43</v>
      </c>
      <c r="D50" s="184"/>
      <c r="E50" s="129"/>
      <c r="F50" s="19" t="s">
        <v>43</v>
      </c>
      <c r="G50" s="139">
        <f>G49</f>
        <v>44740</v>
      </c>
      <c r="H50" s="140"/>
    </row>
    <row r="51" spans="1:14" s="24" customFormat="1" ht="33.75" customHeight="1" x14ac:dyDescent="0.35">
      <c r="A51" s="143"/>
      <c r="B51" s="144"/>
      <c r="C51" s="128" t="s">
        <v>190</v>
      </c>
      <c r="D51" s="184"/>
      <c r="E51" s="184"/>
      <c r="F51" s="184"/>
      <c r="G51" s="184"/>
      <c r="H51" s="129"/>
    </row>
    <row r="52" spans="1:14" ht="30.75" customHeight="1" x14ac:dyDescent="0.35">
      <c r="A52" s="185" t="s">
        <v>224</v>
      </c>
      <c r="B52" s="186"/>
      <c r="C52" s="185" t="s">
        <v>225</v>
      </c>
      <c r="D52" s="187"/>
      <c r="E52" s="186"/>
      <c r="F52" s="46" t="s">
        <v>43</v>
      </c>
      <c r="G52" s="188">
        <v>45807</v>
      </c>
      <c r="H52" s="189"/>
    </row>
    <row r="53" spans="1:14" x14ac:dyDescent="0.35">
      <c r="A53" s="168" t="s">
        <v>46</v>
      </c>
      <c r="B53" s="168"/>
      <c r="C53" s="168"/>
      <c r="D53" s="168"/>
      <c r="E53" s="168"/>
      <c r="F53" s="168"/>
      <c r="G53" s="168"/>
      <c r="H53" s="168"/>
    </row>
    <row r="54" spans="1:14" x14ac:dyDescent="0.35">
      <c r="A54" s="153" t="s">
        <v>93</v>
      </c>
      <c r="B54" s="153"/>
      <c r="C54" s="153"/>
      <c r="D54" s="70">
        <f>E44</f>
        <v>7125.76</v>
      </c>
      <c r="E54" s="70"/>
      <c r="F54" s="70"/>
      <c r="G54" s="70"/>
      <c r="H54" s="70"/>
    </row>
    <row r="55" spans="1:14" x14ac:dyDescent="0.35">
      <c r="A55" s="150" t="s">
        <v>47</v>
      </c>
      <c r="B55" s="127"/>
      <c r="C55" s="127"/>
      <c r="D55" s="127" t="s">
        <v>210</v>
      </c>
      <c r="E55" s="127"/>
      <c r="F55" s="127"/>
      <c r="G55" s="127"/>
      <c r="H55" s="127"/>
      <c r="I55" s="25"/>
    </row>
    <row r="56" spans="1:14" ht="48.75" customHeight="1" x14ac:dyDescent="0.35">
      <c r="A56" s="136" t="s">
        <v>48</v>
      </c>
      <c r="B56" s="137"/>
      <c r="C56" s="138"/>
      <c r="D56" s="134" t="s">
        <v>211</v>
      </c>
      <c r="E56" s="135"/>
      <c r="F56" s="135"/>
      <c r="G56" s="135"/>
      <c r="H56" s="135"/>
    </row>
    <row r="57" spans="1:14" ht="15.75" customHeight="1" x14ac:dyDescent="0.35">
      <c r="A57" s="136" t="s">
        <v>91</v>
      </c>
      <c r="B57" s="137"/>
      <c r="C57" s="137"/>
      <c r="D57" s="127" t="s">
        <v>205</v>
      </c>
      <c r="E57" s="127"/>
      <c r="F57" s="127"/>
      <c r="G57" s="127"/>
      <c r="H57" s="127"/>
    </row>
    <row r="58" spans="1:14" ht="15.75" hidden="1" customHeight="1" x14ac:dyDescent="0.35">
      <c r="A58" s="179"/>
      <c r="B58" s="180"/>
      <c r="C58" s="180"/>
      <c r="D58" s="183" t="s">
        <v>191</v>
      </c>
      <c r="E58" s="183"/>
      <c r="F58" s="183"/>
      <c r="G58" s="183"/>
      <c r="H58" s="183"/>
    </row>
    <row r="59" spans="1:14" ht="15.75" customHeight="1" x14ac:dyDescent="0.35">
      <c r="A59" s="181"/>
      <c r="B59" s="182"/>
      <c r="C59" s="182"/>
      <c r="D59" s="127" t="s">
        <v>192</v>
      </c>
      <c r="E59" s="127"/>
      <c r="F59" s="127"/>
      <c r="G59" s="127"/>
      <c r="H59" s="127"/>
    </row>
    <row r="60" spans="1:14" ht="15.75" customHeight="1" x14ac:dyDescent="0.35">
      <c r="A60" s="70" t="s">
        <v>45</v>
      </c>
      <c r="B60" s="70"/>
      <c r="C60" s="70"/>
      <c r="D60" s="123" t="s">
        <v>193</v>
      </c>
      <c r="E60" s="123"/>
      <c r="F60" s="123"/>
      <c r="G60" s="123"/>
      <c r="H60" s="123"/>
      <c r="J60" s="26"/>
      <c r="K60" s="25"/>
      <c r="N60" s="25"/>
    </row>
    <row r="61" spans="1:14" ht="15.75" customHeight="1" x14ac:dyDescent="0.35">
      <c r="A61" s="70" t="s">
        <v>89</v>
      </c>
      <c r="B61" s="70"/>
      <c r="C61" s="70"/>
      <c r="D61" s="124" t="str">
        <f ca="1">(IF(G52="NA","60 Years After Completion",IF(G52&lt;&gt;"NA",""&amp;60-ROUNDDOWN((E3-G52)/360,0)&amp;" Years"," ")))</f>
        <v>60 Years</v>
      </c>
      <c r="E61" s="124"/>
      <c r="F61" s="124"/>
      <c r="G61" s="124"/>
      <c r="H61" s="124"/>
      <c r="N61" s="25"/>
    </row>
    <row r="62" spans="1:14" ht="15.75" customHeight="1" x14ac:dyDescent="0.35">
      <c r="A62" s="70" t="s">
        <v>90</v>
      </c>
      <c r="B62" s="70"/>
      <c r="C62" s="70"/>
      <c r="D62" s="153" t="s">
        <v>24</v>
      </c>
      <c r="E62" s="153"/>
      <c r="F62" s="153"/>
      <c r="G62" s="153"/>
      <c r="H62" s="153"/>
      <c r="J62" s="27"/>
      <c r="K62" s="27"/>
    </row>
    <row r="63" spans="1:14" ht="15" hidden="1" customHeight="1" x14ac:dyDescent="0.35">
      <c r="A63" s="70" t="s">
        <v>76</v>
      </c>
      <c r="B63" s="70"/>
      <c r="C63" s="70"/>
      <c r="D63" s="150" t="s">
        <v>149</v>
      </c>
      <c r="E63" s="153"/>
      <c r="F63" s="153"/>
      <c r="G63" s="153"/>
      <c r="H63" s="153"/>
    </row>
    <row r="64" spans="1:14" x14ac:dyDescent="0.35">
      <c r="A64" s="153" t="s">
        <v>150</v>
      </c>
      <c r="B64" s="153"/>
      <c r="C64" s="153"/>
      <c r="D64" s="153" t="s">
        <v>30</v>
      </c>
      <c r="E64" s="153"/>
      <c r="F64" s="153"/>
      <c r="G64" s="153"/>
      <c r="H64" s="153"/>
      <c r="I64" s="28"/>
      <c r="J64" s="28"/>
      <c r="K64" s="28"/>
      <c r="L64" s="28"/>
      <c r="M64" s="28"/>
      <c r="N64" s="28"/>
    </row>
    <row r="65" spans="1:10" ht="15.75" customHeight="1" x14ac:dyDescent="0.35">
      <c r="A65" s="162" t="s">
        <v>88</v>
      </c>
      <c r="B65" s="162"/>
      <c r="C65" s="162"/>
      <c r="D65" s="134" t="str">
        <f ca="1">(IF(G114&gt;95%,"Nothing",IF(G114&gt;0%,"Cement, Aggregate, Steel, etc",IF(G85=0%,"Work not yet Started"))))</f>
        <v>Nothing</v>
      </c>
      <c r="E65" s="134"/>
      <c r="F65" s="134"/>
      <c r="G65" s="134"/>
      <c r="H65" s="134"/>
      <c r="J65" s="27"/>
    </row>
    <row r="66" spans="1:10" ht="33.75" customHeight="1" thickBot="1" x14ac:dyDescent="0.4">
      <c r="A66" s="153" t="s">
        <v>117</v>
      </c>
      <c r="B66" s="153"/>
      <c r="C66" s="153"/>
      <c r="D66" s="150" t="str">
        <f ca="1">(IF(D65="Nothing","Yes",IF(D65="Cement, Aggregate, Steel, etc","Under Construction",IF(D65="Work not yet Started","Work not yet Started"))))</f>
        <v>Yes</v>
      </c>
      <c r="E66" s="150"/>
      <c r="F66" s="150" t="str">
        <f ca="1">(IF(D65="Nothing","Yes",IF(D65="Cement, Aggregate, Steel, etc","Under Construction",IF(D65="Work not yet Started","Work not yet Started"))))</f>
        <v>Yes</v>
      </c>
      <c r="G66" s="150"/>
      <c r="H66" s="150"/>
    </row>
    <row r="67" spans="1:10" ht="15.75" customHeight="1" x14ac:dyDescent="0.35">
      <c r="A67" s="163" t="s">
        <v>141</v>
      </c>
      <c r="B67" s="163"/>
      <c r="C67" s="163" t="s">
        <v>215</v>
      </c>
      <c r="D67" s="163"/>
      <c r="E67" s="163"/>
      <c r="F67" s="163"/>
      <c r="G67" s="163"/>
      <c r="H67" s="163"/>
      <c r="I67" s="65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 Completed, Flooring upto 3 Floor, Painting upto 3 Floor Completed</v>
      </c>
      <c r="J67" s="52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Flooring upto 3 Floor, Painting upto 3 Floor</v>
      </c>
    </row>
    <row r="68" spans="1:10" s="24" customFormat="1" x14ac:dyDescent="0.35">
      <c r="A68" s="64" t="s">
        <v>143</v>
      </c>
      <c r="B68" s="64">
        <v>0</v>
      </c>
      <c r="C68" s="64" t="s">
        <v>73</v>
      </c>
      <c r="D68" s="64">
        <v>1</v>
      </c>
      <c r="E68" s="64" t="s">
        <v>72</v>
      </c>
      <c r="F68" s="64">
        <v>0</v>
      </c>
      <c r="G68" s="64" t="s">
        <v>82</v>
      </c>
      <c r="H68" s="64">
        <f ca="1">--TRIM(RIGHT(SUBSTITUTE(LEFT(C67,_xlfn.AGGREGATE(16,6,FIND({0,1,2,3,4,5,6,7,8,9},C67,ROW(INDIRECT("1:"&amp;LEN(C67)))),1))," ",REPT(" ",LEN(C67))),LEN(C67)))</f>
        <v>7</v>
      </c>
      <c r="I68" s="66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</v>
      </c>
      <c r="J68" s="59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1.5" customHeight="1" x14ac:dyDescent="0.35">
      <c r="A69" s="72" t="s">
        <v>92</v>
      </c>
      <c r="B69" s="72"/>
      <c r="C69" s="73" t="str">
        <f ca="1">I67</f>
        <v>Excavation, Plinth, RCC Slab, Brickwork, Internal Plaster, External Plaster Completed, Flooring upto 3 Floor, Painting upto 3 Floor Completed</v>
      </c>
      <c r="D69" s="73"/>
      <c r="E69" s="73"/>
      <c r="F69" s="73"/>
      <c r="G69" s="73"/>
      <c r="H69" s="73"/>
      <c r="I69" s="67" t="str">
        <f ca="1">IF(I68&lt;&gt;""," Completed","")</f>
        <v xml:space="preserve"> Completed</v>
      </c>
      <c r="J69" s="54" t="str">
        <f ca="1">IF(J67&lt;&gt;"","Completed","")</f>
        <v>Completed</v>
      </c>
    </row>
    <row r="70" spans="1:10" ht="15.75" customHeight="1" x14ac:dyDescent="0.35">
      <c r="A70" s="76" t="s">
        <v>49</v>
      </c>
      <c r="B70" s="76"/>
      <c r="C70" s="63" t="s">
        <v>140</v>
      </c>
      <c r="D70" s="63" t="s">
        <v>85</v>
      </c>
      <c r="E70" s="76" t="s">
        <v>87</v>
      </c>
      <c r="F70" s="76"/>
      <c r="G70" s="76" t="s">
        <v>86</v>
      </c>
      <c r="H70" s="76"/>
      <c r="I70" s="14" t="s">
        <v>142</v>
      </c>
      <c r="J70" s="29">
        <f ca="1">H68*25%</f>
        <v>1.75</v>
      </c>
    </row>
    <row r="71" spans="1:10" x14ac:dyDescent="0.35">
      <c r="A71" s="76" t="s">
        <v>129</v>
      </c>
      <c r="B71" s="76"/>
      <c r="C71" s="63">
        <f ca="1">J72</f>
        <v>7</v>
      </c>
      <c r="D71" s="20">
        <f ca="1">((100/H68)*C71)/100</f>
        <v>1</v>
      </c>
      <c r="E71" s="191">
        <f ca="1">(((C72/H68*10)+(40/(D68+F68+H68)*C73)+(7.5/(H68)*C74)+(7.5/(H68)*C75)+(10/H68*C76)+(10/H68*C77)+(5/H68*C78)+(5/H68*C79)+(5/H68*C80))/100)</f>
        <v>0.81428571428571428</v>
      </c>
      <c r="F71" s="191"/>
      <c r="G71" s="191">
        <f ca="1">((((C71/H68)*20)+((C72/H68)*25)+(30/(H68+F68+D68)*C73)+(5/H68*C74)+(5/H68*C75)+(5/H68*C76)+(5/H68*C77)+(0/H68*C78)+(0/H68*C79)+(5/H68*C80))/100)</f>
        <v>0.92142857142857137</v>
      </c>
      <c r="H71" s="191"/>
      <c r="I71" s="14" t="s">
        <v>100</v>
      </c>
      <c r="J71" s="30">
        <f ca="1">H68*50%</f>
        <v>3.5</v>
      </c>
    </row>
    <row r="72" spans="1:10" x14ac:dyDescent="0.35">
      <c r="A72" s="76" t="s">
        <v>50</v>
      </c>
      <c r="B72" s="76"/>
      <c r="C72" s="62">
        <f ca="1">J80</f>
        <v>7</v>
      </c>
      <c r="D72" s="20">
        <f ca="1">((100/H68)*C72)/100</f>
        <v>1</v>
      </c>
      <c r="E72" s="191"/>
      <c r="F72" s="191"/>
      <c r="G72" s="191"/>
      <c r="H72" s="191"/>
      <c r="I72" s="14" t="s">
        <v>101</v>
      </c>
      <c r="J72" s="30">
        <f ca="1">H68</f>
        <v>7</v>
      </c>
    </row>
    <row r="73" spans="1:10" ht="15.75" customHeight="1" x14ac:dyDescent="0.35">
      <c r="A73" s="76" t="s">
        <v>130</v>
      </c>
      <c r="B73" s="76"/>
      <c r="C73" s="63">
        <v>8</v>
      </c>
      <c r="D73" s="20">
        <f ca="1">((100/(D68+F68+H68))*C73)/100</f>
        <v>1</v>
      </c>
      <c r="E73" s="191"/>
      <c r="F73" s="191"/>
      <c r="G73" s="191"/>
      <c r="H73" s="191"/>
      <c r="I73" s="14" t="s">
        <v>102</v>
      </c>
      <c r="J73" s="31">
        <f ca="1">(IF(B68&gt;1,(H68/(B68+2)),H68/4))</f>
        <v>1.75</v>
      </c>
    </row>
    <row r="74" spans="1:10" ht="15.75" customHeight="1" x14ac:dyDescent="0.35">
      <c r="A74" s="76" t="s">
        <v>137</v>
      </c>
      <c r="B74" s="76" t="s">
        <v>131</v>
      </c>
      <c r="C74" s="63">
        <v>7</v>
      </c>
      <c r="D74" s="20">
        <f ca="1">((100/H68)*C74)/100</f>
        <v>1</v>
      </c>
      <c r="E74" s="191"/>
      <c r="F74" s="191"/>
      <c r="G74" s="191"/>
      <c r="H74" s="191"/>
      <c r="I74" s="14" t="s">
        <v>103</v>
      </c>
      <c r="J74" s="31">
        <f ca="1">(IF(B68&gt;1,(H68/(B68+2)+J73),H68/4+J73))</f>
        <v>3.5</v>
      </c>
    </row>
    <row r="75" spans="1:10" ht="15.75" customHeight="1" x14ac:dyDescent="0.35">
      <c r="A75" s="76" t="s">
        <v>138</v>
      </c>
      <c r="B75" s="76" t="s">
        <v>131</v>
      </c>
      <c r="C75" s="63">
        <v>7</v>
      </c>
      <c r="D75" s="20">
        <f ca="1">((100/H68)*C75)/100</f>
        <v>1</v>
      </c>
      <c r="E75" s="191"/>
      <c r="F75" s="191"/>
      <c r="G75" s="191"/>
      <c r="H75" s="191"/>
      <c r="I75" s="14" t="s">
        <v>147</v>
      </c>
      <c r="J75" s="31">
        <f>(IF(B68&gt;1,(H68/(B68+2)+J74),0))</f>
        <v>0</v>
      </c>
    </row>
    <row r="76" spans="1:10" ht="15" customHeight="1" x14ac:dyDescent="0.35">
      <c r="A76" s="76" t="s">
        <v>136</v>
      </c>
      <c r="B76" s="76" t="s">
        <v>133</v>
      </c>
      <c r="C76" s="63">
        <v>7</v>
      </c>
      <c r="D76" s="20">
        <f ca="1">((100/(H68))*C76)/100</f>
        <v>1</v>
      </c>
      <c r="E76" s="191"/>
      <c r="F76" s="191"/>
      <c r="G76" s="191"/>
      <c r="H76" s="191"/>
      <c r="I76" s="14" t="s">
        <v>144</v>
      </c>
      <c r="J76" s="31">
        <f>(IF(B68&gt;2,(H68/(B68+2)+J75),0))</f>
        <v>0</v>
      </c>
    </row>
    <row r="77" spans="1:10" ht="15.75" customHeight="1" x14ac:dyDescent="0.35">
      <c r="A77" s="76" t="s">
        <v>132</v>
      </c>
      <c r="B77" s="76" t="s">
        <v>132</v>
      </c>
      <c r="C77" s="63">
        <v>3</v>
      </c>
      <c r="D77" s="20">
        <f ca="1">((100/H68)*C77)/100</f>
        <v>0.4285714285714286</v>
      </c>
      <c r="E77" s="191"/>
      <c r="F77" s="191"/>
      <c r="G77" s="191"/>
      <c r="H77" s="191"/>
      <c r="I77" s="14" t="s">
        <v>145</v>
      </c>
      <c r="J77" s="32">
        <f>(IF(B68&gt;3,(H68/(B68+2)+J76),0))</f>
        <v>0</v>
      </c>
    </row>
    <row r="78" spans="1:10" ht="15.75" customHeight="1" x14ac:dyDescent="0.35">
      <c r="A78" s="76" t="s">
        <v>139</v>
      </c>
      <c r="B78" s="76"/>
      <c r="C78" s="63">
        <v>3</v>
      </c>
      <c r="D78" s="20">
        <f ca="1">((100/H68)*C78)/100</f>
        <v>0.4285714285714286</v>
      </c>
      <c r="E78" s="191"/>
      <c r="F78" s="191"/>
      <c r="G78" s="191"/>
      <c r="H78" s="191"/>
      <c r="I78" s="14" t="s">
        <v>146</v>
      </c>
      <c r="J78" s="31">
        <f>(IF(B68&gt;4,(H68/(B68+2)+J77),0))</f>
        <v>0</v>
      </c>
    </row>
    <row r="79" spans="1:10" ht="15.75" customHeight="1" x14ac:dyDescent="0.35">
      <c r="A79" s="76" t="s">
        <v>134</v>
      </c>
      <c r="B79" s="76" t="s">
        <v>134</v>
      </c>
      <c r="C79" s="63">
        <v>0</v>
      </c>
      <c r="D79" s="20">
        <f ca="1">((100/(H68))*C79)/100</f>
        <v>0</v>
      </c>
      <c r="E79" s="191"/>
      <c r="F79" s="191"/>
      <c r="G79" s="191"/>
      <c r="H79" s="191"/>
      <c r="I79" s="14" t="s">
        <v>148</v>
      </c>
      <c r="J79" s="31">
        <f ca="1">(IF(B68=1,(H68/(B68+3)+J74),IF(B68=0,(H68/4+J74),IF(B68&gt;1,0))))</f>
        <v>5.25</v>
      </c>
    </row>
    <row r="80" spans="1:10" ht="16" thickBot="1" x14ac:dyDescent="0.4">
      <c r="A80" s="76" t="s">
        <v>135</v>
      </c>
      <c r="B80" s="76"/>
      <c r="C80" s="63">
        <v>0</v>
      </c>
      <c r="D80" s="20">
        <f ca="1">((100/(H68))*C80)/100</f>
        <v>0</v>
      </c>
      <c r="E80" s="191"/>
      <c r="F80" s="191"/>
      <c r="G80" s="191"/>
      <c r="H80" s="191"/>
      <c r="I80" s="16" t="s">
        <v>104</v>
      </c>
      <c r="J80" s="33">
        <f ca="1">(IF(B68&gt;1.5,(H68/(B68+2)+J74+MAX(0,J75-J74)+MAX(0,J76-J75)+MAX(0,J77-J76)+MAX(0,J78-J77)+MAX(0,J79-J78)),IF(B68=1,(H68/(B68+3)+J79),IF(B68=0,H68/4+J79))))</f>
        <v>7</v>
      </c>
    </row>
    <row r="81" spans="1:10" ht="15.75" customHeight="1" x14ac:dyDescent="0.35">
      <c r="A81" s="157" t="s">
        <v>141</v>
      </c>
      <c r="B81" s="158"/>
      <c r="C81" s="159" t="s">
        <v>191</v>
      </c>
      <c r="D81" s="160"/>
      <c r="E81" s="160"/>
      <c r="F81" s="160"/>
      <c r="G81" s="160"/>
      <c r="H81" s="161"/>
      <c r="I81" s="51" t="str">
        <f ca="1">IF(D94=100%,"All work Completed. Possession granted to the Building.",IF(D93=100%,"All work Completed, Waiting for OC",I82&amp;""&amp;I83&amp;""&amp;J82&amp;""&amp;J81&amp;" "&amp;J83))</f>
        <v>Excavation, Plinth, RCC Slab, Brickwork, Internal Plaster, External Plaster, Flooring, Painting Completed, Finishing upto 5 Floor, Possession upto 3 Floor Completed</v>
      </c>
      <c r="J81" s="52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Finishing upto 5 Floor, Possession upto 3 Floor</v>
      </c>
    </row>
    <row r="82" spans="1:10" s="24" customFormat="1" x14ac:dyDescent="0.35">
      <c r="A82" s="17" t="s">
        <v>143</v>
      </c>
      <c r="B82" s="48">
        <v>0</v>
      </c>
      <c r="C82" s="48" t="s">
        <v>73</v>
      </c>
      <c r="D82" s="48">
        <v>1</v>
      </c>
      <c r="E82" s="48" t="s">
        <v>72</v>
      </c>
      <c r="F82" s="48">
        <v>0</v>
      </c>
      <c r="G82" s="48" t="s">
        <v>82</v>
      </c>
      <c r="H82" s="18">
        <f ca="1">--TRIM(RIGHT(SUBSTITUTE(LEFT(C81,_xlfn.AGGREGATE(16,6,FIND({0,1,2,3,4,5,6,7,8,9},C81,ROW(INDIRECT("1:"&amp;LEN(C81)))),1))," ",REPT(" ",LEN(C81))),LEN(C81)))</f>
        <v>7</v>
      </c>
      <c r="I82" s="58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Plaster, Flooring, Painting</v>
      </c>
      <c r="J82" s="59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</row>
    <row r="83" spans="1:10" ht="48" customHeight="1" x14ac:dyDescent="0.35">
      <c r="A83" s="71" t="s">
        <v>92</v>
      </c>
      <c r="B83" s="72"/>
      <c r="C83" s="73" t="str">
        <f ca="1">I81</f>
        <v>Excavation, Plinth, RCC Slab, Brickwork, Internal Plaster, External Plaster, Flooring, Painting Completed, Finishing upto 5 Floor, Possession upto 3 Floor Completed</v>
      </c>
      <c r="D83" s="73"/>
      <c r="E83" s="73"/>
      <c r="F83" s="73"/>
      <c r="G83" s="73"/>
      <c r="H83" s="74"/>
      <c r="I83" s="53" t="str">
        <f ca="1">IF(I82&lt;&gt;""," Completed","")</f>
        <v xml:space="preserve"> Completed</v>
      </c>
      <c r="J83" s="54" t="str">
        <f ca="1">IF(J81&lt;&gt;"","Completed","")</f>
        <v>Completed</v>
      </c>
    </row>
    <row r="84" spans="1:10" ht="15.75" customHeight="1" x14ac:dyDescent="0.35">
      <c r="A84" s="75" t="s">
        <v>49</v>
      </c>
      <c r="B84" s="76"/>
      <c r="C84" s="44" t="s">
        <v>140</v>
      </c>
      <c r="D84" s="44" t="s">
        <v>85</v>
      </c>
      <c r="E84" s="76" t="s">
        <v>87</v>
      </c>
      <c r="F84" s="76"/>
      <c r="G84" s="76" t="s">
        <v>86</v>
      </c>
      <c r="H84" s="80"/>
      <c r="I84" s="14" t="s">
        <v>142</v>
      </c>
      <c r="J84" s="29">
        <f ca="1">H82*25%</f>
        <v>1.75</v>
      </c>
    </row>
    <row r="85" spans="1:10" x14ac:dyDescent="0.35">
      <c r="A85" s="75" t="s">
        <v>129</v>
      </c>
      <c r="B85" s="76"/>
      <c r="C85" s="44">
        <v>7</v>
      </c>
      <c r="D85" s="20">
        <f ca="1">((100/H82)*C85)/100</f>
        <v>1</v>
      </c>
      <c r="E85" s="88">
        <f ca="1">(((C86/H82*10)+(40/(D82+F82+H82)*C87)+(7.5/(H82)*C88)+(7.5/(H82)*C89)+(10/H82*C90)+(10/H82*C91)+(5/H82*C92)+(5/H82*C93)+(5/H82*C94))/100)</f>
        <v>0.95714285714285707</v>
      </c>
      <c r="F85" s="114"/>
      <c r="G85" s="88">
        <f ca="1">((((C85/H82)*20)+((C86/H82)*25)+(30/(H82+F82+D82)*C87)+(5/H82*C88)+(5/H82*C89)+(5/H82*C90)+(5/H82*C91)+(0/H82*C92)+(0/H82*C93)+(5/H82*C94))/100)</f>
        <v>0.97142857142857142</v>
      </c>
      <c r="H85" s="89"/>
      <c r="I85" s="14" t="s">
        <v>100</v>
      </c>
      <c r="J85" s="30">
        <f ca="1">H82*50%</f>
        <v>3.5</v>
      </c>
    </row>
    <row r="86" spans="1:10" x14ac:dyDescent="0.35">
      <c r="A86" s="75" t="s">
        <v>50</v>
      </c>
      <c r="B86" s="76"/>
      <c r="C86" s="62">
        <f ca="1">J94</f>
        <v>7</v>
      </c>
      <c r="D86" s="20">
        <f ca="1">((100/H82)*C86)/100</f>
        <v>1</v>
      </c>
      <c r="E86" s="90"/>
      <c r="F86" s="115"/>
      <c r="G86" s="90"/>
      <c r="H86" s="91"/>
      <c r="I86" s="14" t="s">
        <v>101</v>
      </c>
      <c r="J86" s="30">
        <f ca="1">H82</f>
        <v>7</v>
      </c>
    </row>
    <row r="87" spans="1:10" ht="15.75" customHeight="1" x14ac:dyDescent="0.35">
      <c r="A87" s="75" t="s">
        <v>130</v>
      </c>
      <c r="B87" s="76"/>
      <c r="C87" s="44">
        <v>8</v>
      </c>
      <c r="D87" s="20">
        <f ca="1">((100/(D82+F82+H82))*C87)/100</f>
        <v>1</v>
      </c>
      <c r="E87" s="90"/>
      <c r="F87" s="115"/>
      <c r="G87" s="90"/>
      <c r="H87" s="91"/>
      <c r="I87" s="14" t="s">
        <v>102</v>
      </c>
      <c r="J87" s="31">
        <f ca="1">(IF(B82&gt;1,(H82/(B82+2)),H82/4))</f>
        <v>1.75</v>
      </c>
    </row>
    <row r="88" spans="1:10" ht="15.75" customHeight="1" x14ac:dyDescent="0.35">
      <c r="A88" s="75" t="s">
        <v>137</v>
      </c>
      <c r="B88" s="76" t="s">
        <v>131</v>
      </c>
      <c r="C88" s="44">
        <v>7</v>
      </c>
      <c r="D88" s="20">
        <f ca="1">((100/H82)*C88)/100</f>
        <v>1</v>
      </c>
      <c r="E88" s="90"/>
      <c r="F88" s="115"/>
      <c r="G88" s="90"/>
      <c r="H88" s="91"/>
      <c r="I88" s="14" t="s">
        <v>103</v>
      </c>
      <c r="J88" s="31">
        <f ca="1">(IF(B82&gt;1,(H82/(B82+2)+J87),H82/4+J87))</f>
        <v>3.5</v>
      </c>
    </row>
    <row r="89" spans="1:10" ht="15.75" customHeight="1" x14ac:dyDescent="0.35">
      <c r="A89" s="75" t="s">
        <v>138</v>
      </c>
      <c r="B89" s="76" t="s">
        <v>131</v>
      </c>
      <c r="C89" s="44">
        <v>7</v>
      </c>
      <c r="D89" s="20">
        <f ca="1">((100/H82)*C89)/100</f>
        <v>1</v>
      </c>
      <c r="E89" s="90"/>
      <c r="F89" s="115"/>
      <c r="G89" s="90"/>
      <c r="H89" s="91"/>
      <c r="I89" s="14" t="s">
        <v>147</v>
      </c>
      <c r="J89" s="31">
        <f>(IF(B82&gt;1,(H82/(B82+2)+J88),0))</f>
        <v>0</v>
      </c>
    </row>
    <row r="90" spans="1:10" ht="15" customHeight="1" x14ac:dyDescent="0.35">
      <c r="A90" s="75" t="s">
        <v>136</v>
      </c>
      <c r="B90" s="76" t="s">
        <v>133</v>
      </c>
      <c r="C90" s="44">
        <v>7</v>
      </c>
      <c r="D90" s="20">
        <f ca="1">((100/(H82))*C90)/100</f>
        <v>1</v>
      </c>
      <c r="E90" s="90"/>
      <c r="F90" s="115"/>
      <c r="G90" s="90"/>
      <c r="H90" s="91"/>
      <c r="I90" s="14" t="s">
        <v>144</v>
      </c>
      <c r="J90" s="31">
        <f>(IF(B82&gt;2,(H82/(B82+2)+J89),0))</f>
        <v>0</v>
      </c>
    </row>
    <row r="91" spans="1:10" ht="15.75" customHeight="1" x14ac:dyDescent="0.35">
      <c r="A91" s="75" t="s">
        <v>132</v>
      </c>
      <c r="B91" s="76" t="s">
        <v>132</v>
      </c>
      <c r="C91" s="44">
        <v>7</v>
      </c>
      <c r="D91" s="20">
        <f ca="1">((100/H82)*C91)/100</f>
        <v>1</v>
      </c>
      <c r="E91" s="90"/>
      <c r="F91" s="115"/>
      <c r="G91" s="90"/>
      <c r="H91" s="91"/>
      <c r="I91" s="14" t="s">
        <v>145</v>
      </c>
      <c r="J91" s="32">
        <f>(IF(B82&gt;3,(H82/(B82+2)+J90),0))</f>
        <v>0</v>
      </c>
    </row>
    <row r="92" spans="1:10" ht="15.75" customHeight="1" x14ac:dyDescent="0.35">
      <c r="A92" s="75" t="s">
        <v>139</v>
      </c>
      <c r="B92" s="76"/>
      <c r="C92" s="44">
        <v>7</v>
      </c>
      <c r="D92" s="20">
        <f ca="1">((100/H82)*C92)/100</f>
        <v>1</v>
      </c>
      <c r="E92" s="90"/>
      <c r="F92" s="115"/>
      <c r="G92" s="90"/>
      <c r="H92" s="91"/>
      <c r="I92" s="14" t="s">
        <v>146</v>
      </c>
      <c r="J92" s="31">
        <f>(IF(B82&gt;4,(H82/(B82+2)+J91),0))</f>
        <v>0</v>
      </c>
    </row>
    <row r="93" spans="1:10" ht="15.75" customHeight="1" x14ac:dyDescent="0.35">
      <c r="A93" s="75" t="s">
        <v>134</v>
      </c>
      <c r="B93" s="76" t="s">
        <v>134</v>
      </c>
      <c r="C93" s="44">
        <v>5</v>
      </c>
      <c r="D93" s="20">
        <f ca="1">((100/(H82))*C93)/100</f>
        <v>0.7142857142857143</v>
      </c>
      <c r="E93" s="90"/>
      <c r="F93" s="115"/>
      <c r="G93" s="90"/>
      <c r="H93" s="91"/>
      <c r="I93" s="14" t="s">
        <v>148</v>
      </c>
      <c r="J93" s="31">
        <f ca="1">(IF(B82=1,(H82/(B82+3)+J88),IF(B82=0,(H82/4+J88),IF(B82&gt;1,0))))</f>
        <v>5.25</v>
      </c>
    </row>
    <row r="94" spans="1:10" ht="16" thickBot="1" x14ac:dyDescent="0.4">
      <c r="A94" s="117" t="s">
        <v>135</v>
      </c>
      <c r="B94" s="118"/>
      <c r="C94" s="45">
        <v>3</v>
      </c>
      <c r="D94" s="21">
        <f ca="1">((100/(H82))*C94)/100</f>
        <v>0.4285714285714286</v>
      </c>
      <c r="E94" s="92"/>
      <c r="F94" s="116"/>
      <c r="G94" s="92"/>
      <c r="H94" s="93"/>
      <c r="I94" s="16" t="s">
        <v>104</v>
      </c>
      <c r="J94" s="33">
        <f ca="1">(IF(B82&gt;1.5,(H82/(B82+2)+J88+MAX(0,J89-J88)+MAX(0,J90-J89)+MAX(0,J91-J90)+MAX(0,J92-J91)+MAX(0,J93-J92)),IF(B82=1,(H82/(B82+3)+J93),IF(B82=0,H82/4+J93))))</f>
        <v>7</v>
      </c>
    </row>
    <row r="95" spans="1:10" ht="15.75" hidden="1" customHeight="1" x14ac:dyDescent="0.35">
      <c r="A95" s="100" t="s">
        <v>141</v>
      </c>
      <c r="B95" s="101"/>
      <c r="C95" s="102" t="str">
        <f>D58</f>
        <v>B Wing = Gr + 1st to 7th Floor</v>
      </c>
      <c r="D95" s="103"/>
      <c r="E95" s="103"/>
      <c r="F95" s="103"/>
      <c r="G95" s="103"/>
      <c r="H95" s="104"/>
      <c r="I95" s="51" t="str">
        <f ca="1">IF(D108=100%,"All work Completed. Possession granted to the Building.",IF(D107=100%,"All work Completed, Waiting for OC",I96&amp;""&amp;I97&amp;""&amp;J96&amp;""&amp;J95&amp;" "&amp;J97))</f>
        <v xml:space="preserve">Excavation, Plinth, RCC Slab Completed </v>
      </c>
      <c r="J95" s="52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/>
      </c>
    </row>
    <row r="96" spans="1:10" hidden="1" x14ac:dyDescent="0.35">
      <c r="A96" s="17" t="s">
        <v>143</v>
      </c>
      <c r="B96" s="15">
        <v>0</v>
      </c>
      <c r="C96" s="48" t="s">
        <v>73</v>
      </c>
      <c r="D96" s="48">
        <v>1</v>
      </c>
      <c r="E96" s="48" t="s">
        <v>72</v>
      </c>
      <c r="F96" s="15">
        <v>0</v>
      </c>
      <c r="G96" s="49" t="s">
        <v>82</v>
      </c>
      <c r="H96" s="18">
        <f ca="1">--TRIM(RIGHT(SUBSTITUTE(LEFT(C95,_xlfn.AGGREGATE(16,6,FIND({0,1,2,3,4,5,6,7,8,9},C95,ROW(INDIRECT("1:"&amp;LEN(C95)))),1))," ",REPT(" ",LEN(C95))),LEN(C95)))</f>
        <v>7</v>
      </c>
      <c r="I96" s="53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</v>
      </c>
      <c r="J96" s="54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0" ht="33.75" hidden="1" customHeight="1" x14ac:dyDescent="0.35">
      <c r="A97" s="71" t="s">
        <v>92</v>
      </c>
      <c r="B97" s="72"/>
      <c r="C97" s="73" t="str">
        <f>(IF($G$52="NA",I95,"All work Completed. OC Received."))</f>
        <v>All work Completed. OC Received.</v>
      </c>
      <c r="D97" s="73"/>
      <c r="E97" s="73"/>
      <c r="F97" s="73"/>
      <c r="G97" s="73"/>
      <c r="H97" s="74"/>
      <c r="I97" s="53" t="str">
        <f ca="1">IF(I96&lt;&gt;""," Completed","")</f>
        <v xml:space="preserve"> Completed</v>
      </c>
      <c r="J97" s="54" t="str">
        <f ca="1">IF(J95&lt;&gt;"","Completed","")</f>
        <v/>
      </c>
    </row>
    <row r="98" spans="1:10" ht="15.75" hidden="1" customHeight="1" x14ac:dyDescent="0.35">
      <c r="A98" s="75" t="s">
        <v>49</v>
      </c>
      <c r="B98" s="76"/>
      <c r="C98" s="44" t="s">
        <v>140</v>
      </c>
      <c r="D98" s="44" t="s">
        <v>85</v>
      </c>
      <c r="E98" s="76" t="s">
        <v>87</v>
      </c>
      <c r="F98" s="76"/>
      <c r="G98" s="76" t="s">
        <v>86</v>
      </c>
      <c r="H98" s="80"/>
      <c r="I98" s="14" t="s">
        <v>142</v>
      </c>
      <c r="J98" s="29">
        <f ca="1">H96*25%</f>
        <v>1.75</v>
      </c>
    </row>
    <row r="99" spans="1:10" hidden="1" x14ac:dyDescent="0.35">
      <c r="A99" s="75" t="s">
        <v>129</v>
      </c>
      <c r="B99" s="76"/>
      <c r="C99" s="44">
        <f ca="1">J100</f>
        <v>7</v>
      </c>
      <c r="D99" s="20">
        <f ca="1">((100/H96)*C99)/100</f>
        <v>1</v>
      </c>
      <c r="E99" s="88">
        <f ca="1">(((C100/H96*10)+(40/(D96+F96+H96)*C101)+(7.5/(H96)*C102)+(7.5/(H96)*C103)+(10/H96*C104)+(10/H96*C105)+(5/H96*C106)+(5/H96*C107)+(5/H96*C108))/100)</f>
        <v>0.5</v>
      </c>
      <c r="F99" s="114"/>
      <c r="G99" s="88">
        <f ca="1">((((C99/H96)*20)+((C100/H96)*25)+(30/(H96+F96+D96)*C101)+(5/H96*C102)+(5/H96*C103)+(5/H96*C104)+(5/H96*C105)+(0/H96*C106)+(0/H96*C107)+(5/H96*C108))/100)</f>
        <v>0.75</v>
      </c>
      <c r="H99" s="89"/>
      <c r="I99" s="14" t="s">
        <v>100</v>
      </c>
      <c r="J99" s="30">
        <f ca="1">H96*50%</f>
        <v>3.5</v>
      </c>
    </row>
    <row r="100" spans="1:10" hidden="1" x14ac:dyDescent="0.35">
      <c r="A100" s="75" t="s">
        <v>50</v>
      </c>
      <c r="B100" s="76"/>
      <c r="C100" s="44">
        <f ca="1">J108</f>
        <v>7</v>
      </c>
      <c r="D100" s="20">
        <f ca="1">((100/H96)*C100)/100</f>
        <v>1</v>
      </c>
      <c r="E100" s="90"/>
      <c r="F100" s="115"/>
      <c r="G100" s="90"/>
      <c r="H100" s="91"/>
      <c r="I100" s="14" t="s">
        <v>101</v>
      </c>
      <c r="J100" s="30">
        <f ca="1">H96</f>
        <v>7</v>
      </c>
    </row>
    <row r="101" spans="1:10" ht="15.75" hidden="1" customHeight="1" x14ac:dyDescent="0.35">
      <c r="A101" s="75" t="s">
        <v>130</v>
      </c>
      <c r="B101" s="76"/>
      <c r="C101" s="44">
        <f ca="1">D96+H96</f>
        <v>8</v>
      </c>
      <c r="D101" s="20">
        <f ca="1">((100/(D96+F96+H96))*C101)/100</f>
        <v>1</v>
      </c>
      <c r="E101" s="90"/>
      <c r="F101" s="115"/>
      <c r="G101" s="90"/>
      <c r="H101" s="91"/>
      <c r="I101" s="14" t="s">
        <v>102</v>
      </c>
      <c r="J101" s="31">
        <f ca="1">(IF(B96&gt;1,(H96/(B96+2)),H96/4))</f>
        <v>1.75</v>
      </c>
    </row>
    <row r="102" spans="1:10" ht="15.75" hidden="1" customHeight="1" x14ac:dyDescent="0.35">
      <c r="A102" s="75" t="s">
        <v>137</v>
      </c>
      <c r="B102" s="76" t="s">
        <v>131</v>
      </c>
      <c r="C102" s="44">
        <v>0</v>
      </c>
      <c r="D102" s="20">
        <f ca="1">((100/H96)*C102)/100</f>
        <v>0</v>
      </c>
      <c r="E102" s="90"/>
      <c r="F102" s="115"/>
      <c r="G102" s="90"/>
      <c r="H102" s="91"/>
      <c r="I102" s="14" t="s">
        <v>103</v>
      </c>
      <c r="J102" s="31">
        <f ca="1">(IF(B96&gt;1,(H96/(B96+2)+J101),H96/4+J101))</f>
        <v>3.5</v>
      </c>
    </row>
    <row r="103" spans="1:10" ht="15.75" hidden="1" customHeight="1" x14ac:dyDescent="0.35">
      <c r="A103" s="75" t="s">
        <v>138</v>
      </c>
      <c r="B103" s="76" t="s">
        <v>131</v>
      </c>
      <c r="C103" s="44">
        <v>0</v>
      </c>
      <c r="D103" s="20">
        <f ca="1">((100/H96)*C103)/100</f>
        <v>0</v>
      </c>
      <c r="E103" s="90"/>
      <c r="F103" s="115"/>
      <c r="G103" s="90"/>
      <c r="H103" s="91"/>
      <c r="I103" s="14" t="s">
        <v>147</v>
      </c>
      <c r="J103" s="31">
        <f>(IF(B96&gt;1,(H96/(B96+2)+J102),0))</f>
        <v>0</v>
      </c>
    </row>
    <row r="104" spans="1:10" ht="15" hidden="1" customHeight="1" x14ac:dyDescent="0.35">
      <c r="A104" s="75" t="s">
        <v>136</v>
      </c>
      <c r="B104" s="76" t="s">
        <v>133</v>
      </c>
      <c r="C104" s="44">
        <v>0</v>
      </c>
      <c r="D104" s="20">
        <f ca="1">((100/(H96))*C104)/100</f>
        <v>0</v>
      </c>
      <c r="E104" s="90"/>
      <c r="F104" s="115"/>
      <c r="G104" s="90"/>
      <c r="H104" s="91"/>
      <c r="I104" s="14" t="s">
        <v>144</v>
      </c>
      <c r="J104" s="31">
        <f>(IF(B96&gt;2,(H96/(B96+2)+J103),0))</f>
        <v>0</v>
      </c>
    </row>
    <row r="105" spans="1:10" ht="15.75" hidden="1" customHeight="1" x14ac:dyDescent="0.35">
      <c r="A105" s="75" t="s">
        <v>132</v>
      </c>
      <c r="B105" s="76" t="s">
        <v>132</v>
      </c>
      <c r="C105" s="44">
        <v>0</v>
      </c>
      <c r="D105" s="20">
        <f ca="1">((100/H96)*C105)/100</f>
        <v>0</v>
      </c>
      <c r="E105" s="90"/>
      <c r="F105" s="115"/>
      <c r="G105" s="90"/>
      <c r="H105" s="91"/>
      <c r="I105" s="14" t="s">
        <v>145</v>
      </c>
      <c r="J105" s="32">
        <f>(IF(B96&gt;3,(H96/(B96+2)+J104),0))</f>
        <v>0</v>
      </c>
    </row>
    <row r="106" spans="1:10" ht="15.75" hidden="1" customHeight="1" x14ac:dyDescent="0.35">
      <c r="A106" s="75" t="s">
        <v>139</v>
      </c>
      <c r="B106" s="76"/>
      <c r="C106" s="44">
        <v>0</v>
      </c>
      <c r="D106" s="20">
        <f ca="1">((100/H96)*C106)/100</f>
        <v>0</v>
      </c>
      <c r="E106" s="90"/>
      <c r="F106" s="115"/>
      <c r="G106" s="90"/>
      <c r="H106" s="91"/>
      <c r="I106" s="14" t="s">
        <v>146</v>
      </c>
      <c r="J106" s="31">
        <f>(IF(B96&gt;4,(H96/(B96+2)+J105),0))</f>
        <v>0</v>
      </c>
    </row>
    <row r="107" spans="1:10" ht="15.75" hidden="1" customHeight="1" x14ac:dyDescent="0.35">
      <c r="A107" s="75" t="s">
        <v>134</v>
      </c>
      <c r="B107" s="76" t="s">
        <v>134</v>
      </c>
      <c r="C107" s="44">
        <v>0</v>
      </c>
      <c r="D107" s="20">
        <f ca="1">((100/(H96))*C107)/100</f>
        <v>0</v>
      </c>
      <c r="E107" s="90"/>
      <c r="F107" s="115"/>
      <c r="G107" s="90"/>
      <c r="H107" s="91"/>
      <c r="I107" s="14" t="s">
        <v>148</v>
      </c>
      <c r="J107" s="31">
        <f ca="1">(IF(B96=1,(H96/(B96+3)+J102),IF(B96=0,(H96/4+J102),IF(B96&gt;1,0))))</f>
        <v>5.25</v>
      </c>
    </row>
    <row r="108" spans="1:10" ht="16" hidden="1" thickBot="1" x14ac:dyDescent="0.4">
      <c r="A108" s="117" t="s">
        <v>135</v>
      </c>
      <c r="B108" s="118"/>
      <c r="C108" s="45">
        <v>0</v>
      </c>
      <c r="D108" s="21">
        <f ca="1">((100/(H96))*C108)/100</f>
        <v>0</v>
      </c>
      <c r="E108" s="92"/>
      <c r="F108" s="116"/>
      <c r="G108" s="92"/>
      <c r="H108" s="93"/>
      <c r="I108" s="16" t="s">
        <v>104</v>
      </c>
      <c r="J108" s="33">
        <f ca="1">(IF(B96&gt;1.5,(H96/(B96+2)+J102+MAX(0,J103-J102)+MAX(0,J104-J103)+MAX(0,J105-J104)+MAX(0,J106-J105)+MAX(0,J107-J106)),IF(B96=1,(H96/(B96+3)+J107),IF(B96=0,H96/4+J107))))</f>
        <v>7</v>
      </c>
    </row>
    <row r="109" spans="1:10" ht="15.75" customHeight="1" x14ac:dyDescent="0.35">
      <c r="A109" s="100" t="s">
        <v>141</v>
      </c>
      <c r="B109" s="101"/>
      <c r="C109" s="102" t="str">
        <f>D59</f>
        <v>C Wing = St/Gr + 1st to 7th Floor</v>
      </c>
      <c r="D109" s="103"/>
      <c r="E109" s="103"/>
      <c r="F109" s="103"/>
      <c r="G109" s="103"/>
      <c r="H109" s="104"/>
      <c r="I109" s="51" t="str">
        <f ca="1">IF(D123=100%,"All work Completed. Possession granted to the Building.",IF(D122=100%,"All work Completed, Waiting for OC",I110&amp;""&amp;I111&amp;""&amp;J110&amp;""&amp;J109&amp;" "&amp;J111))</f>
        <v>All work Completed. Possession granted to the Building.</v>
      </c>
      <c r="J109" s="52" t="str">
        <f ca="1">(IF(C116=(D110+F110+H110),"",IF(C116&gt;0,", RCC upto "&amp;C116&amp;" Slab","")))&amp;(IF(C117=H110,"",IF(C117&gt;0,", Brickwork upto "&amp;C117&amp;" Floor","")))&amp;(IF(C118=H110,"",IF(C118&gt;0,", Internal Plaster upto "&amp;C118&amp;" Floor","")))&amp;(IF(C119=H110,"",IF(C119&gt;0,", External Plaster upto "&amp;C119&amp;" Floor","")))&amp;(IF(C120=H110,"",IF(C120&gt;0,", Flooring upto "&amp;C120&amp;" Floor","")))&amp;(IF(C121=H110,"",IF(C121&gt;0,", Painting upto "&amp;C121&amp;" Floor","")))&amp;(IF(C122=H110,"",IF(C122&gt;0,", Finishing upto "&amp;C122&amp;" Floor","")))&amp;(IF(C123=H110,"",IF(C123&gt;0,", Possession upto "&amp;C123&amp;" Floor","")))</f>
        <v/>
      </c>
    </row>
    <row r="110" spans="1:10" s="24" customFormat="1" x14ac:dyDescent="0.35">
      <c r="A110" s="17" t="s">
        <v>143</v>
      </c>
      <c r="B110" s="48">
        <v>0</v>
      </c>
      <c r="C110" s="48" t="s">
        <v>73</v>
      </c>
      <c r="D110" s="48">
        <v>1</v>
      </c>
      <c r="E110" s="48" t="s">
        <v>72</v>
      </c>
      <c r="F110" s="48">
        <v>0</v>
      </c>
      <c r="G110" s="48" t="s">
        <v>82</v>
      </c>
      <c r="H110" s="18">
        <f ca="1">--TRIM(RIGHT(SUBSTITUTE(LEFT(C109,_xlfn.AGGREGATE(16,6,FIND({0,1,2,3,4,5,6,7,8,9},C109,ROW(INDIRECT("1:"&amp;LEN(C109)))),1))," ",REPT(" ",LEN(C109))),LEN(C109)))</f>
        <v>7</v>
      </c>
      <c r="I110" s="58" t="str">
        <f ca="1">IF(D114=100%,"Excavation","")&amp;IF(D115=100%,", Plinth","")&amp;IF(D116=100%,", RCC Slab","")&amp;IF(D117=100%,", Brickwork","")&amp;IF(D118=100%,", Internal Plaster","")&amp;IF(D119=100%,", External Plaster","")&amp;IF(D120=100%,", Flooring","")&amp;IF(D121=100%,", Painting","")&amp;IF(D122=100%,", Building common Amenities","")</f>
        <v>Excavation, Plinth, RCC Slab, Brickwork, Internal Plaster, External Plaster, Flooring, Painting, Building common Amenities</v>
      </c>
      <c r="J110" s="59" t="str">
        <f ca="1">(IF(C114=0,"Work not yet Started.",IF(D114=25%,"Piling work in process",IF(D114=50%,"Excavation work in process",IF(D114=100%,"","0")))))&amp;(IF(C115=0%,"",IF(C115=J116,", Footing work is process",IF(C115=J117,", Footing work Completed",IF(C115=J118,", 1st Basement Completed",IF(C115=J119,", 1st &amp; 2nd Basement Completed",IF(C115=J120,", 1st to 3rd Basement Completed",IF(C115=J121,", 1st to 4th Basement Completed",IF(C115=J122,", Plinth work is process",IF(C115=J123,"","0"))))))))))</f>
        <v/>
      </c>
    </row>
    <row r="111" spans="1:10" x14ac:dyDescent="0.35">
      <c r="A111" s="71" t="s">
        <v>92</v>
      </c>
      <c r="B111" s="72"/>
      <c r="C111" s="73" t="str">
        <f>(IF($G$52="NA",I109,"All work Completed. OC Received."))</f>
        <v>All work Completed. OC Received.</v>
      </c>
      <c r="D111" s="73"/>
      <c r="E111" s="73"/>
      <c r="F111" s="73"/>
      <c r="G111" s="73"/>
      <c r="H111" s="74"/>
      <c r="I111" s="53" t="str">
        <f ca="1">IF(I110&lt;&gt;""," Completed","")</f>
        <v xml:space="preserve"> Completed</v>
      </c>
      <c r="J111" s="54" t="str">
        <f ca="1">IF(J109&lt;&gt;"","Completed","")</f>
        <v/>
      </c>
    </row>
    <row r="112" spans="1:10" ht="31" customHeight="1" x14ac:dyDescent="0.35">
      <c r="A112" s="82" t="s">
        <v>87</v>
      </c>
      <c r="B112" s="83"/>
      <c r="C112" s="84">
        <f ca="1">E114</f>
        <v>1</v>
      </c>
      <c r="D112" s="85"/>
      <c r="E112" s="86" t="s">
        <v>86</v>
      </c>
      <c r="F112" s="85"/>
      <c r="G112" s="84">
        <f ca="1">G114</f>
        <v>1</v>
      </c>
      <c r="H112" s="87"/>
      <c r="I112" s="53"/>
      <c r="J112" s="54"/>
    </row>
    <row r="113" spans="1:13" ht="15.75" hidden="1" customHeight="1" x14ac:dyDescent="0.35">
      <c r="A113" s="75" t="s">
        <v>49</v>
      </c>
      <c r="B113" s="76"/>
      <c r="C113" s="44" t="s">
        <v>140</v>
      </c>
      <c r="D113" s="44" t="s">
        <v>85</v>
      </c>
      <c r="E113" s="76" t="s">
        <v>87</v>
      </c>
      <c r="F113" s="76"/>
      <c r="G113" s="76" t="s">
        <v>86</v>
      </c>
      <c r="H113" s="80"/>
      <c r="I113" s="14" t="s">
        <v>142</v>
      </c>
      <c r="J113" s="29">
        <f ca="1">H110*25%</f>
        <v>1.75</v>
      </c>
    </row>
    <row r="114" spans="1:13" hidden="1" x14ac:dyDescent="0.35">
      <c r="A114" s="75" t="s">
        <v>129</v>
      </c>
      <c r="B114" s="76"/>
      <c r="C114" s="44">
        <v>7</v>
      </c>
      <c r="D114" s="20">
        <f ca="1">((100/H110)*C114)/100</f>
        <v>1</v>
      </c>
      <c r="E114" s="88">
        <f ca="1">(((C115/H110*10)+(40/(D110+F110+H110)*C116)+(7.5/(H110)*C117)+(7.5/(H110)*C118)+(10/H110*C119)+(10/H110*C120)+(5/H110*C121)+(5/H110*C122)+(5/H110*C123))/100)</f>
        <v>1</v>
      </c>
      <c r="F114" s="114"/>
      <c r="G114" s="88">
        <f ca="1">((((C114/H110)*20)+((C115/H110)*25)+(30/(H110+F110+D110)*C116)+(5/H110*C117)+(5/H110*C118)+(5/H110*C119)+(5/H110*C120)+(0/H110*C121)+(0/H110*C122)+(5/H110*C123))/100)</f>
        <v>1</v>
      </c>
      <c r="H114" s="89"/>
      <c r="I114" s="14" t="s">
        <v>100</v>
      </c>
      <c r="J114" s="30">
        <f ca="1">H110*50%</f>
        <v>3.5</v>
      </c>
    </row>
    <row r="115" spans="1:13" hidden="1" x14ac:dyDescent="0.35">
      <c r="A115" s="75" t="s">
        <v>50</v>
      </c>
      <c r="B115" s="76"/>
      <c r="C115" s="44">
        <v>7</v>
      </c>
      <c r="D115" s="20">
        <f ca="1">((100/H110)*C115)/100</f>
        <v>1</v>
      </c>
      <c r="E115" s="90"/>
      <c r="F115" s="115"/>
      <c r="G115" s="90"/>
      <c r="H115" s="91"/>
      <c r="I115" s="14" t="s">
        <v>101</v>
      </c>
      <c r="J115" s="30">
        <f ca="1">H110</f>
        <v>7</v>
      </c>
    </row>
    <row r="116" spans="1:13" ht="15.75" hidden="1" customHeight="1" x14ac:dyDescent="0.35">
      <c r="A116" s="75" t="s">
        <v>130</v>
      </c>
      <c r="B116" s="76"/>
      <c r="C116" s="44">
        <v>8</v>
      </c>
      <c r="D116" s="20">
        <f ca="1">((100/(D110+F110+H110))*C116)/100</f>
        <v>1</v>
      </c>
      <c r="E116" s="90"/>
      <c r="F116" s="115"/>
      <c r="G116" s="90"/>
      <c r="H116" s="91"/>
      <c r="I116" s="14" t="s">
        <v>102</v>
      </c>
      <c r="J116" s="31">
        <f ca="1">(IF(B110&gt;1,(H110/(B110+2)),H110/4))</f>
        <v>1.75</v>
      </c>
    </row>
    <row r="117" spans="1:13" ht="15.75" hidden="1" customHeight="1" x14ac:dyDescent="0.35">
      <c r="A117" s="75" t="s">
        <v>137</v>
      </c>
      <c r="B117" s="76" t="s">
        <v>131</v>
      </c>
      <c r="C117" s="44">
        <v>7</v>
      </c>
      <c r="D117" s="20">
        <f ca="1">((100/H110)*C117)/100</f>
        <v>1</v>
      </c>
      <c r="E117" s="90"/>
      <c r="F117" s="115"/>
      <c r="G117" s="90"/>
      <c r="H117" s="91"/>
      <c r="I117" s="14" t="s">
        <v>103</v>
      </c>
      <c r="J117" s="31">
        <f ca="1">(IF(B110&gt;1,(H110/(B110+2)+J116),H110/4+J116))</f>
        <v>3.5</v>
      </c>
    </row>
    <row r="118" spans="1:13" ht="15.75" hidden="1" customHeight="1" x14ac:dyDescent="0.35">
      <c r="A118" s="75" t="s">
        <v>138</v>
      </c>
      <c r="B118" s="76" t="s">
        <v>131</v>
      </c>
      <c r="C118" s="44">
        <v>7</v>
      </c>
      <c r="D118" s="20">
        <f ca="1">((100/H110)*C118)/100</f>
        <v>1</v>
      </c>
      <c r="E118" s="90"/>
      <c r="F118" s="115"/>
      <c r="G118" s="90"/>
      <c r="H118" s="91"/>
      <c r="I118" s="14" t="s">
        <v>147</v>
      </c>
      <c r="J118" s="31">
        <f>(IF(B110&gt;1,(H110/(B110+2)+J117),0))</f>
        <v>0</v>
      </c>
    </row>
    <row r="119" spans="1:13" ht="15" hidden="1" customHeight="1" x14ac:dyDescent="0.35">
      <c r="A119" s="75" t="s">
        <v>136</v>
      </c>
      <c r="B119" s="76" t="s">
        <v>133</v>
      </c>
      <c r="C119" s="44">
        <v>7</v>
      </c>
      <c r="D119" s="20">
        <f ca="1">((100/(H110))*C119)/100</f>
        <v>1</v>
      </c>
      <c r="E119" s="90"/>
      <c r="F119" s="115"/>
      <c r="G119" s="90"/>
      <c r="H119" s="91"/>
      <c r="I119" s="14" t="s">
        <v>144</v>
      </c>
      <c r="J119" s="31">
        <f>(IF(B110&gt;2,(H110/(B110+2)+J118),0))</f>
        <v>0</v>
      </c>
    </row>
    <row r="120" spans="1:13" ht="15.75" hidden="1" customHeight="1" x14ac:dyDescent="0.35">
      <c r="A120" s="75" t="s">
        <v>132</v>
      </c>
      <c r="B120" s="76" t="s">
        <v>132</v>
      </c>
      <c r="C120" s="44">
        <v>7</v>
      </c>
      <c r="D120" s="20">
        <f ca="1">((100/H110)*C120)/100</f>
        <v>1</v>
      </c>
      <c r="E120" s="90"/>
      <c r="F120" s="115"/>
      <c r="G120" s="90"/>
      <c r="H120" s="91"/>
      <c r="I120" s="14" t="s">
        <v>145</v>
      </c>
      <c r="J120" s="32">
        <f>(IF(B110&gt;3,(H110/(B110+2)+J119),0))</f>
        <v>0</v>
      </c>
    </row>
    <row r="121" spans="1:13" ht="15.75" hidden="1" customHeight="1" x14ac:dyDescent="0.35">
      <c r="A121" s="75" t="s">
        <v>139</v>
      </c>
      <c r="B121" s="76"/>
      <c r="C121" s="44">
        <v>7</v>
      </c>
      <c r="D121" s="20">
        <f ca="1">((100/H110)*C121)/100</f>
        <v>1</v>
      </c>
      <c r="E121" s="90"/>
      <c r="F121" s="115"/>
      <c r="G121" s="90"/>
      <c r="H121" s="91"/>
      <c r="I121" s="14" t="s">
        <v>146</v>
      </c>
      <c r="J121" s="31">
        <f>(IF(B110&gt;4,(H110/(B110+2)+J120),0))</f>
        <v>0</v>
      </c>
    </row>
    <row r="122" spans="1:13" ht="15.75" hidden="1" customHeight="1" x14ac:dyDescent="0.35">
      <c r="A122" s="75" t="s">
        <v>134</v>
      </c>
      <c r="B122" s="76" t="s">
        <v>134</v>
      </c>
      <c r="C122" s="44">
        <v>7</v>
      </c>
      <c r="D122" s="20">
        <f ca="1">((100/(H110))*C122)/100</f>
        <v>1</v>
      </c>
      <c r="E122" s="90"/>
      <c r="F122" s="115"/>
      <c r="G122" s="90"/>
      <c r="H122" s="91"/>
      <c r="I122" s="14" t="s">
        <v>148</v>
      </c>
      <c r="J122" s="31">
        <f ca="1">(IF(B110=1,(H110/(B110+3)+J117),IF(B110=0,(H110/4+J117),IF(B110&gt;1,0))))</f>
        <v>5.25</v>
      </c>
    </row>
    <row r="123" spans="1:13" ht="16" hidden="1" thickBot="1" x14ac:dyDescent="0.4">
      <c r="A123" s="117" t="s">
        <v>135</v>
      </c>
      <c r="B123" s="118"/>
      <c r="C123" s="45">
        <v>7</v>
      </c>
      <c r="D123" s="21">
        <f ca="1">((100/(H110))*C123)/100</f>
        <v>1</v>
      </c>
      <c r="E123" s="92"/>
      <c r="F123" s="116"/>
      <c r="G123" s="92"/>
      <c r="H123" s="93"/>
      <c r="I123" s="16" t="s">
        <v>104</v>
      </c>
      <c r="J123" s="33">
        <f ca="1">(IF(B110&gt;1.5,(H110/(B110+2)+J117+MAX(0,J118-J117)+MAX(0,J119-J118)+MAX(0,J120-J119)+MAX(0,J121-J120)+MAX(0,J122-J121)),IF(B110=1,(H110/(B110+3)+J122),IF(B110=0,H110/4+J122))))</f>
        <v>7</v>
      </c>
    </row>
    <row r="124" spans="1:13" x14ac:dyDescent="0.35">
      <c r="A124" s="81" t="s">
        <v>159</v>
      </c>
      <c r="B124" s="81"/>
      <c r="C124" s="81"/>
      <c r="D124" s="81"/>
      <c r="E124" s="81"/>
      <c r="F124" s="119" t="s">
        <v>164</v>
      </c>
      <c r="G124" s="119"/>
      <c r="H124" s="119"/>
    </row>
    <row r="125" spans="1:13" x14ac:dyDescent="0.35">
      <c r="A125" s="70" t="s">
        <v>162</v>
      </c>
      <c r="B125" s="70"/>
      <c r="C125" s="70"/>
      <c r="D125" s="70"/>
      <c r="E125" s="70"/>
      <c r="F125" s="77">
        <v>5000</v>
      </c>
      <c r="G125" s="77"/>
      <c r="H125" s="77"/>
      <c r="J125" s="22" t="s">
        <v>218</v>
      </c>
      <c r="K125" s="22" t="s">
        <v>219</v>
      </c>
      <c r="L125" s="26">
        <v>45002</v>
      </c>
      <c r="M125" s="22" t="s">
        <v>220</v>
      </c>
    </row>
    <row r="126" spans="1:13" hidden="1" x14ac:dyDescent="0.35">
      <c r="A126" s="70" t="s">
        <v>161</v>
      </c>
      <c r="B126" s="70"/>
      <c r="C126" s="70"/>
      <c r="D126" s="70"/>
      <c r="E126" s="70"/>
      <c r="F126" s="77"/>
      <c r="G126" s="77"/>
      <c r="H126" s="77"/>
    </row>
    <row r="127" spans="1:13" hidden="1" x14ac:dyDescent="0.35">
      <c r="A127" s="70" t="s">
        <v>163</v>
      </c>
      <c r="B127" s="70"/>
      <c r="C127" s="70"/>
      <c r="D127" s="70"/>
      <c r="E127" s="70"/>
      <c r="F127" s="77"/>
      <c r="G127" s="77"/>
      <c r="H127" s="77"/>
    </row>
    <row r="128" spans="1:13" s="34" customFormat="1" hidden="1" x14ac:dyDescent="0.3">
      <c r="A128" s="70" t="s">
        <v>160</v>
      </c>
      <c r="B128" s="70"/>
      <c r="C128" s="70"/>
      <c r="D128" s="70"/>
      <c r="E128" s="70"/>
      <c r="F128" s="77"/>
      <c r="G128" s="77"/>
      <c r="H128" s="77"/>
    </row>
    <row r="129" spans="1:8" s="34" customFormat="1" x14ac:dyDescent="0.3">
      <c r="A129" s="70" t="s">
        <v>217</v>
      </c>
      <c r="B129" s="70"/>
      <c r="C129" s="70"/>
      <c r="D129" s="70"/>
      <c r="E129" s="70"/>
      <c r="F129" s="77">
        <v>350000</v>
      </c>
      <c r="G129" s="77"/>
      <c r="H129" s="77"/>
    </row>
    <row r="130" spans="1:8" s="34" customFormat="1" x14ac:dyDescent="0.3">
      <c r="A130" s="70" t="s">
        <v>216</v>
      </c>
      <c r="B130" s="70"/>
      <c r="C130" s="70"/>
      <c r="D130" s="70"/>
      <c r="E130" s="70"/>
      <c r="F130" s="77">
        <v>60000</v>
      </c>
      <c r="G130" s="77"/>
      <c r="H130" s="77"/>
    </row>
    <row r="131" spans="1:8" s="34" customFormat="1" hidden="1" x14ac:dyDescent="0.3">
      <c r="A131" s="70" t="s">
        <v>165</v>
      </c>
      <c r="B131" s="70"/>
      <c r="C131" s="70"/>
      <c r="D131" s="70"/>
      <c r="E131" s="70"/>
      <c r="F131" s="77"/>
      <c r="G131" s="77"/>
      <c r="H131" s="77"/>
    </row>
    <row r="132" spans="1:8" s="34" customFormat="1" hidden="1" x14ac:dyDescent="0.3">
      <c r="A132" s="70" t="s">
        <v>97</v>
      </c>
      <c r="B132" s="70"/>
      <c r="C132" s="70"/>
      <c r="D132" s="70"/>
      <c r="E132" s="70"/>
      <c r="F132" s="77"/>
      <c r="G132" s="77"/>
      <c r="H132" s="77"/>
    </row>
    <row r="133" spans="1:8" s="34" customFormat="1" hidden="1" x14ac:dyDescent="0.3">
      <c r="A133" s="70" t="s">
        <v>98</v>
      </c>
      <c r="B133" s="70"/>
      <c r="C133" s="70"/>
      <c r="D133" s="70"/>
      <c r="E133" s="70"/>
      <c r="F133" s="77"/>
      <c r="G133" s="77"/>
      <c r="H133" s="77"/>
    </row>
    <row r="134" spans="1:8" s="34" customFormat="1" x14ac:dyDescent="0.3">
      <c r="A134" s="70" t="s">
        <v>99</v>
      </c>
      <c r="B134" s="70"/>
      <c r="C134" s="70"/>
      <c r="D134" s="70"/>
      <c r="E134" s="70"/>
      <c r="F134" s="77">
        <v>50000</v>
      </c>
      <c r="G134" s="77"/>
      <c r="H134" s="77"/>
    </row>
    <row r="135" spans="1:8" x14ac:dyDescent="0.35">
      <c r="A135" s="70" t="s">
        <v>51</v>
      </c>
      <c r="B135" s="70"/>
      <c r="C135" s="70"/>
      <c r="D135" s="70"/>
      <c r="E135" s="70"/>
      <c r="F135" s="77">
        <v>250000</v>
      </c>
      <c r="G135" s="77"/>
      <c r="H135" s="77"/>
    </row>
    <row r="136" spans="1:8" s="35" customFormat="1" x14ac:dyDescent="0.35">
      <c r="A136" s="133" t="s">
        <v>52</v>
      </c>
      <c r="B136" s="133"/>
      <c r="C136" s="133"/>
      <c r="D136" s="133"/>
      <c r="E136" s="133"/>
      <c r="F136" s="77">
        <f>F125*0.8</f>
        <v>4000</v>
      </c>
      <c r="G136" s="77"/>
      <c r="H136" s="77"/>
    </row>
    <row r="137" spans="1:8" s="36" customFormat="1" ht="15.75" hidden="1" customHeight="1" x14ac:dyDescent="0.35">
      <c r="A137" s="166" t="s">
        <v>77</v>
      </c>
      <c r="B137" s="166"/>
      <c r="C137" s="166"/>
      <c r="D137" s="166"/>
      <c r="E137" s="166"/>
      <c r="F137" s="166"/>
      <c r="G137" s="166"/>
      <c r="H137" s="166"/>
    </row>
    <row r="138" spans="1:8" s="36" customFormat="1" ht="15.75" hidden="1" customHeight="1" x14ac:dyDescent="0.35">
      <c r="A138" s="96" t="s">
        <v>53</v>
      </c>
      <c r="B138" s="96"/>
      <c r="C138" s="121" t="s">
        <v>80</v>
      </c>
      <c r="D138" s="121"/>
      <c r="E138" s="122" t="s">
        <v>54</v>
      </c>
      <c r="F138" s="122"/>
      <c r="G138" s="96" t="s">
        <v>55</v>
      </c>
      <c r="H138" s="96"/>
    </row>
    <row r="139" spans="1:8" s="36" customFormat="1" hidden="1" x14ac:dyDescent="0.35">
      <c r="A139" s="95"/>
      <c r="B139" s="95"/>
      <c r="C139" s="97"/>
      <c r="D139" s="97"/>
      <c r="E139" s="176"/>
      <c r="F139" s="176"/>
      <c r="G139" s="178"/>
      <c r="H139" s="178"/>
    </row>
    <row r="140" spans="1:8" s="36" customFormat="1" hidden="1" x14ac:dyDescent="0.35">
      <c r="A140" s="95"/>
      <c r="B140" s="95"/>
      <c r="C140" s="97"/>
      <c r="D140" s="97"/>
      <c r="E140" s="176"/>
      <c r="F140" s="176"/>
      <c r="G140" s="178"/>
      <c r="H140" s="178"/>
    </row>
    <row r="141" spans="1:8" s="36" customFormat="1" hidden="1" x14ac:dyDescent="0.35">
      <c r="A141" s="166" t="s">
        <v>152</v>
      </c>
      <c r="B141" s="166"/>
      <c r="C141" s="121"/>
      <c r="D141" s="121"/>
      <c r="E141" s="122"/>
      <c r="F141" s="122"/>
      <c r="G141" s="96"/>
      <c r="H141" s="96"/>
    </row>
    <row r="142" spans="1:8" s="36" customFormat="1" x14ac:dyDescent="0.35">
      <c r="A142" s="166" t="s">
        <v>71</v>
      </c>
      <c r="B142" s="166"/>
      <c r="C142" s="166"/>
      <c r="D142" s="166"/>
      <c r="E142" s="166"/>
      <c r="F142" s="166"/>
      <c r="G142" s="166"/>
      <c r="H142" s="166"/>
    </row>
    <row r="143" spans="1:8" s="36" customFormat="1" ht="15.75" customHeight="1" x14ac:dyDescent="0.35">
      <c r="A143" s="96" t="s">
        <v>53</v>
      </c>
      <c r="B143" s="96"/>
      <c r="C143" s="121" t="s">
        <v>80</v>
      </c>
      <c r="D143" s="121"/>
      <c r="E143" s="122" t="s">
        <v>54</v>
      </c>
      <c r="F143" s="122"/>
      <c r="G143" s="96" t="s">
        <v>55</v>
      </c>
      <c r="H143" s="96"/>
    </row>
    <row r="144" spans="1:8" s="36" customFormat="1" x14ac:dyDescent="0.35">
      <c r="A144" s="95" t="s">
        <v>194</v>
      </c>
      <c r="B144" s="95"/>
      <c r="C144" s="98">
        <f>COUNT(D162:D167)*7</f>
        <v>42</v>
      </c>
      <c r="D144" s="98"/>
      <c r="E144" s="99">
        <f>SUM(D162:D167)*7</f>
        <v>21120.797879999998</v>
      </c>
      <c r="F144" s="99"/>
      <c r="G144" s="99">
        <f>SUM(F162:F167)*7</f>
        <v>33215</v>
      </c>
      <c r="H144" s="99"/>
    </row>
    <row r="145" spans="1:14" s="36" customFormat="1" x14ac:dyDescent="0.35">
      <c r="A145" s="95" t="s">
        <v>199</v>
      </c>
      <c r="B145" s="95"/>
      <c r="C145" s="98">
        <f>COUNT(D171:D177)*7</f>
        <v>49</v>
      </c>
      <c r="D145" s="98"/>
      <c r="E145" s="99">
        <f>SUM(D171:D177)*7</f>
        <v>22840.992719999998</v>
      </c>
      <c r="F145" s="99"/>
      <c r="G145" s="99">
        <f>SUM(F171:F177)*7</f>
        <v>36015</v>
      </c>
      <c r="H145" s="99"/>
    </row>
    <row r="146" spans="1:14" s="36" customFormat="1" x14ac:dyDescent="0.35">
      <c r="A146" s="95" t="s">
        <v>200</v>
      </c>
      <c r="B146" s="95"/>
      <c r="C146" s="98">
        <f>COUNT(D181:D188)*7</f>
        <v>56</v>
      </c>
      <c r="D146" s="98"/>
      <c r="E146" s="99">
        <f>SUM(D181:D188)*7</f>
        <v>30534.211890000002</v>
      </c>
      <c r="F146" s="99"/>
      <c r="G146" s="99">
        <f>SUM(F181:F188)*7</f>
        <v>47837.602526000002</v>
      </c>
      <c r="H146" s="99"/>
    </row>
    <row r="147" spans="1:14" s="36" customFormat="1" x14ac:dyDescent="0.35">
      <c r="A147" s="166" t="s">
        <v>152</v>
      </c>
      <c r="B147" s="166"/>
      <c r="C147" s="120">
        <f>SUM(C144:C146)</f>
        <v>147</v>
      </c>
      <c r="D147" s="121"/>
      <c r="E147" s="177">
        <f>SUM(E144:E146)</f>
        <v>74496.002489999999</v>
      </c>
      <c r="F147" s="122"/>
      <c r="G147" s="96">
        <f>SUM(G144:G146)</f>
        <v>117067.602526</v>
      </c>
      <c r="H147" s="96"/>
    </row>
    <row r="148" spans="1:14" s="35" customFormat="1" x14ac:dyDescent="0.35">
      <c r="A148" s="148" t="s">
        <v>56</v>
      </c>
      <c r="B148" s="148"/>
      <c r="C148" s="148"/>
      <c r="D148" s="148"/>
      <c r="E148" s="148"/>
      <c r="F148" s="148"/>
      <c r="G148" s="148"/>
      <c r="H148" s="148"/>
    </row>
    <row r="149" spans="1:14" x14ac:dyDescent="0.35">
      <c r="A149" s="148" t="s">
        <v>57</v>
      </c>
      <c r="B149" s="148"/>
      <c r="C149" s="148"/>
      <c r="D149" s="148"/>
      <c r="E149" s="148"/>
      <c r="F149" s="148"/>
      <c r="G149" s="148"/>
      <c r="H149" s="148"/>
    </row>
    <row r="150" spans="1:14" ht="47.25" hidden="1" customHeight="1" x14ac:dyDescent="0.35">
      <c r="A150" s="78" t="s">
        <v>120</v>
      </c>
      <c r="B150" s="78" t="s">
        <v>119</v>
      </c>
      <c r="C150" s="78" t="s">
        <v>58</v>
      </c>
      <c r="D150" s="78" t="s">
        <v>59</v>
      </c>
      <c r="E150" s="108" t="s">
        <v>158</v>
      </c>
      <c r="F150" s="43" t="s">
        <v>151</v>
      </c>
      <c r="G150" s="110" t="s">
        <v>61</v>
      </c>
      <c r="H150" s="111"/>
    </row>
    <row r="151" spans="1:14" s="50" customFormat="1" hidden="1" x14ac:dyDescent="0.35">
      <c r="A151" s="79"/>
      <c r="B151" s="79"/>
      <c r="C151" s="79"/>
      <c r="D151" s="79"/>
      <c r="E151" s="109"/>
      <c r="F151" s="13">
        <v>0.6</v>
      </c>
      <c r="G151" s="112"/>
      <c r="H151" s="113"/>
    </row>
    <row r="152" spans="1:14" s="50" customFormat="1" hidden="1" x14ac:dyDescent="0.35">
      <c r="A152" s="105" t="s">
        <v>118</v>
      </c>
      <c r="B152" s="106"/>
      <c r="C152" s="106"/>
      <c r="D152" s="106"/>
      <c r="E152" s="106"/>
      <c r="F152" s="106"/>
      <c r="G152" s="106"/>
      <c r="H152" s="107"/>
      <c r="J152" s="37"/>
    </row>
    <row r="153" spans="1:14" s="50" customFormat="1" hidden="1" x14ac:dyDescent="0.35">
      <c r="A153" s="68">
        <v>1</v>
      </c>
      <c r="B153" s="69"/>
      <c r="C153" s="42"/>
      <c r="D153" s="42"/>
      <c r="E153" s="42">
        <v>0</v>
      </c>
      <c r="F153" s="42">
        <f>(D153+E153)*(($F$151)+1)</f>
        <v>0</v>
      </c>
      <c r="G153" s="68" t="str">
        <f>A152</f>
        <v>Ground Floor</v>
      </c>
      <c r="H153" s="69"/>
      <c r="I153" s="37"/>
      <c r="L153" s="94"/>
      <c r="M153" s="94"/>
      <c r="N153" s="37"/>
    </row>
    <row r="154" spans="1:14" s="50" customFormat="1" hidden="1" x14ac:dyDescent="0.35">
      <c r="A154" s="68">
        <f t="shared" ref="A154:A156" si="0">A153+1</f>
        <v>2</v>
      </c>
      <c r="B154" s="69"/>
      <c r="C154" s="42"/>
      <c r="D154" s="42"/>
      <c r="E154" s="42">
        <v>0</v>
      </c>
      <c r="F154" s="42">
        <f t="shared" ref="F154:F156" si="1">(D154+E154)*(($F$151)+1)</f>
        <v>0</v>
      </c>
      <c r="G154" s="68" t="str">
        <f t="shared" ref="G154:G156" si="2">G153</f>
        <v>Ground Floor</v>
      </c>
      <c r="H154" s="69"/>
      <c r="I154" s="37"/>
      <c r="L154" s="94"/>
      <c r="M154" s="94"/>
      <c r="N154" s="37"/>
    </row>
    <row r="155" spans="1:14" s="50" customFormat="1" hidden="1" x14ac:dyDescent="0.35">
      <c r="A155" s="68">
        <f t="shared" si="0"/>
        <v>3</v>
      </c>
      <c r="B155" s="69"/>
      <c r="C155" s="42"/>
      <c r="D155" s="42"/>
      <c r="E155" s="42">
        <v>0</v>
      </c>
      <c r="F155" s="42">
        <f t="shared" si="1"/>
        <v>0</v>
      </c>
      <c r="G155" s="68" t="str">
        <f t="shared" si="2"/>
        <v>Ground Floor</v>
      </c>
      <c r="H155" s="69"/>
      <c r="I155" s="37"/>
      <c r="L155" s="94"/>
      <c r="M155" s="94"/>
      <c r="N155" s="37"/>
    </row>
    <row r="156" spans="1:14" s="50" customFormat="1" hidden="1" x14ac:dyDescent="0.35">
      <c r="A156" s="68">
        <f t="shared" si="0"/>
        <v>4</v>
      </c>
      <c r="B156" s="69"/>
      <c r="C156" s="42"/>
      <c r="D156" s="42"/>
      <c r="E156" s="42">
        <v>0</v>
      </c>
      <c r="F156" s="42">
        <f t="shared" si="1"/>
        <v>0</v>
      </c>
      <c r="G156" s="68" t="str">
        <f t="shared" si="2"/>
        <v>Ground Floor</v>
      </c>
      <c r="H156" s="69"/>
      <c r="I156" s="37"/>
      <c r="L156" s="94"/>
      <c r="M156" s="94"/>
      <c r="N156" s="37"/>
    </row>
    <row r="157" spans="1:14" s="50" customFormat="1" hidden="1" x14ac:dyDescent="0.35">
      <c r="A157" s="68"/>
      <c r="B157" s="167"/>
      <c r="C157" s="167"/>
      <c r="D157" s="167"/>
      <c r="E157" s="167"/>
      <c r="F157" s="167"/>
      <c r="G157" s="167"/>
      <c r="H157" s="69"/>
      <c r="I157" s="37"/>
      <c r="N157" s="37"/>
    </row>
    <row r="158" spans="1:14" ht="47.25" customHeight="1" x14ac:dyDescent="0.35">
      <c r="A158" s="56" t="s">
        <v>121</v>
      </c>
      <c r="B158" s="56" t="s">
        <v>122</v>
      </c>
      <c r="C158" s="43" t="s">
        <v>58</v>
      </c>
      <c r="D158" s="43" t="s">
        <v>59</v>
      </c>
      <c r="E158" s="55" t="s">
        <v>60</v>
      </c>
      <c r="F158" s="43" t="s">
        <v>203</v>
      </c>
      <c r="G158" s="110" t="s">
        <v>61</v>
      </c>
      <c r="H158" s="111"/>
      <c r="I158" s="37"/>
    </row>
    <row r="159" spans="1:14" s="50" customFormat="1" x14ac:dyDescent="0.35">
      <c r="A159" s="105" t="s">
        <v>194</v>
      </c>
      <c r="B159" s="106"/>
      <c r="C159" s="106"/>
      <c r="D159" s="106"/>
      <c r="E159" s="106"/>
      <c r="F159" s="106"/>
      <c r="G159" s="106"/>
      <c r="H159" s="107"/>
      <c r="J159" s="37"/>
    </row>
    <row r="160" spans="1:14" s="50" customFormat="1" x14ac:dyDescent="0.35">
      <c r="A160" s="105" t="s">
        <v>195</v>
      </c>
      <c r="B160" s="106"/>
      <c r="C160" s="106"/>
      <c r="D160" s="106"/>
      <c r="E160" s="106"/>
      <c r="F160" s="106"/>
      <c r="G160" s="106"/>
      <c r="H160" s="107"/>
      <c r="J160" s="37"/>
    </row>
    <row r="161" spans="1:14" s="50" customFormat="1" x14ac:dyDescent="0.35">
      <c r="A161" s="105" t="s">
        <v>196</v>
      </c>
      <c r="B161" s="106"/>
      <c r="C161" s="106"/>
      <c r="D161" s="106"/>
      <c r="E161" s="106"/>
      <c r="F161" s="106"/>
      <c r="G161" s="106"/>
      <c r="H161" s="107"/>
      <c r="J161" s="37"/>
    </row>
    <row r="162" spans="1:14" s="50" customFormat="1" x14ac:dyDescent="0.35">
      <c r="A162" s="68">
        <v>1</v>
      </c>
      <c r="B162" s="69"/>
      <c r="C162" s="42" t="s">
        <v>197</v>
      </c>
      <c r="D162" s="57">
        <f>(45.99+0.75*(2.8+2.1+3.3+2.5))*10.764</f>
        <v>581.41746000000001</v>
      </c>
      <c r="E162" s="42">
        <v>0</v>
      </c>
      <c r="F162" s="42">
        <v>920</v>
      </c>
      <c r="G162" s="68" t="str">
        <f>A161</f>
        <v>1st to 7th Floor For Residential</v>
      </c>
      <c r="H162" s="69"/>
      <c r="I162" s="37">
        <f>2.8*4.5+2.1*2.15+3.3*2.5+3.15*2.5+1.5*2.25+1.2*2.1+2.1*1.2+0.9*2.1</f>
        <v>43.545000000000002</v>
      </c>
      <c r="J162" s="57">
        <v>10.763999999999999</v>
      </c>
      <c r="K162" s="50">
        <f>4600000/F162</f>
        <v>5000</v>
      </c>
      <c r="L162" s="94">
        <f>45000*F162</f>
        <v>41400000</v>
      </c>
      <c r="M162" s="94"/>
      <c r="N162" s="37">
        <f>4300000/F162</f>
        <v>4673.913043478261</v>
      </c>
    </row>
    <row r="163" spans="1:14" s="50" customFormat="1" x14ac:dyDescent="0.35">
      <c r="A163" s="68">
        <f t="shared" ref="A163:A167" si="3">A162+1</f>
        <v>2</v>
      </c>
      <c r="B163" s="69"/>
      <c r="C163" s="42" t="s">
        <v>197</v>
      </c>
      <c r="D163" s="57">
        <f>(45.63+0.75*(1.8+2.7+2.1+2.7))*10.764</f>
        <v>566.24022000000002</v>
      </c>
      <c r="E163" s="42">
        <v>0</v>
      </c>
      <c r="F163" s="42">
        <v>890</v>
      </c>
      <c r="G163" s="68" t="str">
        <f t="shared" ref="G163:G167" si="4">G162</f>
        <v>1st to 7th Floor For Residential</v>
      </c>
      <c r="H163" s="69"/>
      <c r="I163" s="37"/>
      <c r="J163" s="61">
        <f t="shared" ref="J163:J166" si="5">F163/D163</f>
        <v>1.5717710762403985</v>
      </c>
      <c r="L163" s="94">
        <f t="shared" ref="L163:L166" si="6">45000*F163</f>
        <v>40050000</v>
      </c>
      <c r="M163" s="94"/>
      <c r="N163" s="37"/>
    </row>
    <row r="164" spans="1:14" s="50" customFormat="1" x14ac:dyDescent="0.35">
      <c r="A164" s="68">
        <f t="shared" si="3"/>
        <v>3</v>
      </c>
      <c r="B164" s="69"/>
      <c r="C164" s="42" t="s">
        <v>198</v>
      </c>
      <c r="D164" s="57">
        <f>(34.31+0.75*(2.7+2.2+2.7))*10.764</f>
        <v>430.66764000000001</v>
      </c>
      <c r="E164" s="42">
        <v>0</v>
      </c>
      <c r="F164" s="42">
        <v>675</v>
      </c>
      <c r="G164" s="68" t="str">
        <f t="shared" si="4"/>
        <v>1st to 7th Floor For Residential</v>
      </c>
      <c r="H164" s="69"/>
      <c r="I164" s="37">
        <f>4000000/F164</f>
        <v>5925.9259259259261</v>
      </c>
      <c r="J164" s="61">
        <f t="shared" si="5"/>
        <v>1.567333919028604</v>
      </c>
      <c r="L164" s="94">
        <f t="shared" si="6"/>
        <v>30375000</v>
      </c>
      <c r="M164" s="94"/>
      <c r="N164" s="37"/>
    </row>
    <row r="165" spans="1:14" s="50" customFormat="1" x14ac:dyDescent="0.35">
      <c r="A165" s="68">
        <f t="shared" si="3"/>
        <v>4</v>
      </c>
      <c r="B165" s="69"/>
      <c r="C165" s="42" t="s">
        <v>198</v>
      </c>
      <c r="D165" s="57">
        <f>(35.54+0.75*(1.8+2.25+2.7))*10.764</f>
        <v>437.04530999999997</v>
      </c>
      <c r="E165" s="42">
        <v>0</v>
      </c>
      <c r="F165" s="42">
        <v>680</v>
      </c>
      <c r="G165" s="68" t="str">
        <f t="shared" si="4"/>
        <v>1st to 7th Floor For Residential</v>
      </c>
      <c r="H165" s="69"/>
      <c r="I165" s="37"/>
      <c r="J165" s="50">
        <f>F165/D165</f>
        <v>1.5559027506781848</v>
      </c>
      <c r="L165" s="94">
        <f>45000*F165</f>
        <v>30600000</v>
      </c>
      <c r="M165" s="94"/>
      <c r="N165" s="37"/>
    </row>
    <row r="166" spans="1:14" s="50" customFormat="1" x14ac:dyDescent="0.35">
      <c r="A166" s="68">
        <f t="shared" si="3"/>
        <v>5</v>
      </c>
      <c r="B166" s="69"/>
      <c r="C166" s="42" t="s">
        <v>198</v>
      </c>
      <c r="D166" s="57">
        <f>(35.54+0.75*(2.7+2.1+1.8))*10.764</f>
        <v>435.83436</v>
      </c>
      <c r="E166" s="42">
        <v>0</v>
      </c>
      <c r="F166" s="42">
        <v>680</v>
      </c>
      <c r="G166" s="68" t="str">
        <f t="shared" si="4"/>
        <v>1st to 7th Floor For Residential</v>
      </c>
      <c r="H166" s="69"/>
      <c r="I166" s="37"/>
      <c r="J166" s="61">
        <f t="shared" si="5"/>
        <v>1.5602257701756237</v>
      </c>
      <c r="L166" s="94">
        <f t="shared" si="6"/>
        <v>30600000</v>
      </c>
      <c r="M166" s="94"/>
      <c r="N166" s="37"/>
    </row>
    <row r="167" spans="1:14" s="50" customFormat="1" x14ac:dyDescent="0.35">
      <c r="A167" s="68">
        <f t="shared" si="3"/>
        <v>6</v>
      </c>
      <c r="B167" s="69"/>
      <c r="C167" s="42" t="s">
        <v>197</v>
      </c>
      <c r="D167" s="57">
        <f>(44.75+0.75*(2.8+2.7+2.25+2.7))*10.764</f>
        <v>566.05184999999994</v>
      </c>
      <c r="E167" s="42">
        <v>0</v>
      </c>
      <c r="F167" s="42">
        <v>900</v>
      </c>
      <c r="G167" s="68" t="str">
        <f t="shared" si="4"/>
        <v>1st to 7th Floor For Residential</v>
      </c>
      <c r="H167" s="69"/>
      <c r="I167" s="37">
        <f>5000000/F167</f>
        <v>5555.5555555555557</v>
      </c>
      <c r="L167" s="94"/>
      <c r="M167" s="94"/>
      <c r="N167" s="37"/>
    </row>
    <row r="168" spans="1:14" s="50" customFormat="1" x14ac:dyDescent="0.35">
      <c r="A168" s="105" t="s">
        <v>199</v>
      </c>
      <c r="B168" s="106"/>
      <c r="C168" s="106"/>
      <c r="D168" s="106"/>
      <c r="E168" s="106"/>
      <c r="F168" s="106"/>
      <c r="G168" s="106"/>
      <c r="H168" s="107"/>
      <c r="J168" s="37"/>
    </row>
    <row r="169" spans="1:14" s="50" customFormat="1" x14ac:dyDescent="0.35">
      <c r="A169" s="105" t="s">
        <v>195</v>
      </c>
      <c r="B169" s="106"/>
      <c r="C169" s="106"/>
      <c r="D169" s="106"/>
      <c r="E169" s="106"/>
      <c r="F169" s="106"/>
      <c r="G169" s="106"/>
      <c r="H169" s="107"/>
      <c r="J169" s="37"/>
    </row>
    <row r="170" spans="1:14" s="50" customFormat="1" x14ac:dyDescent="0.35">
      <c r="A170" s="105" t="s">
        <v>196</v>
      </c>
      <c r="B170" s="106"/>
      <c r="C170" s="106"/>
      <c r="D170" s="106"/>
      <c r="E170" s="106"/>
      <c r="F170" s="106"/>
      <c r="G170" s="106"/>
      <c r="H170" s="107"/>
      <c r="J170" s="37"/>
    </row>
    <row r="171" spans="1:14" s="50" customFormat="1" x14ac:dyDescent="0.35">
      <c r="A171" s="68">
        <v>1</v>
      </c>
      <c r="B171" s="69"/>
      <c r="C171" s="42" t="s">
        <v>198</v>
      </c>
      <c r="D171" s="57">
        <f>(34.88+0.75*(2.7+2.4+2.7))*10.764</f>
        <v>438.41772000000003</v>
      </c>
      <c r="E171" s="42">
        <v>0</v>
      </c>
      <c r="F171" s="42">
        <v>690</v>
      </c>
      <c r="G171" s="68" t="str">
        <f>A170</f>
        <v>1st to 7th Floor For Residential</v>
      </c>
      <c r="H171" s="69"/>
      <c r="I171" s="37"/>
      <c r="J171" s="57">
        <v>10.763999999999999</v>
      </c>
      <c r="L171" s="94"/>
      <c r="M171" s="94"/>
      <c r="N171" s="37"/>
    </row>
    <row r="172" spans="1:14" s="50" customFormat="1" x14ac:dyDescent="0.35">
      <c r="A172" s="68">
        <f t="shared" ref="A172:A177" si="7">A171+1</f>
        <v>2</v>
      </c>
      <c r="B172" s="69"/>
      <c r="C172" s="42" t="s">
        <v>198</v>
      </c>
      <c r="D172" s="57">
        <f>(35.54+0.75*(1.8+2.1+2.7))*10.764</f>
        <v>435.83436</v>
      </c>
      <c r="E172" s="42">
        <v>0</v>
      </c>
      <c r="F172" s="42">
        <v>680</v>
      </c>
      <c r="G172" s="68" t="str">
        <f t="shared" ref="G172:G177" si="8">G171</f>
        <v>1st to 7th Floor For Residential</v>
      </c>
      <c r="H172" s="69"/>
      <c r="I172" s="37"/>
      <c r="J172" s="50">
        <f>F172/D172</f>
        <v>1.5602257701756237</v>
      </c>
      <c r="L172" s="94"/>
      <c r="M172" s="94"/>
      <c r="N172" s="37"/>
    </row>
    <row r="173" spans="1:14" s="50" customFormat="1" x14ac:dyDescent="0.35">
      <c r="A173" s="68">
        <f t="shared" si="7"/>
        <v>3</v>
      </c>
      <c r="B173" s="69"/>
      <c r="C173" s="42" t="s">
        <v>198</v>
      </c>
      <c r="D173" s="57">
        <f>(35.35+0.75*(2.7+2.1+2.7))*10.764</f>
        <v>441.05489999999998</v>
      </c>
      <c r="E173" s="42">
        <v>0</v>
      </c>
      <c r="F173" s="42">
        <v>690</v>
      </c>
      <c r="G173" s="68" t="str">
        <f t="shared" si="8"/>
        <v>1st to 7th Floor For Residential</v>
      </c>
      <c r="H173" s="69"/>
      <c r="I173" s="37"/>
      <c r="J173" s="61">
        <f t="shared" ref="J173:J177" si="9">F173/D173</f>
        <v>1.5644310946324369</v>
      </c>
      <c r="L173" s="94"/>
      <c r="M173" s="94"/>
      <c r="N173" s="37"/>
    </row>
    <row r="174" spans="1:14" s="50" customFormat="1" x14ac:dyDescent="0.35">
      <c r="A174" s="68">
        <f t="shared" si="7"/>
        <v>4</v>
      </c>
      <c r="B174" s="69"/>
      <c r="C174" s="42" t="s">
        <v>198</v>
      </c>
      <c r="D174" s="57">
        <f>(36.77+0.75*(1.8+2.1+2.7))*10.764</f>
        <v>449.07408000000004</v>
      </c>
      <c r="E174" s="42">
        <v>0</v>
      </c>
      <c r="F174" s="42">
        <v>715</v>
      </c>
      <c r="G174" s="68" t="str">
        <f t="shared" si="8"/>
        <v>1st to 7th Floor For Residential</v>
      </c>
      <c r="H174" s="69"/>
      <c r="I174" s="37"/>
      <c r="J174" s="61">
        <f t="shared" si="9"/>
        <v>1.5921649274435967</v>
      </c>
      <c r="L174" s="94"/>
      <c r="M174" s="94"/>
      <c r="N174" s="37"/>
    </row>
    <row r="175" spans="1:14" s="50" customFormat="1" x14ac:dyDescent="0.35">
      <c r="A175" s="68">
        <f t="shared" si="7"/>
        <v>5</v>
      </c>
      <c r="B175" s="69"/>
      <c r="C175" s="42" t="s">
        <v>198</v>
      </c>
      <c r="D175" s="57">
        <f>(36.77+0.75*(1.8+2.1+2.7))*10.764</f>
        <v>449.07408000000004</v>
      </c>
      <c r="E175" s="42">
        <v>0</v>
      </c>
      <c r="F175" s="42">
        <v>715</v>
      </c>
      <c r="G175" s="68" t="str">
        <f t="shared" si="8"/>
        <v>1st to 7th Floor For Residential</v>
      </c>
      <c r="H175" s="69"/>
      <c r="I175" s="37">
        <f>F175*4600</f>
        <v>3289000</v>
      </c>
      <c r="J175" s="61">
        <f t="shared" si="9"/>
        <v>1.5921649274435967</v>
      </c>
      <c r="L175" s="94"/>
      <c r="M175" s="94"/>
      <c r="N175" s="37"/>
    </row>
    <row r="176" spans="1:14" s="50" customFormat="1" x14ac:dyDescent="0.35">
      <c r="A176" s="68">
        <f t="shared" si="7"/>
        <v>6</v>
      </c>
      <c r="B176" s="69"/>
      <c r="C176" s="42" t="s">
        <v>197</v>
      </c>
      <c r="D176" s="57">
        <f>(50.04+0.75*(1.8+2.1+2.7+2.7))*10.764</f>
        <v>613.70945999999992</v>
      </c>
      <c r="E176" s="42">
        <v>0</v>
      </c>
      <c r="F176" s="42">
        <v>975</v>
      </c>
      <c r="G176" s="68" t="str">
        <f t="shared" si="8"/>
        <v>1st to 7th Floor For Residential</v>
      </c>
      <c r="H176" s="69"/>
      <c r="I176" s="37"/>
      <c r="J176" s="61">
        <f t="shared" si="9"/>
        <v>1.5886996429874165</v>
      </c>
      <c r="L176" s="94"/>
      <c r="M176" s="94"/>
      <c r="N176" s="37"/>
    </row>
    <row r="177" spans="1:14" s="50" customFormat="1" x14ac:dyDescent="0.35">
      <c r="A177" s="68">
        <f t="shared" si="7"/>
        <v>7</v>
      </c>
      <c r="B177" s="69"/>
      <c r="C177" s="42" t="s">
        <v>198</v>
      </c>
      <c r="D177" s="57">
        <f>(35.54+0.75*(1.8+2.1+2.7))*10.764</f>
        <v>435.83436</v>
      </c>
      <c r="E177" s="42">
        <v>0</v>
      </c>
      <c r="F177" s="42">
        <v>680</v>
      </c>
      <c r="G177" s="68" t="str">
        <f t="shared" si="8"/>
        <v>1st to 7th Floor For Residential</v>
      </c>
      <c r="H177" s="69"/>
      <c r="I177" s="37"/>
      <c r="J177" s="61">
        <f t="shared" si="9"/>
        <v>1.5602257701756237</v>
      </c>
      <c r="L177" s="94"/>
      <c r="M177" s="94"/>
      <c r="N177" s="37"/>
    </row>
    <row r="178" spans="1:14" s="50" customFormat="1" x14ac:dyDescent="0.35">
      <c r="A178" s="105" t="s">
        <v>200</v>
      </c>
      <c r="B178" s="106"/>
      <c r="C178" s="106"/>
      <c r="D178" s="106"/>
      <c r="E178" s="106"/>
      <c r="F178" s="106"/>
      <c r="G178" s="106"/>
      <c r="H178" s="107"/>
      <c r="J178" s="37"/>
    </row>
    <row r="179" spans="1:14" s="50" customFormat="1" x14ac:dyDescent="0.35">
      <c r="A179" s="105" t="s">
        <v>201</v>
      </c>
      <c r="B179" s="106"/>
      <c r="C179" s="106"/>
      <c r="D179" s="106"/>
      <c r="E179" s="106"/>
      <c r="F179" s="106"/>
      <c r="G179" s="106"/>
      <c r="H179" s="107"/>
      <c r="J179" s="37"/>
    </row>
    <row r="180" spans="1:14" s="50" customFormat="1" x14ac:dyDescent="0.35">
      <c r="A180" s="105" t="s">
        <v>196</v>
      </c>
      <c r="B180" s="106"/>
      <c r="C180" s="106"/>
      <c r="D180" s="106"/>
      <c r="E180" s="106"/>
      <c r="F180" s="106"/>
      <c r="G180" s="106"/>
      <c r="H180" s="107"/>
      <c r="J180" s="37"/>
    </row>
    <row r="181" spans="1:14" s="50" customFormat="1" x14ac:dyDescent="0.35">
      <c r="A181" s="68">
        <v>1</v>
      </c>
      <c r="B181" s="69"/>
      <c r="C181" s="42" t="s">
        <v>197</v>
      </c>
      <c r="D181" s="57">
        <f>(43.92+0.75*(1.8+2.1+2.7))*10.764</f>
        <v>526.03668000000005</v>
      </c>
      <c r="E181" s="42">
        <v>0</v>
      </c>
      <c r="F181" s="42">
        <v>860</v>
      </c>
      <c r="G181" s="68" t="str">
        <f>A180</f>
        <v>1st to 7th Floor For Residential</v>
      </c>
      <c r="H181" s="69"/>
      <c r="I181" s="60">
        <f>5000*F181</f>
        <v>4300000</v>
      </c>
      <c r="J181" s="57">
        <v>10.763999999999999</v>
      </c>
      <c r="L181" s="94">
        <f>F181/D181</f>
        <v>1.6348669830400417</v>
      </c>
      <c r="M181" s="94"/>
      <c r="N181" s="37"/>
    </row>
    <row r="182" spans="1:14" s="50" customFormat="1" x14ac:dyDescent="0.35">
      <c r="A182" s="68">
        <f t="shared" ref="A182:A187" si="10">A181+1</f>
        <v>2</v>
      </c>
      <c r="B182" s="69"/>
      <c r="C182" s="42" t="s">
        <v>198</v>
      </c>
      <c r="D182" s="57">
        <f>(37.09+0.75*(1.8+2.1+3.15+2.55))*10.764</f>
        <v>476.73756000000003</v>
      </c>
      <c r="E182" s="42">
        <v>0</v>
      </c>
      <c r="F182" s="42">
        <f>D182*1.55</f>
        <v>738.94321800000012</v>
      </c>
      <c r="G182" s="68" t="str">
        <f t="shared" ref="G182:G186" si="11">G181</f>
        <v>1st to 7th Floor For Residential</v>
      </c>
      <c r="H182" s="69"/>
      <c r="I182" s="60">
        <f t="shared" ref="I182:I186" si="12">5000*F182</f>
        <v>3694716.0900000008</v>
      </c>
      <c r="K182" s="50">
        <f>4600*F182</f>
        <v>3399138.8028000006</v>
      </c>
      <c r="L182" s="94">
        <f t="shared" ref="L182:L188" si="13">F182/D182</f>
        <v>1.55</v>
      </c>
      <c r="M182" s="94"/>
      <c r="N182" s="37">
        <f>F182*4600</f>
        <v>3399138.8028000006</v>
      </c>
    </row>
    <row r="183" spans="1:14" s="50" customFormat="1" x14ac:dyDescent="0.35">
      <c r="A183" s="68">
        <f t="shared" si="10"/>
        <v>3</v>
      </c>
      <c r="B183" s="69"/>
      <c r="C183" s="42" t="s">
        <v>198</v>
      </c>
      <c r="D183" s="57">
        <f>(32.83+0.75*(2.7+2.4+2.7))*10.764</f>
        <v>416.35151999999999</v>
      </c>
      <c r="E183" s="42">
        <v>0</v>
      </c>
      <c r="F183" s="42">
        <v>655</v>
      </c>
      <c r="G183" s="68" t="str">
        <f t="shared" si="11"/>
        <v>1st to 7th Floor For Residential</v>
      </c>
      <c r="H183" s="69"/>
      <c r="I183" s="60">
        <f t="shared" si="12"/>
        <v>3275000</v>
      </c>
      <c r="J183" s="50">
        <f>5000*F187</f>
        <v>4450000</v>
      </c>
      <c r="L183" s="94">
        <f t="shared" si="13"/>
        <v>1.5731898853161386</v>
      </c>
      <c r="M183" s="94"/>
      <c r="N183" s="37"/>
    </row>
    <row r="184" spans="1:14" s="50" customFormat="1" x14ac:dyDescent="0.35">
      <c r="A184" s="68">
        <f t="shared" si="10"/>
        <v>4</v>
      </c>
      <c r="B184" s="69"/>
      <c r="C184" s="42" t="s">
        <v>197</v>
      </c>
      <c r="D184" s="57">
        <f>(46.25+0.75*(1.8+2.1+2.7+2.5))*10.764</f>
        <v>571.29930000000002</v>
      </c>
      <c r="E184" s="42">
        <v>0</v>
      </c>
      <c r="F184" s="42">
        <v>890</v>
      </c>
      <c r="G184" s="68" t="str">
        <f t="shared" si="11"/>
        <v>1st to 7th Floor For Residential</v>
      </c>
      <c r="H184" s="69"/>
      <c r="I184" s="60">
        <f t="shared" si="12"/>
        <v>4450000</v>
      </c>
      <c r="L184" s="94">
        <f t="shared" si="13"/>
        <v>1.5578524251648829</v>
      </c>
      <c r="M184" s="94"/>
      <c r="N184" s="37"/>
    </row>
    <row r="185" spans="1:14" s="50" customFormat="1" x14ac:dyDescent="0.35">
      <c r="A185" s="68">
        <f t="shared" si="10"/>
        <v>5</v>
      </c>
      <c r="B185" s="69"/>
      <c r="C185" s="42" t="s">
        <v>198</v>
      </c>
      <c r="D185" s="57">
        <f>(38.53+0.75*(1.8+2.1+2.7))*10.764</f>
        <v>468.01872000000003</v>
      </c>
      <c r="E185" s="42">
        <v>0</v>
      </c>
      <c r="F185" s="42">
        <v>735</v>
      </c>
      <c r="G185" s="68" t="str">
        <f t="shared" si="11"/>
        <v>1st to 7th Floor For Residential</v>
      </c>
      <c r="H185" s="69"/>
      <c r="I185" s="60">
        <f t="shared" si="12"/>
        <v>3675000</v>
      </c>
      <c r="K185" s="50">
        <f>32000000/F185</f>
        <v>43537.414965986398</v>
      </c>
      <c r="L185" s="94">
        <f t="shared" si="13"/>
        <v>1.5704500025127199</v>
      </c>
      <c r="M185" s="94"/>
      <c r="N185" s="37"/>
    </row>
    <row r="186" spans="1:14" s="50" customFormat="1" x14ac:dyDescent="0.35">
      <c r="A186" s="68">
        <f t="shared" si="10"/>
        <v>6</v>
      </c>
      <c r="B186" s="69"/>
      <c r="C186" s="42" t="s">
        <v>198</v>
      </c>
      <c r="D186" s="57">
        <f>(38.53+0.75*(1.8+2.1+2.7))*10.764</f>
        <v>468.01872000000003</v>
      </c>
      <c r="E186" s="42">
        <v>0</v>
      </c>
      <c r="F186" s="42">
        <v>735</v>
      </c>
      <c r="G186" s="68" t="str">
        <f t="shared" si="11"/>
        <v>1st to 7th Floor For Residential</v>
      </c>
      <c r="H186" s="69"/>
      <c r="I186" s="60">
        <f t="shared" si="12"/>
        <v>3675000</v>
      </c>
      <c r="L186" s="94">
        <f t="shared" si="13"/>
        <v>1.5704500025127199</v>
      </c>
      <c r="M186" s="94"/>
      <c r="N186" s="37"/>
    </row>
    <row r="187" spans="1:14" s="50" customFormat="1" x14ac:dyDescent="0.35">
      <c r="A187" s="68">
        <f t="shared" si="10"/>
        <v>7</v>
      </c>
      <c r="B187" s="69"/>
      <c r="C187" s="42" t="s">
        <v>197</v>
      </c>
      <c r="D187" s="57">
        <f>(48.74+0.75*(2.1+2.15+2.7))*10.764</f>
        <v>580.74470999999994</v>
      </c>
      <c r="E187" s="42">
        <v>0</v>
      </c>
      <c r="F187" s="42">
        <v>890</v>
      </c>
      <c r="G187" s="68" t="str">
        <f>G185</f>
        <v>1st to 7th Floor For Residential</v>
      </c>
      <c r="H187" s="69"/>
      <c r="I187" s="60"/>
      <c r="K187" s="50">
        <f>4600*F187</f>
        <v>4094000</v>
      </c>
      <c r="L187" s="94">
        <f t="shared" si="13"/>
        <v>1.5325150357374759</v>
      </c>
      <c r="M187" s="94"/>
      <c r="N187" s="37"/>
    </row>
    <row r="188" spans="1:14" s="50" customFormat="1" x14ac:dyDescent="0.35">
      <c r="A188" s="68">
        <v>8</v>
      </c>
      <c r="B188" s="69"/>
      <c r="C188" s="42" t="s">
        <v>202</v>
      </c>
      <c r="D188" s="57">
        <f>(70.94+0.75*(2.1+3+3.5+2.7))*10.764</f>
        <v>854.82305999999983</v>
      </c>
      <c r="E188" s="42">
        <v>0</v>
      </c>
      <c r="F188" s="42">
        <v>1330</v>
      </c>
      <c r="G188" s="68" t="str">
        <f>G186</f>
        <v>1st to 7th Floor For Residential</v>
      </c>
      <c r="H188" s="69"/>
      <c r="I188" s="60">
        <f>5500*F188</f>
        <v>7315000</v>
      </c>
      <c r="L188" s="94">
        <f t="shared" si="13"/>
        <v>1.5558775403181102</v>
      </c>
      <c r="M188" s="94"/>
      <c r="N188" s="37"/>
    </row>
    <row r="189" spans="1:14" s="36" customFormat="1" x14ac:dyDescent="0.35">
      <c r="A189" s="175" t="s">
        <v>69</v>
      </c>
      <c r="B189" s="175"/>
      <c r="C189" s="175"/>
      <c r="D189" s="175"/>
      <c r="E189" s="175"/>
      <c r="F189" s="175"/>
      <c r="G189" s="175"/>
      <c r="H189" s="175"/>
    </row>
    <row r="190" spans="1:14" s="36" customFormat="1" ht="48.75" customHeight="1" x14ac:dyDescent="0.35">
      <c r="A190" s="47" t="s">
        <v>155</v>
      </c>
      <c r="B190" s="172" t="s">
        <v>227</v>
      </c>
      <c r="C190" s="173"/>
      <c r="D190" s="173"/>
      <c r="E190" s="173"/>
      <c r="F190" s="173"/>
      <c r="G190" s="173"/>
      <c r="H190" s="174"/>
    </row>
    <row r="191" spans="1:14" s="36" customFormat="1" x14ac:dyDescent="0.35">
      <c r="A191" s="47" t="s">
        <v>155</v>
      </c>
      <c r="B191" s="172" t="str">
        <f>(IF(F158="Saleable area Loading :","We have considered Saleable area of Flats as per our Calculation.","We considered Saleable area of Flat as per Builder area Sheet."))</f>
        <v>We considered Saleable area of Flat as per Builder area Sheet.</v>
      </c>
      <c r="C191" s="173"/>
      <c r="D191" s="173"/>
      <c r="E191" s="173"/>
      <c r="F191" s="173"/>
      <c r="G191" s="173"/>
      <c r="H191" s="174"/>
    </row>
    <row r="192" spans="1:14" s="36" customFormat="1" hidden="1" x14ac:dyDescent="0.35">
      <c r="A192" s="47" t="s">
        <v>155</v>
      </c>
      <c r="B192" s="172" t="str">
        <f>(IF(F150="Saleable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2" s="173"/>
      <c r="D192" s="173"/>
      <c r="E192" s="173"/>
      <c r="F192" s="173"/>
      <c r="G192" s="173"/>
      <c r="H192" s="174"/>
    </row>
    <row r="193" spans="1:8" s="36" customFormat="1" x14ac:dyDescent="0.35">
      <c r="A193" s="47" t="s">
        <v>155</v>
      </c>
      <c r="B193" s="169" t="s">
        <v>124</v>
      </c>
      <c r="C193" s="170"/>
      <c r="D193" s="170"/>
      <c r="E193" s="170"/>
      <c r="F193" s="170"/>
      <c r="G193" s="170"/>
      <c r="H193" s="171"/>
    </row>
    <row r="194" spans="1:8" s="36" customFormat="1" x14ac:dyDescent="0.35">
      <c r="A194" s="47" t="s">
        <v>155</v>
      </c>
      <c r="B194" s="169" t="s">
        <v>207</v>
      </c>
      <c r="C194" s="170"/>
      <c r="D194" s="170"/>
      <c r="E194" s="170"/>
      <c r="F194" s="170"/>
      <c r="G194" s="170"/>
      <c r="H194" s="171"/>
    </row>
    <row r="195" spans="1:8" s="36" customFormat="1" x14ac:dyDescent="0.35">
      <c r="A195" s="47" t="s">
        <v>155</v>
      </c>
      <c r="B195" s="169" t="s">
        <v>154</v>
      </c>
      <c r="C195" s="170"/>
      <c r="D195" s="170"/>
      <c r="E195" s="170"/>
      <c r="F195" s="170"/>
      <c r="G195" s="170"/>
      <c r="H195" s="171"/>
    </row>
    <row r="196" spans="1:8" s="36" customFormat="1" x14ac:dyDescent="0.35">
      <c r="A196" s="47" t="s">
        <v>155</v>
      </c>
      <c r="B196" s="169" t="s">
        <v>125</v>
      </c>
      <c r="C196" s="170"/>
      <c r="D196" s="170"/>
      <c r="E196" s="170"/>
      <c r="F196" s="170"/>
      <c r="G196" s="170"/>
      <c r="H196" s="171"/>
    </row>
    <row r="197" spans="1:8" s="36" customFormat="1" ht="34.5" customHeight="1" x14ac:dyDescent="0.35">
      <c r="A197" s="47" t="s">
        <v>155</v>
      </c>
      <c r="B197" s="169" t="s">
        <v>156</v>
      </c>
      <c r="C197" s="170"/>
      <c r="D197" s="170"/>
      <c r="E197" s="170"/>
      <c r="F197" s="170"/>
      <c r="G197" s="170"/>
      <c r="H197" s="171"/>
    </row>
    <row r="198" spans="1:8" s="36" customFormat="1" x14ac:dyDescent="0.35">
      <c r="A198" s="47" t="s">
        <v>155</v>
      </c>
      <c r="B198" s="169" t="s">
        <v>126</v>
      </c>
      <c r="C198" s="170"/>
      <c r="D198" s="170"/>
      <c r="E198" s="170"/>
      <c r="F198" s="170"/>
      <c r="G198" s="170"/>
      <c r="H198" s="171"/>
    </row>
    <row r="199" spans="1:8" s="36" customFormat="1" x14ac:dyDescent="0.35">
      <c r="A199" s="47" t="s">
        <v>155</v>
      </c>
      <c r="B199" s="169" t="s">
        <v>206</v>
      </c>
      <c r="C199" s="170"/>
      <c r="D199" s="170"/>
      <c r="E199" s="170"/>
      <c r="F199" s="170"/>
      <c r="G199" s="170"/>
      <c r="H199" s="171"/>
    </row>
    <row r="200" spans="1:8" x14ac:dyDescent="0.35">
      <c r="A200" s="168" t="s">
        <v>62</v>
      </c>
      <c r="B200" s="168"/>
      <c r="C200" s="168"/>
      <c r="D200" s="168"/>
      <c r="E200" s="168"/>
      <c r="F200" s="168"/>
      <c r="G200" s="168"/>
      <c r="H200" s="168"/>
    </row>
    <row r="201" spans="1:8" x14ac:dyDescent="0.35">
      <c r="A201" s="70" t="s">
        <v>63</v>
      </c>
      <c r="B201" s="70"/>
      <c r="C201" s="70"/>
      <c r="D201" s="70"/>
      <c r="E201" s="70"/>
      <c r="F201" s="70"/>
      <c r="G201" s="70"/>
      <c r="H201" s="70"/>
    </row>
    <row r="202" spans="1:8" ht="15.75" customHeight="1" x14ac:dyDescent="0.35">
      <c r="A202" s="190" t="s">
        <v>64</v>
      </c>
      <c r="B202" s="190"/>
      <c r="C202" s="190"/>
      <c r="D202" s="190"/>
      <c r="E202" s="190"/>
      <c r="F202" s="190"/>
      <c r="G202" s="190"/>
      <c r="H202" s="190"/>
    </row>
    <row r="203" spans="1:8" x14ac:dyDescent="0.35">
      <c r="A203" s="70" t="s">
        <v>65</v>
      </c>
      <c r="B203" s="70"/>
      <c r="C203" s="70"/>
      <c r="D203" s="70"/>
      <c r="E203" s="70"/>
      <c r="F203" s="70"/>
      <c r="G203" s="70"/>
      <c r="H203" s="70"/>
    </row>
    <row r="204" spans="1:8" x14ac:dyDescent="0.35">
      <c r="A204" s="70" t="s">
        <v>66</v>
      </c>
      <c r="B204" s="70"/>
      <c r="C204" s="70"/>
      <c r="D204" s="70"/>
      <c r="E204" s="70"/>
      <c r="F204" s="70"/>
      <c r="G204" s="70"/>
      <c r="H204" s="70"/>
    </row>
    <row r="205" spans="1:8" x14ac:dyDescent="0.35">
      <c r="A205" s="70" t="s">
        <v>127</v>
      </c>
      <c r="B205" s="70"/>
      <c r="C205" s="70"/>
      <c r="D205" s="70"/>
      <c r="E205" s="70"/>
      <c r="F205" s="70"/>
      <c r="G205" s="70"/>
      <c r="H205" s="70"/>
    </row>
    <row r="206" spans="1:8" x14ac:dyDescent="0.35">
      <c r="A206" s="153" t="s">
        <v>128</v>
      </c>
      <c r="B206" s="153"/>
      <c r="C206" s="153"/>
      <c r="D206" s="153"/>
      <c r="E206" s="153"/>
      <c r="F206" s="153"/>
      <c r="G206" s="153"/>
      <c r="H206" s="153"/>
    </row>
    <row r="207" spans="1:8" x14ac:dyDescent="0.35">
      <c r="A207" s="165" t="s">
        <v>79</v>
      </c>
      <c r="B207" s="165"/>
      <c r="C207" s="165" t="s">
        <v>223</v>
      </c>
      <c r="D207" s="165"/>
      <c r="E207" s="165" t="s">
        <v>105</v>
      </c>
      <c r="F207" s="165"/>
      <c r="G207" s="165" t="s">
        <v>226</v>
      </c>
      <c r="H207" s="165"/>
    </row>
    <row r="208" spans="1:8" x14ac:dyDescent="0.35">
      <c r="A208" s="164" t="s">
        <v>81</v>
      </c>
      <c r="B208" s="164"/>
      <c r="C208" s="164"/>
      <c r="D208" s="164"/>
      <c r="E208" s="164"/>
      <c r="F208" s="164"/>
      <c r="G208" s="164"/>
      <c r="H208" s="164"/>
    </row>
    <row r="209" spans="1:8" x14ac:dyDescent="0.35">
      <c r="A209" s="164"/>
      <c r="B209" s="164"/>
      <c r="C209" s="164"/>
      <c r="D209" s="164"/>
      <c r="E209" s="164"/>
      <c r="F209" s="164"/>
      <c r="G209" s="164"/>
      <c r="H209" s="164"/>
    </row>
    <row r="210" spans="1:8" x14ac:dyDescent="0.35">
      <c r="A210" s="164"/>
      <c r="B210" s="164"/>
      <c r="C210" s="164"/>
      <c r="D210" s="164"/>
      <c r="E210" s="164"/>
      <c r="F210" s="164"/>
      <c r="G210" s="164"/>
      <c r="H210" s="164"/>
    </row>
    <row r="211" spans="1:8" x14ac:dyDescent="0.35">
      <c r="A211" s="164"/>
      <c r="B211" s="164"/>
      <c r="C211" s="164"/>
      <c r="D211" s="164"/>
      <c r="E211" s="164"/>
      <c r="F211" s="164"/>
      <c r="G211" s="164"/>
      <c r="H211" s="164"/>
    </row>
    <row r="212" spans="1:8" x14ac:dyDescent="0.35">
      <c r="A212" s="38" t="s">
        <v>67</v>
      </c>
      <c r="B212" s="39"/>
      <c r="C212" s="39"/>
      <c r="D212" s="38" t="str">
        <f>E8</f>
        <v>Ekdant Pooja Chsl</v>
      </c>
      <c r="F212" s="39"/>
      <c r="G212" s="39"/>
      <c r="H212" s="39"/>
    </row>
    <row r="213" spans="1:8" x14ac:dyDescent="0.35">
      <c r="A213" s="39"/>
      <c r="B213" s="39"/>
      <c r="C213" s="39"/>
      <c r="D213" s="39"/>
      <c r="E213" s="39"/>
      <c r="F213" s="39"/>
      <c r="G213" s="39"/>
      <c r="H213" s="39"/>
    </row>
    <row r="214" spans="1:8" x14ac:dyDescent="0.35">
      <c r="A214" s="39"/>
      <c r="B214" s="39"/>
      <c r="C214" s="39"/>
      <c r="D214" s="39"/>
      <c r="E214" s="39"/>
      <c r="F214" s="39"/>
      <c r="G214" s="39"/>
      <c r="H214" s="39"/>
    </row>
    <row r="215" spans="1:8" ht="15" customHeight="1" x14ac:dyDescent="0.35"/>
    <row r="255" spans="1:1" x14ac:dyDescent="0.35">
      <c r="A255" s="41" t="s">
        <v>170</v>
      </c>
    </row>
    <row r="281" hidden="1" x14ac:dyDescent="0.35"/>
    <row r="282" hidden="1" x14ac:dyDescent="0.35"/>
    <row r="283" hidden="1" x14ac:dyDescent="0.35"/>
    <row r="284" hidden="1" x14ac:dyDescent="0.35"/>
    <row r="285" hidden="1" x14ac:dyDescent="0.35"/>
    <row r="286" hidden="1" x14ac:dyDescent="0.35"/>
    <row r="287" hidden="1" x14ac:dyDescent="0.35"/>
    <row r="288" hidden="1" x14ac:dyDescent="0.35"/>
    <row r="289" spans="1:1" hidden="1" x14ac:dyDescent="0.35"/>
    <row r="290" spans="1:1" hidden="1" x14ac:dyDescent="0.35"/>
    <row r="291" spans="1:1" hidden="1" x14ac:dyDescent="0.35"/>
    <row r="292" spans="1:1" hidden="1" x14ac:dyDescent="0.35"/>
    <row r="293" spans="1:1" hidden="1" x14ac:dyDescent="0.35"/>
    <row r="294" spans="1:1" hidden="1" x14ac:dyDescent="0.35"/>
    <row r="295" spans="1:1" hidden="1" x14ac:dyDescent="0.35"/>
    <row r="296" spans="1:1" hidden="1" x14ac:dyDescent="0.35"/>
    <row r="297" spans="1:1" hidden="1" x14ac:dyDescent="0.35"/>
    <row r="299" spans="1:1" x14ac:dyDescent="0.35">
      <c r="A299" s="41" t="s">
        <v>68</v>
      </c>
    </row>
  </sheetData>
  <mergeCells count="400">
    <mergeCell ref="A69:B69"/>
    <mergeCell ref="C69:H69"/>
    <mergeCell ref="A70:B70"/>
    <mergeCell ref="E70:F70"/>
    <mergeCell ref="G70:H70"/>
    <mergeCell ref="A71:B71"/>
    <mergeCell ref="E71:F80"/>
    <mergeCell ref="G71:H80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L182:M182"/>
    <mergeCell ref="A183:B183"/>
    <mergeCell ref="G183:H183"/>
    <mergeCell ref="L183:M183"/>
    <mergeCell ref="A184:B184"/>
    <mergeCell ref="G184:H184"/>
    <mergeCell ref="L184:M184"/>
    <mergeCell ref="B198:H198"/>
    <mergeCell ref="A185:B185"/>
    <mergeCell ref="G185:H185"/>
    <mergeCell ref="L185:M185"/>
    <mergeCell ref="A186:B186"/>
    <mergeCell ref="G186:H186"/>
    <mergeCell ref="L186:M186"/>
    <mergeCell ref="A188:B188"/>
    <mergeCell ref="G188:H188"/>
    <mergeCell ref="L188:M188"/>
    <mergeCell ref="A187:B187"/>
    <mergeCell ref="G187:H187"/>
    <mergeCell ref="L187:M187"/>
    <mergeCell ref="B197:H197"/>
    <mergeCell ref="B195:H195"/>
    <mergeCell ref="L176:M176"/>
    <mergeCell ref="A177:B177"/>
    <mergeCell ref="G177:H177"/>
    <mergeCell ref="L177:M177"/>
    <mergeCell ref="A178:H178"/>
    <mergeCell ref="A179:H179"/>
    <mergeCell ref="A180:H180"/>
    <mergeCell ref="A181:B181"/>
    <mergeCell ref="G181:H181"/>
    <mergeCell ref="L181:M181"/>
    <mergeCell ref="G176:H176"/>
    <mergeCell ref="L172:M172"/>
    <mergeCell ref="A173:B173"/>
    <mergeCell ref="G173:H173"/>
    <mergeCell ref="L173:M173"/>
    <mergeCell ref="A174:B174"/>
    <mergeCell ref="G174:H174"/>
    <mergeCell ref="L174:M174"/>
    <mergeCell ref="A175:B175"/>
    <mergeCell ref="G175:H175"/>
    <mergeCell ref="L175:M175"/>
    <mergeCell ref="L166:M166"/>
    <mergeCell ref="A167:B167"/>
    <mergeCell ref="G167:H167"/>
    <mergeCell ref="L167:M167"/>
    <mergeCell ref="A168:H168"/>
    <mergeCell ref="A169:H169"/>
    <mergeCell ref="A170:H170"/>
    <mergeCell ref="A171:B171"/>
    <mergeCell ref="G171:H171"/>
    <mergeCell ref="L171:M171"/>
    <mergeCell ref="A16:B16"/>
    <mergeCell ref="C16:H16"/>
    <mergeCell ref="E41:H41"/>
    <mergeCell ref="A41:D41"/>
    <mergeCell ref="A205:H205"/>
    <mergeCell ref="A202:H202"/>
    <mergeCell ref="A143:B143"/>
    <mergeCell ref="G158:H158"/>
    <mergeCell ref="A103:B103"/>
    <mergeCell ref="A104:B104"/>
    <mergeCell ref="A105:B105"/>
    <mergeCell ref="A95:B95"/>
    <mergeCell ref="C95:H95"/>
    <mergeCell ref="A120:B120"/>
    <mergeCell ref="A90:B90"/>
    <mergeCell ref="F125:H125"/>
    <mergeCell ref="G139:H139"/>
    <mergeCell ref="A123:B123"/>
    <mergeCell ref="A48:B48"/>
    <mergeCell ref="C48:E48"/>
    <mergeCell ref="G48:H48"/>
    <mergeCell ref="G50:H50"/>
    <mergeCell ref="D54:H54"/>
    <mergeCell ref="C50:E50"/>
    <mergeCell ref="A57:C59"/>
    <mergeCell ref="D57:H57"/>
    <mergeCell ref="D58:H58"/>
    <mergeCell ref="C49:E49"/>
    <mergeCell ref="A52:B52"/>
    <mergeCell ref="C52:E52"/>
    <mergeCell ref="A49:B49"/>
    <mergeCell ref="A53:H53"/>
    <mergeCell ref="A54:C54"/>
    <mergeCell ref="A55:C55"/>
    <mergeCell ref="D55:H55"/>
    <mergeCell ref="G52:H52"/>
    <mergeCell ref="D59:H59"/>
    <mergeCell ref="C51:H51"/>
    <mergeCell ref="C138:D138"/>
    <mergeCell ref="F134:H134"/>
    <mergeCell ref="F133:H133"/>
    <mergeCell ref="A149:H149"/>
    <mergeCell ref="G138:H138"/>
    <mergeCell ref="C139:D139"/>
    <mergeCell ref="E139:F139"/>
    <mergeCell ref="A147:B147"/>
    <mergeCell ref="E147:F147"/>
    <mergeCell ref="A145:B145"/>
    <mergeCell ref="C145:D145"/>
    <mergeCell ref="E145:F145"/>
    <mergeCell ref="G145:H145"/>
    <mergeCell ref="E140:F140"/>
    <mergeCell ref="G140:H140"/>
    <mergeCell ref="A141:B141"/>
    <mergeCell ref="C141:D141"/>
    <mergeCell ref="E141:F141"/>
    <mergeCell ref="G141:H141"/>
    <mergeCell ref="A146:B146"/>
    <mergeCell ref="C146:D146"/>
    <mergeCell ref="E146:F146"/>
    <mergeCell ref="G146:H146"/>
    <mergeCell ref="C143:D143"/>
    <mergeCell ref="G143:H143"/>
    <mergeCell ref="B196:H196"/>
    <mergeCell ref="B192:H192"/>
    <mergeCell ref="A148:H148"/>
    <mergeCell ref="B190:H190"/>
    <mergeCell ref="B191:H191"/>
    <mergeCell ref="B193:H193"/>
    <mergeCell ref="B194:H194"/>
    <mergeCell ref="A189:H189"/>
    <mergeCell ref="C150:C151"/>
    <mergeCell ref="A159:H159"/>
    <mergeCell ref="A160:H160"/>
    <mergeCell ref="A166:B166"/>
    <mergeCell ref="G166:H166"/>
    <mergeCell ref="A172:B172"/>
    <mergeCell ref="G172:H172"/>
    <mergeCell ref="A176:B176"/>
    <mergeCell ref="B150:B151"/>
    <mergeCell ref="A150:A151"/>
    <mergeCell ref="A161:H161"/>
    <mergeCell ref="G165:H165"/>
    <mergeCell ref="A182:B182"/>
    <mergeCell ref="G182:H182"/>
    <mergeCell ref="A155:B155"/>
    <mergeCell ref="A208:H211"/>
    <mergeCell ref="A207:B207"/>
    <mergeCell ref="E207:F207"/>
    <mergeCell ref="C207:D207"/>
    <mergeCell ref="G207:H207"/>
    <mergeCell ref="A137:H137"/>
    <mergeCell ref="A135:E135"/>
    <mergeCell ref="F135:H135"/>
    <mergeCell ref="A136:E136"/>
    <mergeCell ref="F136:H136"/>
    <mergeCell ref="A144:B144"/>
    <mergeCell ref="A139:B139"/>
    <mergeCell ref="A203:H203"/>
    <mergeCell ref="A142:H142"/>
    <mergeCell ref="A206:H206"/>
    <mergeCell ref="A204:H204"/>
    <mergeCell ref="A157:H157"/>
    <mergeCell ref="A200:H200"/>
    <mergeCell ref="A201:H201"/>
    <mergeCell ref="E143:F143"/>
    <mergeCell ref="B199:H199"/>
    <mergeCell ref="G155:H155"/>
    <mergeCell ref="G153:H153"/>
    <mergeCell ref="G154:H154"/>
    <mergeCell ref="A84:B84"/>
    <mergeCell ref="A87:B87"/>
    <mergeCell ref="A83:B83"/>
    <mergeCell ref="A81:B81"/>
    <mergeCell ref="C81:H81"/>
    <mergeCell ref="A89:B89"/>
    <mergeCell ref="A62:C62"/>
    <mergeCell ref="D62:H62"/>
    <mergeCell ref="C83:H83"/>
    <mergeCell ref="A86:B86"/>
    <mergeCell ref="A88:B88"/>
    <mergeCell ref="E84:F84"/>
    <mergeCell ref="A63:C63"/>
    <mergeCell ref="D63:H63"/>
    <mergeCell ref="A66:C66"/>
    <mergeCell ref="D66:H66"/>
    <mergeCell ref="A64:C64"/>
    <mergeCell ref="D64:H64"/>
    <mergeCell ref="A65:C65"/>
    <mergeCell ref="D65:H65"/>
    <mergeCell ref="A85:B85"/>
    <mergeCell ref="G84:H84"/>
    <mergeCell ref="A67:B67"/>
    <mergeCell ref="C67:H67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C37:H37"/>
    <mergeCell ref="A40:D40"/>
    <mergeCell ref="E40:H40"/>
    <mergeCell ref="F32:H32"/>
    <mergeCell ref="F33:H33"/>
    <mergeCell ref="A39:H39"/>
    <mergeCell ref="F35:H35"/>
    <mergeCell ref="A37:B37"/>
    <mergeCell ref="A38:B38"/>
    <mergeCell ref="C38:H38"/>
    <mergeCell ref="A60:C60"/>
    <mergeCell ref="A61:C61"/>
    <mergeCell ref="D60:H60"/>
    <mergeCell ref="E85:F94"/>
    <mergeCell ref="G85:H94"/>
    <mergeCell ref="A93:B93"/>
    <mergeCell ref="A94:B94"/>
    <mergeCell ref="D61:H61"/>
    <mergeCell ref="A42:D42"/>
    <mergeCell ref="E42:H42"/>
    <mergeCell ref="E43:H43"/>
    <mergeCell ref="E44:H44"/>
    <mergeCell ref="E45:H45"/>
    <mergeCell ref="A43:D43"/>
    <mergeCell ref="A47:B47"/>
    <mergeCell ref="C47:H47"/>
    <mergeCell ref="A44:D44"/>
    <mergeCell ref="A45:D45"/>
    <mergeCell ref="A46:H46"/>
    <mergeCell ref="D56:H56"/>
    <mergeCell ref="A56:C56"/>
    <mergeCell ref="G49:H49"/>
    <mergeCell ref="A50:B51"/>
    <mergeCell ref="A91:B91"/>
    <mergeCell ref="A92:B92"/>
    <mergeCell ref="C144:D144"/>
    <mergeCell ref="E144:F144"/>
    <mergeCell ref="G144:H144"/>
    <mergeCell ref="F131:H131"/>
    <mergeCell ref="A125:E125"/>
    <mergeCell ref="A109:B109"/>
    <mergeCell ref="C109:H109"/>
    <mergeCell ref="A152:H152"/>
    <mergeCell ref="E150:E151"/>
    <mergeCell ref="G150:H151"/>
    <mergeCell ref="A99:B99"/>
    <mergeCell ref="E99:F108"/>
    <mergeCell ref="A106:B106"/>
    <mergeCell ref="A107:B107"/>
    <mergeCell ref="A108:B108"/>
    <mergeCell ref="A114:B114"/>
    <mergeCell ref="E114:F123"/>
    <mergeCell ref="F124:H124"/>
    <mergeCell ref="F129:H129"/>
    <mergeCell ref="G114:H123"/>
    <mergeCell ref="C147:D147"/>
    <mergeCell ref="E138:F138"/>
    <mergeCell ref="A138:B138"/>
    <mergeCell ref="F132:H132"/>
    <mergeCell ref="A115:B115"/>
    <mergeCell ref="A116:B116"/>
    <mergeCell ref="G99:H108"/>
    <mergeCell ref="L165:M165"/>
    <mergeCell ref="G162:H162"/>
    <mergeCell ref="L162:M162"/>
    <mergeCell ref="A163:B163"/>
    <mergeCell ref="G163:H163"/>
    <mergeCell ref="L163:M163"/>
    <mergeCell ref="A164:B164"/>
    <mergeCell ref="G164:H164"/>
    <mergeCell ref="L164:M164"/>
    <mergeCell ref="A165:B165"/>
    <mergeCell ref="A162:B162"/>
    <mergeCell ref="L156:M156"/>
    <mergeCell ref="L155:M155"/>
    <mergeCell ref="L154:M154"/>
    <mergeCell ref="L153:M153"/>
    <mergeCell ref="G156:H156"/>
    <mergeCell ref="A140:B140"/>
    <mergeCell ref="A134:E134"/>
    <mergeCell ref="G147:H147"/>
    <mergeCell ref="C140:D140"/>
    <mergeCell ref="A119:B119"/>
    <mergeCell ref="A121:B121"/>
    <mergeCell ref="A122:B122"/>
    <mergeCell ref="A127:E127"/>
    <mergeCell ref="A124:E124"/>
    <mergeCell ref="F128:H128"/>
    <mergeCell ref="G113:H113"/>
    <mergeCell ref="A111:B111"/>
    <mergeCell ref="C111:H111"/>
    <mergeCell ref="A113:B113"/>
    <mergeCell ref="E113:F113"/>
    <mergeCell ref="A112:B112"/>
    <mergeCell ref="C112:D112"/>
    <mergeCell ref="E112:F112"/>
    <mergeCell ref="G112:H112"/>
    <mergeCell ref="A156:B156"/>
    <mergeCell ref="A129:E129"/>
    <mergeCell ref="A97:B97"/>
    <mergeCell ref="C97:H97"/>
    <mergeCell ref="A98:B98"/>
    <mergeCell ref="E98:F98"/>
    <mergeCell ref="A100:B100"/>
    <mergeCell ref="A101:B101"/>
    <mergeCell ref="A102:B102"/>
    <mergeCell ref="F126:H126"/>
    <mergeCell ref="A126:E126"/>
    <mergeCell ref="D150:D151"/>
    <mergeCell ref="A128:E128"/>
    <mergeCell ref="A153:B153"/>
    <mergeCell ref="A154:B154"/>
    <mergeCell ref="G98:H98"/>
    <mergeCell ref="A130:E130"/>
    <mergeCell ref="F130:H130"/>
    <mergeCell ref="A131:E131"/>
    <mergeCell ref="A133:E133"/>
    <mergeCell ref="F127:H127"/>
    <mergeCell ref="A132:E132"/>
    <mergeCell ref="A117:B117"/>
    <mergeCell ref="A118:B118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6" max="16383" man="1"/>
    <brk id="188" max="16383" man="1"/>
    <brk id="211" max="16383" man="1"/>
    <brk id="254" max="16383" man="1"/>
    <brk id="29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92" t="s">
        <v>106</v>
      </c>
      <c r="C3" s="192"/>
      <c r="D3" s="192"/>
      <c r="E3" s="192"/>
      <c r="F3" s="192"/>
      <c r="G3" s="192"/>
      <c r="H3" s="192"/>
    </row>
    <row r="4" spans="1:9" x14ac:dyDescent="0.35">
      <c r="A4" s="2"/>
      <c r="B4" s="3" t="s">
        <v>107</v>
      </c>
      <c r="C4" s="3" t="s">
        <v>108</v>
      </c>
      <c r="D4" s="3" t="s">
        <v>70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5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2025-06-10T13:00:48Z</cp:lastPrinted>
  <dcterms:created xsi:type="dcterms:W3CDTF">2019-07-16T09:29:46Z</dcterms:created>
  <dcterms:modified xsi:type="dcterms:W3CDTF">2025-08-30T13:29:15Z</dcterms:modified>
</cp:coreProperties>
</file>