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D:\VSJCV\Making\AXIS\2025-26\Axis\APF Old\July 2025\31-07-2025\"/>
    </mc:Choice>
  </mc:AlternateContent>
  <bookViews>
    <workbookView xWindow="0" yWindow="0" windowWidth="19200" windowHeight="6930" tabRatio="725"/>
  </bookViews>
  <sheets>
    <sheet name="Report" sheetId="1" r:id="rId1"/>
    <sheet name="valuation" sheetId="5" r:id="rId2"/>
    <sheet name="Research" sheetId="4" r:id="rId3"/>
  </sheets>
  <definedNames>
    <definedName name="_xlnm.Print_Area" localSheetId="0">Report!$A$1:$H$306</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157" i="1" l="1"/>
  <c r="I156" i="1"/>
  <c r="D154" i="1"/>
  <c r="E147" i="1" l="1"/>
  <c r="D147" i="1"/>
  <c r="E146" i="1"/>
  <c r="D146" i="1"/>
  <c r="E145" i="1"/>
  <c r="D145" i="1"/>
  <c r="E144" i="1"/>
  <c r="D144" i="1"/>
  <c r="E143" i="1"/>
  <c r="D143" i="1"/>
  <c r="E142" i="1"/>
  <c r="D142" i="1"/>
  <c r="E141" i="1"/>
  <c r="D141" i="1"/>
  <c r="E140" i="1"/>
  <c r="D140" i="1"/>
  <c r="E139" i="1"/>
  <c r="D139" i="1"/>
  <c r="G157" i="1"/>
  <c r="G156" i="1"/>
  <c r="E162" i="1"/>
  <c r="D162" i="1"/>
  <c r="E161" i="1"/>
  <c r="D161" i="1"/>
  <c r="E160" i="1"/>
  <c r="D160" i="1"/>
  <c r="E159" i="1"/>
  <c r="D159" i="1"/>
  <c r="E157" i="1"/>
  <c r="D157" i="1"/>
  <c r="E156" i="1"/>
  <c r="D156" i="1"/>
  <c r="E155" i="1"/>
  <c r="D155" i="1"/>
  <c r="E154" i="1"/>
  <c r="A160" i="1"/>
  <c r="A161" i="1" s="1"/>
  <c r="A162" i="1" s="1"/>
  <c r="F161" i="1" l="1"/>
  <c r="H161" i="1" s="1"/>
  <c r="F159" i="1"/>
  <c r="H159" i="1" s="1"/>
  <c r="F162" i="1"/>
  <c r="H162" i="1" s="1"/>
  <c r="F160" i="1"/>
  <c r="H160" i="1" s="1"/>
  <c r="L157" i="1"/>
  <c r="L156" i="1"/>
  <c r="F156" i="1"/>
  <c r="H156" i="1" s="1"/>
  <c r="L155" i="1"/>
  <c r="F157" i="1"/>
  <c r="H157" i="1" s="1"/>
  <c r="H146" i="1"/>
  <c r="A144" i="1"/>
  <c r="A145" i="1" s="1"/>
  <c r="A146" i="1" s="1"/>
  <c r="A147" i="1" s="1"/>
  <c r="E43" i="1"/>
  <c r="F146" i="1" l="1"/>
  <c r="H145" i="1"/>
  <c r="H144" i="1"/>
  <c r="H143" i="1"/>
  <c r="F147" i="1"/>
  <c r="F145" i="1"/>
  <c r="F143" i="1"/>
  <c r="H147" i="1"/>
  <c r="F144" i="1"/>
  <c r="E44" i="1"/>
  <c r="H139" i="1" l="1"/>
  <c r="F140" i="1"/>
  <c r="F141" i="1"/>
  <c r="F142" i="1"/>
  <c r="F139" i="1"/>
  <c r="H140" i="1"/>
  <c r="H141" i="1"/>
  <c r="H142" i="1"/>
  <c r="B166" i="1"/>
  <c r="B165" i="1"/>
  <c r="F155" i="1"/>
  <c r="F154" i="1"/>
  <c r="C125" i="1" l="1"/>
  <c r="C126" i="1" s="1"/>
  <c r="E125" i="1"/>
  <c r="E126" i="1" s="1"/>
  <c r="C129" i="1"/>
  <c r="C130" i="1" s="1"/>
  <c r="E129" i="1"/>
  <c r="E130" i="1" s="1"/>
  <c r="G125" i="1"/>
  <c r="G126" i="1" s="1"/>
  <c r="C15" i="1"/>
  <c r="Z12" i="1" l="1"/>
  <c r="I14" i="1"/>
  <c r="H154" i="1" l="1"/>
  <c r="E131" i="1" l="1"/>
  <c r="C131" i="1"/>
  <c r="E30" i="1" l="1"/>
  <c r="H155" i="1" l="1"/>
  <c r="G129" i="1" s="1"/>
  <c r="G130" i="1" s="1"/>
  <c r="G131" i="1" s="1"/>
  <c r="A155" i="1"/>
  <c r="A156" i="1" s="1"/>
  <c r="A157" i="1" s="1"/>
  <c r="F122" i="1" l="1"/>
  <c r="F11" i="5" l="1"/>
  <c r="G11" i="5" s="1"/>
  <c r="F10" i="5"/>
  <c r="G10" i="5" s="1"/>
  <c r="F9" i="5"/>
  <c r="G9" i="5" s="1"/>
  <c r="F8" i="5"/>
  <c r="G8" i="5" s="1"/>
  <c r="F7" i="5"/>
  <c r="G7" i="5" s="1"/>
  <c r="F6" i="5"/>
  <c r="G6" i="5" s="1"/>
  <c r="F5" i="5"/>
  <c r="G5" i="5" s="1"/>
  <c r="G12" i="5" s="1"/>
  <c r="D186" i="1"/>
  <c r="A140" i="1"/>
  <c r="A141" i="1" s="1"/>
  <c r="A142" i="1" s="1"/>
  <c r="C96" i="1"/>
  <c r="B97" i="1" s="1"/>
  <c r="C82" i="1"/>
  <c r="B83" i="1" s="1"/>
  <c r="C68" i="1"/>
  <c r="B69" i="1" s="1"/>
  <c r="E27" i="1"/>
  <c r="E25" i="1"/>
  <c r="E7" i="1"/>
  <c r="E3" i="1"/>
  <c r="D62" i="1" s="1"/>
  <c r="H83" i="1"/>
  <c r="H97" i="1"/>
  <c r="H69" i="1"/>
  <c r="C102" i="1" l="1"/>
  <c r="J96" i="1" s="1"/>
  <c r="J98" i="1" s="1"/>
  <c r="J102" i="1"/>
  <c r="J103" i="1" s="1"/>
  <c r="J108" i="1" s="1"/>
  <c r="J100" i="1"/>
  <c r="D108" i="1"/>
  <c r="D109" i="1"/>
  <c r="D106" i="1"/>
  <c r="D107" i="1"/>
  <c r="D104" i="1"/>
  <c r="D105" i="1"/>
  <c r="J101" i="1"/>
  <c r="C100" i="1" s="1"/>
  <c r="D100" i="1" s="1"/>
  <c r="J99" i="1"/>
  <c r="D103" i="1"/>
  <c r="J87" i="1"/>
  <c r="C86" i="1" s="1"/>
  <c r="D86" i="1" s="1"/>
  <c r="J85" i="1"/>
  <c r="J88" i="1"/>
  <c r="J89" i="1" s="1"/>
  <c r="J94" i="1" s="1"/>
  <c r="J82" i="1"/>
  <c r="J84" i="1" s="1"/>
  <c r="D90" i="1"/>
  <c r="D92" i="1"/>
  <c r="D95" i="1"/>
  <c r="D89" i="1"/>
  <c r="D93" i="1"/>
  <c r="D94" i="1"/>
  <c r="D91" i="1"/>
  <c r="J86" i="1"/>
  <c r="D81" i="1"/>
  <c r="D79" i="1"/>
  <c r="D78" i="1"/>
  <c r="D75" i="1"/>
  <c r="D77" i="1"/>
  <c r="J74" i="1"/>
  <c r="J75" i="1" s="1"/>
  <c r="J80" i="1" s="1"/>
  <c r="D80" i="1"/>
  <c r="J68" i="1"/>
  <c r="J70" i="1" s="1"/>
  <c r="D76" i="1"/>
  <c r="J72" i="1"/>
  <c r="J73" i="1"/>
  <c r="C72" i="1" s="1"/>
  <c r="D72" i="1" s="1"/>
  <c r="J71" i="1"/>
  <c r="J104" i="1"/>
  <c r="J105" i="1" s="1"/>
  <c r="J106" i="1" s="1"/>
  <c r="J107" i="1" s="1"/>
  <c r="J90" i="1"/>
  <c r="J91" i="1" s="1"/>
  <c r="J92" i="1" s="1"/>
  <c r="J93" i="1" s="1"/>
  <c r="J76" i="1"/>
  <c r="J77" i="1" s="1"/>
  <c r="J78" i="1" s="1"/>
  <c r="J79" i="1" s="1"/>
  <c r="D88" i="1"/>
  <c r="D74" i="1"/>
  <c r="D102" i="1" l="1"/>
  <c r="J109" i="1"/>
  <c r="C101" i="1" s="1"/>
  <c r="D101" i="1" s="1"/>
  <c r="J81" i="1"/>
  <c r="C73" i="1" s="1"/>
  <c r="G72" i="1" s="1"/>
  <c r="D66" i="1" s="1"/>
  <c r="D67" i="1" s="1"/>
  <c r="J95" i="1"/>
  <c r="J83" i="1" s="1"/>
  <c r="I97" i="1" l="1"/>
  <c r="I98" i="1" s="1"/>
  <c r="I96" i="1" s="1"/>
  <c r="C98" i="1" s="1"/>
  <c r="G100" i="1"/>
  <c r="E100" i="1"/>
  <c r="J97" i="1"/>
  <c r="J69" i="1"/>
  <c r="D73" i="1"/>
  <c r="I69" i="1" s="1"/>
  <c r="I70" i="1" s="1"/>
  <c r="E72" i="1"/>
  <c r="F67" i="1"/>
  <c r="E86" i="1"/>
  <c r="G86" i="1"/>
  <c r="D87" i="1"/>
  <c r="I83" i="1" s="1"/>
  <c r="I84" i="1" s="1"/>
  <c r="I68" i="1" l="1"/>
  <c r="C70" i="1" s="1"/>
  <c r="I82" i="1"/>
  <c r="C84" i="1" s="1"/>
</calcChain>
</file>

<file path=xl/comments1.xml><?xml version="1.0" encoding="utf-8"?>
<comments xmlns="http://schemas.openxmlformats.org/spreadsheetml/2006/main">
  <authors>
    <author>Sachin</author>
  </authors>
  <commentList>
    <comment ref="E11" authorId="0" shapeId="0">
      <text>
        <r>
          <rPr>
            <b/>
            <sz val="9"/>
            <color indexed="81"/>
            <rFont val="Tahoma"/>
            <family val="2"/>
          </rPr>
          <t>Sachin:</t>
        </r>
        <r>
          <rPr>
            <sz val="9"/>
            <color indexed="81"/>
            <rFont val="Tahoma"/>
            <family val="2"/>
          </rPr>
          <t xml:space="preserve">
Building No. 
Tower No.
Wing 
Bunglow No., etc</t>
        </r>
      </text>
    </comment>
    <comment ref="E12" authorId="0" shapeId="0">
      <text>
        <r>
          <rPr>
            <b/>
            <sz val="9"/>
            <color indexed="81"/>
            <rFont val="Tahoma"/>
            <family val="2"/>
          </rPr>
          <t>Sachin:</t>
        </r>
        <r>
          <rPr>
            <sz val="9"/>
            <color indexed="81"/>
            <rFont val="Tahoma"/>
            <family val="2"/>
          </rPr>
          <t xml:space="preserve">
If exisiting Building is provided write it or else
NA</t>
        </r>
      </text>
    </comment>
    <comment ref="D57" authorId="0" shapeId="0">
      <text>
        <r>
          <rPr>
            <b/>
            <sz val="9"/>
            <color indexed="81"/>
            <rFont val="Tahoma"/>
            <family val="2"/>
          </rPr>
          <t>Sachin:</t>
        </r>
        <r>
          <rPr>
            <sz val="9"/>
            <color indexed="81"/>
            <rFont val="Tahoma"/>
            <family val="2"/>
          </rPr>
          <t xml:space="preserve">
If multiple building in project or complex just mention builtup of required building</t>
        </r>
      </text>
    </comment>
  </commentList>
</comments>
</file>

<file path=xl/sharedStrings.xml><?xml version="1.0" encoding="utf-8"?>
<sst xmlns="http://schemas.openxmlformats.org/spreadsheetml/2006/main" count="482" uniqueCount="291">
  <si>
    <t xml:space="preserve">Valuation Report </t>
  </si>
  <si>
    <t>Date:</t>
  </si>
  <si>
    <t>CPC Name:</t>
  </si>
  <si>
    <t>Date Of Property Visit</t>
  </si>
  <si>
    <t>Name of the builder group</t>
  </si>
  <si>
    <t>Name of the builder company</t>
  </si>
  <si>
    <t>Name of the Project</t>
  </si>
  <si>
    <t>Name / No of the Building</t>
  </si>
  <si>
    <t>Docouments Provided</t>
  </si>
  <si>
    <t>RERA No.</t>
  </si>
  <si>
    <t xml:space="preserve">Project location details       </t>
  </si>
  <si>
    <t>Road</t>
  </si>
  <si>
    <t>District</t>
  </si>
  <si>
    <t>City</t>
  </si>
  <si>
    <t>Pin Code</t>
  </si>
  <si>
    <t xml:space="preserve">Distance from city centre: </t>
  </si>
  <si>
    <t>all available at  1 to 2 km.</t>
  </si>
  <si>
    <t>Does property have Electricity / Water / Drainage Connection</t>
  </si>
  <si>
    <t>Yes</t>
  </si>
  <si>
    <t>Class of locality</t>
  </si>
  <si>
    <t>Nature of land with topographical condtion</t>
  </si>
  <si>
    <t>Plane</t>
  </si>
  <si>
    <t xml:space="preserve">Nature of the locality </t>
  </si>
  <si>
    <t>Quality of infrastructure in vicinity</t>
  </si>
  <si>
    <t>Good</t>
  </si>
  <si>
    <t>East</t>
  </si>
  <si>
    <t>West</t>
  </si>
  <si>
    <t>South</t>
  </si>
  <si>
    <t>North</t>
  </si>
  <si>
    <t>NA</t>
  </si>
  <si>
    <t>At site</t>
  </si>
  <si>
    <t>Does the boundaries at site match, as mentioned in the Docoumentation: NA</t>
  </si>
  <si>
    <t xml:space="preserve">Approved usage of the Property:                                                                                                                                             </t>
  </si>
  <si>
    <t>No</t>
  </si>
  <si>
    <t>Area Statement Details :</t>
  </si>
  <si>
    <t>Total land area of the project in Sq. Mt.</t>
  </si>
  <si>
    <t>Permissible FSI</t>
  </si>
  <si>
    <t>Permissible TDR/Paid FSI</t>
  </si>
  <si>
    <t>Total FSI availaible for the project</t>
  </si>
  <si>
    <t>Total number of Buildings</t>
  </si>
  <si>
    <t xml:space="preserve">Approval Detail : Plan approval </t>
  </si>
  <si>
    <t xml:space="preserve">Layout Approval No     </t>
  </si>
  <si>
    <t>Dated</t>
  </si>
  <si>
    <t xml:space="preserve">Approved Floor plan No.  </t>
  </si>
  <si>
    <t>Expected Completion</t>
  </si>
  <si>
    <t>Building wise Construction details</t>
  </si>
  <si>
    <t>Approved no of units</t>
  </si>
  <si>
    <t>Approved no of Floors</t>
  </si>
  <si>
    <t>Type of Work</t>
  </si>
  <si>
    <t>Plinth</t>
  </si>
  <si>
    <t xml:space="preserve">Recommended rate of Parking </t>
  </si>
  <si>
    <t>Distressed valuation of the Property</t>
  </si>
  <si>
    <t>Building &amp; Wing</t>
  </si>
  <si>
    <t>Total Carpet Area</t>
  </si>
  <si>
    <t>Total Saleable Area</t>
  </si>
  <si>
    <t>Building details Floor Wise</t>
  </si>
  <si>
    <t>Description</t>
  </si>
  <si>
    <t>Gross Carpet area</t>
  </si>
  <si>
    <t>Attached Terrace area</t>
  </si>
  <si>
    <t>Undertaking :</t>
  </si>
  <si>
    <t>1) We have personally visited the property &amp; identified the same based on the documents provided.</t>
  </si>
  <si>
    <t>2) I/We have no direct or Indirect Interest in the property being valued</t>
  </si>
  <si>
    <t>3) The information furnished above is true and correct to my/our knowledge.</t>
  </si>
  <si>
    <t>4) Legal title of the property is not verified by us.</t>
  </si>
  <si>
    <t xml:space="preserve">PHOTOGRAPHS OF PROPERTY : 
</t>
  </si>
  <si>
    <t>Google Map :</t>
  </si>
  <si>
    <t xml:space="preserve">Remarks:  </t>
  </si>
  <si>
    <t>Flat</t>
  </si>
  <si>
    <t>Residential Area Details :</t>
  </si>
  <si>
    <t>Podium</t>
  </si>
  <si>
    <t>Ground</t>
  </si>
  <si>
    <t>Locality/Village</t>
  </si>
  <si>
    <t>Taluka</t>
  </si>
  <si>
    <t>Commercial Area Details :</t>
  </si>
  <si>
    <t>Accessibility to the Project from the City: (Proximity to civic amenities like school, hospital, market, etc.)</t>
  </si>
  <si>
    <t>Inspected By :</t>
  </si>
  <si>
    <t>No. of Units</t>
  </si>
  <si>
    <t>Authorized Signatory
Name &amp; Seal of the agency</t>
  </si>
  <si>
    <t>Floors</t>
  </si>
  <si>
    <t>Type of Structure</t>
  </si>
  <si>
    <t>RCC Frame Structure</t>
  </si>
  <si>
    <t>Complition %</t>
  </si>
  <si>
    <t>Disbursement %</t>
  </si>
  <si>
    <t>Progress %</t>
  </si>
  <si>
    <t xml:space="preserve">Material laying at Site: </t>
  </si>
  <si>
    <t>Projected life of the structure</t>
  </si>
  <si>
    <t xml:space="preserve">Quality of construction: </t>
  </si>
  <si>
    <t>Proposed no of Floors</t>
  </si>
  <si>
    <t xml:space="preserve">Stage of construction: </t>
  </si>
  <si>
    <t>Total Approved Builtup area of the project (Sq.Mt)</t>
  </si>
  <si>
    <t>Restrictive Covenants in regard to Land Use</t>
  </si>
  <si>
    <t>Boundries</t>
  </si>
  <si>
    <t>Development Charges</t>
  </si>
  <si>
    <t>Club Charges</t>
  </si>
  <si>
    <t>Gas Connection Charges</t>
  </si>
  <si>
    <t>Water, Electricity, Drainages, Sewerage Connection</t>
  </si>
  <si>
    <t>Society Formation Charges</t>
  </si>
  <si>
    <t>Advance Maintenance Charges</t>
  </si>
  <si>
    <t>Excavation in process</t>
  </si>
  <si>
    <t>Excavation Completed</t>
  </si>
  <si>
    <t>Footing in Process</t>
  </si>
  <si>
    <t>Footing Completed</t>
  </si>
  <si>
    <t>Plinth completed</t>
  </si>
  <si>
    <t>Report By :</t>
  </si>
  <si>
    <t>Market Research Data</t>
  </si>
  <si>
    <t>Source</t>
  </si>
  <si>
    <t>Distance from proposed property</t>
  </si>
  <si>
    <t>Net Carpet</t>
  </si>
  <si>
    <t>Market Value</t>
  </si>
  <si>
    <t>Magic Brick</t>
  </si>
  <si>
    <t>99 Acres</t>
  </si>
  <si>
    <t>Average</t>
  </si>
  <si>
    <t xml:space="preserve">Valuation Adopted </t>
  </si>
  <si>
    <t>Saleable Area</t>
  </si>
  <si>
    <t>Rate on Saleable</t>
  </si>
  <si>
    <t xml:space="preserve">Wheather the construction is as per approved Building plan : </t>
  </si>
  <si>
    <r>
      <t xml:space="preserve">Shop No.
</t>
    </r>
    <r>
      <rPr>
        <b/>
        <sz val="11"/>
        <color rgb="FF000000"/>
        <rFont val="Times New Roman"/>
        <family val="1"/>
      </rPr>
      <t>(Approved Plan)</t>
    </r>
  </si>
  <si>
    <r>
      <t xml:space="preserve">Flat No.
</t>
    </r>
    <r>
      <rPr>
        <b/>
        <sz val="11"/>
        <color rgb="FF000000"/>
        <rFont val="Times New Roman"/>
        <family val="1"/>
      </rPr>
      <t>(Approved Plan)</t>
    </r>
  </si>
  <si>
    <t>Nearby Landmark</t>
  </si>
  <si>
    <t>We considered Carpet area as per Approved Plan.</t>
  </si>
  <si>
    <t>We have considered rate by verifying it from market inquire.</t>
  </si>
  <si>
    <t>Car parking is subjected to authentic documentation.</t>
  </si>
  <si>
    <t>5) Gross carpet area =  Net Carpet area + Fungible area.</t>
  </si>
  <si>
    <t>6) Fungible Area= Enclosed Balcony + Flower Bed + Covered Balcony + Service Slab + Duct + Chajja + Wheather Shed area.</t>
  </si>
  <si>
    <t>Excavation</t>
  </si>
  <si>
    <t>RCC (Including podiums)</t>
  </si>
  <si>
    <t>Brickwork &amp; Internal Plaster</t>
  </si>
  <si>
    <t>Flooring &amp; Fitting</t>
  </si>
  <si>
    <t>External Plaster &amp; Plumbing</t>
  </si>
  <si>
    <t>Building Common Amenities</t>
  </si>
  <si>
    <t>Possession</t>
  </si>
  <si>
    <t>Ext. Plaster &amp; Plumbing</t>
  </si>
  <si>
    <t>Brickwork</t>
  </si>
  <si>
    <t>Internal Plaster</t>
  </si>
  <si>
    <t>Painting &amp; Wooden</t>
  </si>
  <si>
    <t>Slab/Floor</t>
  </si>
  <si>
    <t>Construction details:</t>
  </si>
  <si>
    <t>Piling Work in process</t>
  </si>
  <si>
    <t>Basement</t>
  </si>
  <si>
    <t>Basement 2</t>
  </si>
  <si>
    <t>Basement 3</t>
  </si>
  <si>
    <t>Basement 4</t>
  </si>
  <si>
    <t>Basement 1</t>
  </si>
  <si>
    <t>Plinth in process</t>
  </si>
  <si>
    <t xml:space="preserve">Violations Observed if any : </t>
  </si>
  <si>
    <t>Saleable area Loading :</t>
  </si>
  <si>
    <t>Total</t>
  </si>
  <si>
    <t>Name of Municipal Corporation/Authority</t>
  </si>
  <si>
    <t>We have considered proposed No. of Floor for Stage Calculation.</t>
  </si>
  <si>
    <t>*</t>
  </si>
  <si>
    <t>Recommended rate should be considered as all inclusive rate if other charges are not mentioned. (Excluding GST &amp; other government Taxes)</t>
  </si>
  <si>
    <t xml:space="preserve">Commencement-CC No
Valid Up to: </t>
  </si>
  <si>
    <t xml:space="preserve">Recommended Rates of the Property : </t>
  </si>
  <si>
    <t>Recommended rate of the Shop Per Sq. Ft.</t>
  </si>
  <si>
    <t>Recommended rate of the Flat Per Sq. Ft.</t>
  </si>
  <si>
    <t>Recommended rate of the Office Per Sq. Ft.</t>
  </si>
  <si>
    <t>On Saleable Area</t>
  </si>
  <si>
    <t>Location Link</t>
  </si>
  <si>
    <t>Locality</t>
  </si>
  <si>
    <t>Layout :</t>
  </si>
  <si>
    <t>Office No. 1031, Wing J, Akshar Business Park, Plot No. 03 Sector 25, Near APMC Market, Vashi, Navi Mumbai, Maharashtra 400703 TEL: 022-46090378/79/80                                                                       
E mail : vsjcapf@gmail.com. Web site : www.vsjadon.com</t>
  </si>
  <si>
    <t>Latitude, Longitude</t>
  </si>
  <si>
    <t>Grand Total</t>
  </si>
  <si>
    <t>Provided Contact Details (Name &amp; Contact No.)</t>
  </si>
  <si>
    <t>Site Person - Contact Details (Name &amp; Contact No.)</t>
  </si>
  <si>
    <t>Approved Plans, CC, Sale Plans, Builder Saleable Area, Cost Sheet, Airport Noc, Railway Noc, OC</t>
  </si>
  <si>
    <t>Name / No of the Existing Building</t>
  </si>
  <si>
    <t>Mumbai</t>
  </si>
  <si>
    <t>As per Layout</t>
  </si>
  <si>
    <t>Floor Rise Rate from    Floor</t>
  </si>
  <si>
    <t>Shop No. (Sale Plan)</t>
  </si>
  <si>
    <t>Flat No. (Sale Plan)</t>
  </si>
  <si>
    <t xml:space="preserve">Thane </t>
  </si>
  <si>
    <t>Thane</t>
  </si>
  <si>
    <t>Shahpur</t>
  </si>
  <si>
    <t>Kalyan</t>
  </si>
  <si>
    <t>Bhiwandi</t>
  </si>
  <si>
    <t>Ulhasnagar</t>
  </si>
  <si>
    <t>Ambernath</t>
  </si>
  <si>
    <t>Murbad</t>
  </si>
  <si>
    <t>Mokhada</t>
  </si>
  <si>
    <t>Talasari</t>
  </si>
  <si>
    <t>Palghar</t>
  </si>
  <si>
    <t>Vasai</t>
  </si>
  <si>
    <t>Vikramgad</t>
  </si>
  <si>
    <t>Dahanu</t>
  </si>
  <si>
    <t>Wada</t>
  </si>
  <si>
    <t>Raigad</t>
  </si>
  <si>
    <t>Alibag</t>
  </si>
  <si>
    <t>Panvel</t>
  </si>
  <si>
    <t>Uran</t>
  </si>
  <si>
    <t>Karjat</t>
  </si>
  <si>
    <t>Khalapur</t>
  </si>
  <si>
    <t>Pen</t>
  </si>
  <si>
    <t>Sudhagad</t>
  </si>
  <si>
    <t>Mahad</t>
  </si>
  <si>
    <t>Roha</t>
  </si>
  <si>
    <t>Mangaon</t>
  </si>
  <si>
    <t>Poladpur</t>
  </si>
  <si>
    <t>Mahasala</t>
  </si>
  <si>
    <t>Shriwardhan</t>
  </si>
  <si>
    <t>Murud</t>
  </si>
  <si>
    <t>Andheri</t>
  </si>
  <si>
    <t>Borivali</t>
  </si>
  <si>
    <t>Kurla</t>
  </si>
  <si>
    <t>Pune</t>
  </si>
  <si>
    <t>Pune City</t>
  </si>
  <si>
    <t>Khed</t>
  </si>
  <si>
    <t>Baramati</t>
  </si>
  <si>
    <t>Junnar</t>
  </si>
  <si>
    <t>Shirur</t>
  </si>
  <si>
    <t>Indapur</t>
  </si>
  <si>
    <t>Daund</t>
  </si>
  <si>
    <t>Mawal</t>
  </si>
  <si>
    <t>Ambegaon</t>
  </si>
  <si>
    <t>Purandhar</t>
  </si>
  <si>
    <t>Bhor</t>
  </si>
  <si>
    <t>Mulshi</t>
  </si>
  <si>
    <t>Velhe</t>
  </si>
  <si>
    <t>Haveli</t>
  </si>
  <si>
    <t>Approved Plans, CC</t>
  </si>
  <si>
    <t>Approved Plans, CC, Sale Plans</t>
  </si>
  <si>
    <t>Approved Plans, CC, Sale Plans, Builder Saleable Area</t>
  </si>
  <si>
    <t>Approved Plans, CC, Sale Plans, Builder Saleable Area, Cost Sheet,</t>
  </si>
  <si>
    <t>Approved Plans, CC, Builder Saleable Area,</t>
  </si>
  <si>
    <t>Fungible area</t>
  </si>
  <si>
    <t>Carpet area</t>
  </si>
  <si>
    <t xml:space="preserve">Please check for Environment Clearance Certificate.
</t>
  </si>
  <si>
    <t>Axis Thane</t>
  </si>
  <si>
    <t>Mr.Anil Hardasmal Tharwani</t>
  </si>
  <si>
    <t>Tharwani Solitaire Phase I</t>
  </si>
  <si>
    <t>P51700005630</t>
  </si>
  <si>
    <t>Survey No</t>
  </si>
  <si>
    <t>8/1, 8/2, 12/1-12/7, 13/1, 13/2, 14/1-14/4</t>
  </si>
  <si>
    <t>Maharal Khurd</t>
  </si>
  <si>
    <t>19.247873,73.175587</t>
  </si>
  <si>
    <t>https://maps.app.goo.gl/XVYjSMjtmjvR7Bx76</t>
  </si>
  <si>
    <t>2.5 KM from Shahad Railway Station</t>
  </si>
  <si>
    <t>Shahad East</t>
  </si>
  <si>
    <t>Regency Avana</t>
  </si>
  <si>
    <t>Ahmednagar- Kalyan Road</t>
  </si>
  <si>
    <t>Khemani Industry Area</t>
  </si>
  <si>
    <t>Phase I = Wing F1 (Natali)</t>
  </si>
  <si>
    <t>Tharwani Solitaire (Wing B1)</t>
  </si>
  <si>
    <t>Tharwani Solitaire Club House</t>
  </si>
  <si>
    <t>Open Plot</t>
  </si>
  <si>
    <t>Internal Road/Ahmednagar- Kalyan Road</t>
  </si>
  <si>
    <t>Building (Swimming Pool)</t>
  </si>
  <si>
    <t>B1-Wing</t>
  </si>
  <si>
    <t>Other Plot</t>
  </si>
  <si>
    <t>01 Wing</t>
  </si>
  <si>
    <t xml:space="preserve">Nagar Rachana Ani Mulya Nirdharan Vibhag Thane
</t>
  </si>
  <si>
    <t>Building F1  = Stilt + 1st to 7th Floor</t>
  </si>
  <si>
    <t>BSP/BP/Mau.Mharal (Khurd)/Ta.Kalyan/SSThane/609</t>
  </si>
  <si>
    <t>Wing F1 = Gr + 1st to 7th Floor</t>
  </si>
  <si>
    <t>https://www.quikr.com/homes/project/tharwani-solitaire-phase-i+kalyan-west+mumbai+33921</t>
  </si>
  <si>
    <r>
      <t xml:space="preserve">Proposed Amenities :                                                                                                                                                                                                                         </t>
    </r>
    <r>
      <rPr>
        <b/>
        <sz val="12"/>
        <color theme="1"/>
        <rFont val="Times New Roman"/>
        <family val="1"/>
      </rPr>
      <t xml:space="preserve">                                               </t>
    </r>
  </si>
  <si>
    <t xml:space="preserve">Details of Residential in Building   </t>
  </si>
  <si>
    <t>Approved Plans, CC, OC, EC</t>
  </si>
  <si>
    <t>Phase I</t>
  </si>
  <si>
    <t>Wing F1</t>
  </si>
  <si>
    <t>Ground Floor For Commercial &amp; Parking</t>
  </si>
  <si>
    <t>Shop</t>
  </si>
  <si>
    <t>Attached Otla area</t>
  </si>
  <si>
    <t>2nd to 7th Floor</t>
  </si>
  <si>
    <t>2.5BHK</t>
  </si>
  <si>
    <t>1.5BHK</t>
  </si>
  <si>
    <t>88% ZM</t>
  </si>
  <si>
    <t xml:space="preserve">All work completed. OC received.
</t>
  </si>
  <si>
    <t>175 zm</t>
  </si>
  <si>
    <t>pln-pcil -9.4 terrce width-study rm</t>
  </si>
  <si>
    <t>Flats - 28, Shops - 9</t>
  </si>
  <si>
    <t>Provision For 12.00 MT Wide Servise Road/45.00 Mt NH - 222 Kalyan- Murbad Road C/L</t>
  </si>
  <si>
    <t xml:space="preserve">MHSL/KS-1/T-7/Mauje Mharal/OC/KV-F1523098783949/18
</t>
  </si>
  <si>
    <t xml:space="preserve">O. Certificate No.: 
Valid upto :
</t>
  </si>
  <si>
    <t>EC No.</t>
  </si>
  <si>
    <t>SEIAA-EC-0000002239</t>
  </si>
  <si>
    <t>Approved area of Wing F1 (Sq.Mt)</t>
  </si>
  <si>
    <t>We considered Gross carpet area = Net carpet + C.B Area + Balcony + EL Projection</t>
  </si>
  <si>
    <t>Entrance Lobby, Sufficient Water Supply, Power backup, Swimming Pool,  Parking, Lift, Kids Play Area, Landscape Garden etc</t>
  </si>
  <si>
    <t xml:space="preserve"> </t>
  </si>
  <si>
    <t>24Hrs Backup,  Electricity,  Rain Water Harvesting, Intercom Security Personnel, Lift, Covered Car Parking, 24Hrs Water Supply, Meditation Hall, Club House, Cafeteria, Indoor Games, Play Area, Landscaped Garden, Swimming Pool, Health Facilities, Tennis Court, Badminton Court, Gym</t>
  </si>
  <si>
    <t>BS/RKKN/BP./Mau.Maharal Khurd/T.Kalyan/SSThane/609</t>
  </si>
  <si>
    <t>BS/RKKN/BP./Mau.Maharal (Khurd)/T.Kalyan/SSThane/609</t>
  </si>
  <si>
    <t>Completed</t>
  </si>
  <si>
    <t>1st Floor For Residential</t>
  </si>
  <si>
    <t>As per approved Floor Flat No. 103 &amp; 104 doesnot consist of Terrace Area. 
We have considered Terrace area as per Sale plan provided by bank.</t>
  </si>
  <si>
    <t>Pooja Kawale</t>
  </si>
  <si>
    <t>Mr. Pratik Kulkarni 9920222642</t>
  </si>
  <si>
    <t>Miss. Simran : 7770026077</t>
  </si>
  <si>
    <t>Krishna Kambali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</si>
</sst>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 #,##0.00_ ;_ * \-#,##0.00_ ;_ * &quot;-&quot;??_ ;_ @_ "/>
    <numFmt numFmtId="164" formatCode="0.0"/>
    <numFmt numFmtId="165" formatCode="_(* #,##0.00_);_(* \(#,##0.00\);_(* &quot;-&quot;??_);_(@_)"/>
    <numFmt numFmtId="166" formatCode="_(* #,##0_);_(* \(#,##0\);_(* &quot;-&quot;??_);_(@_)"/>
    <numFmt numFmtId="167" formatCode="_ * #,##0_ ;_ * \-#,##0_ ;_ * &quot;-&quot;??_ ;_ @_ "/>
  </numFmts>
  <fonts count="32" x14ac:knownFonts="1">
    <font>
      <sz val="11"/>
      <color rgb="FF000000"/>
      <name val="Calibri"/>
      <family val="2"/>
    </font>
    <font>
      <sz val="11"/>
      <color theme="1"/>
      <name val="Calibri"/>
      <family val="2"/>
      <scheme val="minor"/>
    </font>
    <font>
      <sz val="11"/>
      <color theme="1"/>
      <name val="Calibri"/>
      <family val="2"/>
      <scheme val="minor"/>
    </font>
    <font>
      <sz val="11"/>
      <color theme="1"/>
      <name val="Calibri"/>
      <family val="2"/>
      <scheme val="minor"/>
    </font>
    <font>
      <b/>
      <sz val="11"/>
      <color indexed="8"/>
      <name val="Times New Roman"/>
      <family val="1"/>
    </font>
    <font>
      <sz val="11"/>
      <color indexed="8"/>
      <name val="Calibri"/>
      <family val="2"/>
    </font>
    <font>
      <sz val="12"/>
      <color indexed="8"/>
      <name val="Times New Roman"/>
      <family val="1"/>
    </font>
    <font>
      <sz val="12"/>
      <color theme="1"/>
      <name val="Times New Roman"/>
      <family val="1"/>
    </font>
    <font>
      <b/>
      <sz val="12"/>
      <color indexed="8"/>
      <name val="Times New Roman"/>
      <family val="1"/>
    </font>
    <font>
      <b/>
      <sz val="11"/>
      <color theme="1"/>
      <name val="Calibri"/>
      <family val="2"/>
      <scheme val="minor"/>
    </font>
    <font>
      <b/>
      <sz val="12"/>
      <color theme="1"/>
      <name val="Times New Roman"/>
      <family val="1"/>
    </font>
    <font>
      <b/>
      <sz val="11.5"/>
      <color indexed="8"/>
      <name val="Times New Roman"/>
      <family val="1"/>
    </font>
    <font>
      <sz val="12"/>
      <name val="Times New Roman"/>
      <family val="1"/>
    </font>
    <font>
      <b/>
      <sz val="12"/>
      <name val="Times New Roman"/>
      <family val="1"/>
    </font>
    <font>
      <sz val="11"/>
      <name val="Times New Roman"/>
      <family val="1"/>
    </font>
    <font>
      <sz val="12"/>
      <color rgb="FFFF0000"/>
      <name val="Times New Roman"/>
      <family val="1"/>
    </font>
    <font>
      <sz val="11"/>
      <color theme="1"/>
      <name val="Times New Roman"/>
      <family val="1"/>
    </font>
    <font>
      <b/>
      <sz val="12"/>
      <color rgb="FFFF0000"/>
      <name val="Times New Roman"/>
      <family val="1"/>
    </font>
    <font>
      <sz val="11"/>
      <color rgb="FF000000"/>
      <name val="Times New Roman"/>
      <family val="1"/>
    </font>
    <font>
      <sz val="11"/>
      <color rgb="FFFF0000"/>
      <name val="Calibri"/>
      <family val="2"/>
      <scheme val="minor"/>
    </font>
    <font>
      <sz val="11"/>
      <color rgb="FFFF0000"/>
      <name val="Calibri"/>
      <family val="2"/>
    </font>
    <font>
      <sz val="10"/>
      <name val="Arial"/>
      <family val="2"/>
    </font>
    <font>
      <sz val="11"/>
      <color rgb="FF000000"/>
      <name val="Calibri"/>
      <family val="2"/>
    </font>
    <font>
      <b/>
      <sz val="11"/>
      <color rgb="FF000000"/>
      <name val="Times New Roman"/>
      <family val="1"/>
    </font>
    <font>
      <sz val="10"/>
      <color theme="1"/>
      <name val="Times New Roman"/>
      <family val="1"/>
    </font>
    <font>
      <sz val="11"/>
      <name val="Calibri"/>
      <family val="2"/>
    </font>
    <font>
      <sz val="11"/>
      <color theme="0"/>
      <name val="Calibri"/>
      <family val="2"/>
    </font>
    <font>
      <u/>
      <sz val="11"/>
      <color theme="10"/>
      <name val="Calibri"/>
      <family val="2"/>
    </font>
    <font>
      <sz val="9"/>
      <color indexed="81"/>
      <name val="Tahoma"/>
      <family val="2"/>
    </font>
    <font>
      <b/>
      <sz val="9"/>
      <color indexed="81"/>
      <name val="Tahoma"/>
      <family val="2"/>
    </font>
    <font>
      <u/>
      <sz val="11"/>
      <color rgb="FF0070C0"/>
      <name val="Calibri"/>
      <family val="2"/>
    </font>
    <font>
      <sz val="12"/>
      <color rgb="FF0070C0"/>
      <name val="Times New Roman"/>
      <family val="1"/>
    </font>
  </fonts>
  <fills count="3">
    <fill>
      <patternFill patternType="none"/>
    </fill>
    <fill>
      <patternFill patternType="gray125"/>
    </fill>
    <fill>
      <patternFill patternType="solid">
        <fgColor rgb="FFFFFF00"/>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style="medium">
        <color indexed="64"/>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s>
  <cellStyleXfs count="11">
    <xf numFmtId="0" fontId="0" fillId="0" borderId="0"/>
    <xf numFmtId="0" fontId="3" fillId="0" borderId="0"/>
    <xf numFmtId="0" fontId="5" fillId="0" borderId="0"/>
    <xf numFmtId="0" fontId="2" fillId="0" borderId="0"/>
    <xf numFmtId="0" fontId="5" fillId="0" borderId="0"/>
    <xf numFmtId="0" fontId="1" fillId="0" borderId="0"/>
    <xf numFmtId="165" fontId="5" fillId="0" borderId="0" applyFont="0" applyFill="0" applyBorder="0" applyAlignment="0" applyProtection="0"/>
    <xf numFmtId="0" fontId="21" fillId="0" borderId="0"/>
    <xf numFmtId="9" fontId="22" fillId="0" borderId="0" applyFont="0" applyFill="0" applyBorder="0" applyAlignment="0" applyProtection="0"/>
    <xf numFmtId="43" fontId="22" fillId="0" borderId="0" applyFont="0" applyFill="0" applyBorder="0" applyAlignment="0" applyProtection="0"/>
    <xf numFmtId="0" fontId="27" fillId="0" borderId="0" applyNumberFormat="0" applyFill="0" applyBorder="0" applyAlignment="0" applyProtection="0"/>
  </cellStyleXfs>
  <cellXfs count="209">
    <xf numFmtId="0" fontId="0" fillId="0" borderId="0" xfId="0"/>
    <xf numFmtId="0" fontId="5" fillId="0" borderId="0" xfId="4"/>
    <xf numFmtId="0" fontId="1" fillId="0" borderId="0" xfId="5"/>
    <xf numFmtId="0" fontId="9" fillId="0" borderId="1" xfId="5" applyFont="1" applyBorder="1" applyAlignment="1">
      <alignment horizontal="center" vertical="top" wrapText="1"/>
    </xf>
    <xf numFmtId="0" fontId="20" fillId="0" borderId="0" xfId="4" applyFont="1"/>
    <xf numFmtId="0" fontId="1" fillId="0" borderId="1" xfId="5" applyBorder="1" applyAlignment="1">
      <alignment horizontal="center" vertical="center"/>
    </xf>
    <xf numFmtId="0" fontId="1" fillId="0" borderId="1" xfId="5" applyBorder="1" applyAlignment="1">
      <alignment horizontal="left" vertical="center"/>
    </xf>
    <xf numFmtId="1" fontId="1" fillId="0" borderId="1" xfId="5" applyNumberFormat="1" applyBorder="1" applyAlignment="1">
      <alignment horizontal="center" vertical="center"/>
    </xf>
    <xf numFmtId="166" fontId="1" fillId="0" borderId="1" xfId="6" applyNumberFormat="1" applyFont="1" applyBorder="1" applyAlignment="1">
      <alignment horizontal="right" vertical="center"/>
    </xf>
    <xf numFmtId="0" fontId="1" fillId="0" borderId="1" xfId="5" applyBorder="1" applyAlignment="1">
      <alignment horizontal="left" vertical="center" wrapText="1"/>
    </xf>
    <xf numFmtId="0" fontId="9" fillId="0" borderId="1" xfId="5" applyFont="1" applyBorder="1" applyAlignment="1">
      <alignment horizontal="center" vertical="center"/>
    </xf>
    <xf numFmtId="1" fontId="19" fillId="0" borderId="1" xfId="5" applyNumberFormat="1" applyFont="1" applyBorder="1" applyAlignment="1">
      <alignment horizontal="center" vertical="center"/>
    </xf>
    <xf numFmtId="0" fontId="5" fillId="0" borderId="1" xfId="4" applyBorder="1" applyAlignment="1">
      <alignment horizontal="center" vertical="center"/>
    </xf>
    <xf numFmtId="9" fontId="8" fillId="0" borderId="15" xfId="8" applyFont="1" applyFill="1" applyBorder="1" applyAlignment="1" applyProtection="1">
      <alignment horizontal="center" vertical="top" wrapText="1"/>
      <protection locked="0"/>
    </xf>
    <xf numFmtId="0" fontId="18" fillId="0" borderId="0" xfId="0" applyFont="1" applyProtection="1">
      <protection hidden="1"/>
    </xf>
    <xf numFmtId="0" fontId="15" fillId="0" borderId="1" xfId="1" applyFont="1" applyBorder="1" applyAlignment="1" applyProtection="1">
      <alignment horizontal="center" vertical="top"/>
      <protection locked="0"/>
    </xf>
    <xf numFmtId="0" fontId="18" fillId="0" borderId="10" xfId="0" applyFont="1" applyBorder="1" applyProtection="1">
      <protection hidden="1"/>
    </xf>
    <xf numFmtId="0" fontId="12" fillId="0" borderId="3" xfId="1" applyFont="1" applyBorder="1" applyAlignment="1" applyProtection="1">
      <alignment horizontal="center" vertical="top"/>
      <protection locked="0"/>
    </xf>
    <xf numFmtId="0" fontId="12" fillId="0" borderId="4" xfId="1" applyFont="1" applyBorder="1" applyAlignment="1" applyProtection="1">
      <alignment horizontal="center" vertical="top"/>
      <protection locked="0"/>
    </xf>
    <xf numFmtId="0" fontId="6" fillId="0" borderId="1" xfId="1" applyFont="1" applyBorder="1" applyAlignment="1" applyProtection="1">
      <alignment vertical="top" wrapText="1"/>
      <protection locked="0"/>
    </xf>
    <xf numFmtId="9" fontId="7" fillId="0" borderId="1" xfId="8" applyFont="1" applyFill="1" applyBorder="1" applyAlignment="1" applyProtection="1">
      <alignment horizontal="center" vertical="top" wrapText="1"/>
      <protection locked="0"/>
    </xf>
    <xf numFmtId="9" fontId="7" fillId="0" borderId="6" xfId="8" applyFont="1" applyFill="1" applyBorder="1" applyAlignment="1" applyProtection="1">
      <alignment horizontal="center" vertical="top" wrapText="1"/>
      <protection locked="0"/>
    </xf>
    <xf numFmtId="0" fontId="7" fillId="0" borderId="0" xfId="1" applyFont="1"/>
    <xf numFmtId="0" fontId="15" fillId="0" borderId="0" xfId="1" applyFont="1"/>
    <xf numFmtId="0" fontId="12" fillId="0" borderId="0" xfId="1" applyFont="1"/>
    <xf numFmtId="1" fontId="7" fillId="0" borderId="0" xfId="1" applyNumberFormat="1" applyFont="1"/>
    <xf numFmtId="14" fontId="7" fillId="0" borderId="0" xfId="1" applyNumberFormat="1" applyFont="1"/>
    <xf numFmtId="0" fontId="7" fillId="0" borderId="0" xfId="1" applyFont="1" applyProtection="1">
      <protection hidden="1"/>
    </xf>
    <xf numFmtId="0" fontId="24" fillId="0" borderId="0" xfId="1" applyFont="1"/>
    <xf numFmtId="0" fontId="7" fillId="0" borderId="9" xfId="1" applyFont="1" applyBorder="1"/>
    <xf numFmtId="0" fontId="18" fillId="0" borderId="9" xfId="0" applyFont="1" applyBorder="1" applyProtection="1">
      <protection hidden="1"/>
    </xf>
    <xf numFmtId="1" fontId="0" fillId="0" borderId="9" xfId="0" applyNumberFormat="1" applyBorder="1"/>
    <xf numFmtId="1" fontId="0" fillId="0" borderId="9" xfId="0" applyNumberFormat="1" applyBorder="1" applyAlignment="1">
      <alignment horizontal="right"/>
    </xf>
    <xf numFmtId="1" fontId="0" fillId="0" borderId="11" xfId="0" applyNumberFormat="1" applyBorder="1"/>
    <xf numFmtId="0" fontId="16" fillId="0" borderId="0" xfId="1" applyFont="1"/>
    <xf numFmtId="0" fontId="6" fillId="0" borderId="0" xfId="2" applyFont="1"/>
    <xf numFmtId="0" fontId="7" fillId="0" borderId="0" xfId="0" applyFont="1" applyAlignment="1">
      <alignment horizontal="center" vertical="center"/>
    </xf>
    <xf numFmtId="1" fontId="7" fillId="0" borderId="0" xfId="1" applyNumberFormat="1" applyFont="1" applyAlignment="1">
      <alignment horizontal="center" vertical="center"/>
    </xf>
    <xf numFmtId="0" fontId="7" fillId="0" borderId="0" xfId="1" applyFont="1" applyAlignment="1">
      <alignment horizontal="center" vertical="center"/>
    </xf>
    <xf numFmtId="0" fontId="8" fillId="0" borderId="0" xfId="1" applyFont="1" applyAlignment="1" applyProtection="1">
      <alignment vertical="top"/>
      <protection locked="0"/>
    </xf>
    <xf numFmtId="0" fontId="8" fillId="0" borderId="0" xfId="1" applyFont="1" applyAlignment="1" applyProtection="1">
      <alignment vertical="top" wrapText="1"/>
      <protection locked="0"/>
    </xf>
    <xf numFmtId="0" fontId="7" fillId="0" borderId="0" xfId="1" applyFont="1" applyProtection="1">
      <protection locked="0"/>
    </xf>
    <xf numFmtId="0" fontId="10" fillId="0" borderId="0" xfId="1" applyFont="1" applyProtection="1">
      <protection locked="0"/>
    </xf>
    <xf numFmtId="1" fontId="6" fillId="0" borderId="1" xfId="1" applyNumberFormat="1" applyFont="1" applyBorder="1" applyAlignment="1" applyProtection="1">
      <alignment horizontal="center" vertical="center" wrapText="1"/>
      <protection locked="0"/>
    </xf>
    <xf numFmtId="0" fontId="7" fillId="0" borderId="1" xfId="1" applyFont="1" applyBorder="1" applyAlignment="1" applyProtection="1">
      <alignment horizontal="center" vertical="top" wrapText="1"/>
      <protection locked="0"/>
    </xf>
    <xf numFmtId="0" fontId="7" fillId="0" borderId="6" xfId="1" applyFont="1" applyBorder="1" applyAlignment="1" applyProtection="1">
      <alignment horizontal="center" vertical="top" wrapText="1"/>
      <protection locked="0"/>
    </xf>
    <xf numFmtId="0" fontId="8" fillId="0" borderId="1" xfId="1" applyFont="1" applyBorder="1" applyAlignment="1" applyProtection="1">
      <alignment vertical="top"/>
      <protection locked="0"/>
    </xf>
    <xf numFmtId="1" fontId="6" fillId="0" borderId="1" xfId="0" applyNumberFormat="1" applyFont="1" applyBorder="1" applyAlignment="1" applyProtection="1">
      <alignment horizontal="center" vertical="center" wrapText="1"/>
      <protection locked="0"/>
    </xf>
    <xf numFmtId="0" fontId="12" fillId="0" borderId="1" xfId="1" applyFont="1" applyBorder="1" applyAlignment="1" applyProtection="1">
      <alignment horizontal="center" vertical="top"/>
      <protection locked="0"/>
    </xf>
    <xf numFmtId="0" fontId="6" fillId="0" borderId="1" xfId="1" applyFont="1" applyBorder="1" applyAlignment="1" applyProtection="1">
      <alignment horizontal="center" vertical="top"/>
      <protection locked="0"/>
    </xf>
    <xf numFmtId="0" fontId="25" fillId="2" borderId="29" xfId="0" applyFont="1" applyFill="1" applyBorder="1"/>
    <xf numFmtId="0" fontId="26" fillId="0" borderId="30" xfId="0" applyFont="1" applyBorder="1"/>
    <xf numFmtId="0" fontId="26" fillId="0" borderId="1" xfId="0" applyFont="1" applyBorder="1"/>
    <xf numFmtId="0" fontId="26" fillId="0" borderId="4" xfId="0" applyFont="1" applyBorder="1"/>
    <xf numFmtId="0" fontId="12" fillId="0" borderId="1" xfId="1" applyFont="1" applyBorder="1" applyAlignment="1" applyProtection="1">
      <alignment horizontal="center" vertical="top"/>
      <protection locked="0"/>
    </xf>
    <xf numFmtId="1" fontId="7" fillId="0" borderId="1" xfId="1" applyNumberFormat="1" applyFont="1" applyBorder="1" applyAlignment="1" applyProtection="1">
      <alignment horizontal="center" vertical="top" wrapText="1"/>
      <protection locked="0"/>
    </xf>
    <xf numFmtId="1" fontId="6" fillId="0" borderId="1" xfId="0" applyNumberFormat="1" applyFont="1" applyBorder="1" applyAlignment="1" applyProtection="1">
      <alignment horizontal="center" vertical="center" wrapText="1"/>
      <protection locked="0"/>
    </xf>
    <xf numFmtId="0" fontId="0" fillId="0" borderId="0" xfId="0" applyAlignment="1">
      <alignment horizontal="center" vertical="center"/>
    </xf>
    <xf numFmtId="0" fontId="0" fillId="0" borderId="1" xfId="0" applyBorder="1" applyAlignment="1">
      <alignment horizontal="center" vertical="center"/>
    </xf>
    <xf numFmtId="1" fontId="6" fillId="0" borderId="1" xfId="1" applyNumberFormat="1" applyFont="1" applyBorder="1" applyAlignment="1" applyProtection="1">
      <alignment horizontal="center" vertical="center" wrapText="1"/>
      <protection locked="0"/>
    </xf>
    <xf numFmtId="1" fontId="8" fillId="0" borderId="2" xfId="1" applyNumberFormat="1" applyFont="1" applyBorder="1" applyAlignment="1" applyProtection="1">
      <alignment horizontal="center" vertical="top" wrapText="1"/>
      <protection locked="0"/>
    </xf>
    <xf numFmtId="1" fontId="6" fillId="0" borderId="1" xfId="0" applyNumberFormat="1" applyFont="1" applyBorder="1" applyAlignment="1" applyProtection="1">
      <alignment horizontal="center" vertical="center" wrapText="1"/>
      <protection locked="0"/>
    </xf>
    <xf numFmtId="0" fontId="7" fillId="0" borderId="1" xfId="1" applyFont="1" applyBorder="1" applyAlignment="1" applyProtection="1">
      <alignment vertical="top" wrapText="1"/>
      <protection locked="0"/>
    </xf>
    <xf numFmtId="0" fontId="7" fillId="0" borderId="1" xfId="1" applyFont="1" applyBorder="1" applyAlignment="1" applyProtection="1">
      <alignment horizontal="center" vertical="top"/>
      <protection locked="0"/>
    </xf>
    <xf numFmtId="0" fontId="7" fillId="0" borderId="0" xfId="1" applyFont="1" applyAlignment="1">
      <alignment horizontal="center" vertical="center"/>
    </xf>
    <xf numFmtId="1" fontId="6" fillId="0" borderId="1" xfId="1" applyNumberFormat="1" applyFont="1" applyBorder="1" applyAlignment="1" applyProtection="1">
      <alignment horizontal="center" vertical="center" wrapText="1"/>
      <protection locked="0"/>
    </xf>
    <xf numFmtId="0" fontId="7" fillId="0" borderId="0" xfId="1" applyFont="1" applyAlignment="1">
      <alignment horizontal="center" vertical="center"/>
    </xf>
    <xf numFmtId="1" fontId="6" fillId="0" borderId="1" xfId="1" applyNumberFormat="1" applyFont="1" applyBorder="1" applyAlignment="1" applyProtection="1">
      <alignment horizontal="center" vertical="center" wrapText="1"/>
      <protection locked="0"/>
    </xf>
    <xf numFmtId="1" fontId="7" fillId="0" borderId="1" xfId="1" applyNumberFormat="1" applyFont="1" applyBorder="1" applyAlignment="1">
      <alignment horizontal="center" vertical="center"/>
    </xf>
    <xf numFmtId="0" fontId="25" fillId="2" borderId="14" xfId="0" applyFont="1" applyFill="1" applyBorder="1"/>
    <xf numFmtId="0" fontId="26" fillId="0" borderId="8" xfId="0" applyFont="1" applyBorder="1"/>
    <xf numFmtId="0" fontId="7" fillId="0" borderId="1" xfId="1" applyFont="1" applyBorder="1" applyAlignment="1" applyProtection="1">
      <alignment horizontal="center" vertical="top" wrapText="1"/>
      <protection locked="0"/>
    </xf>
    <xf numFmtId="0" fontId="7" fillId="0" borderId="24" xfId="1" applyFont="1" applyBorder="1" applyAlignment="1">
      <alignment horizontal="center"/>
    </xf>
    <xf numFmtId="0" fontId="7" fillId="0" borderId="0" xfId="1" applyFont="1" applyAlignment="1">
      <alignment horizontal="center"/>
    </xf>
    <xf numFmtId="167" fontId="12" fillId="0" borderId="1" xfId="9" applyNumberFormat="1" applyFont="1" applyFill="1" applyBorder="1" applyAlignment="1" applyProtection="1">
      <alignment horizontal="left" vertical="top"/>
      <protection locked="0"/>
    </xf>
    <xf numFmtId="0" fontId="10" fillId="0" borderId="1" xfId="1" applyFont="1" applyBorder="1" applyAlignment="1" applyProtection="1">
      <alignment horizontal="center" vertical="top"/>
      <protection locked="0"/>
    </xf>
    <xf numFmtId="1" fontId="8" fillId="0" borderId="1" xfId="0" applyNumberFormat="1" applyFont="1" applyBorder="1" applyAlignment="1" applyProtection="1">
      <alignment horizontal="center" vertical="top" wrapText="1"/>
      <protection locked="0"/>
    </xf>
    <xf numFmtId="0" fontId="6" fillId="0" borderId="1" xfId="1" applyFont="1" applyBorder="1" applyAlignment="1" applyProtection="1">
      <alignment horizontal="left" vertical="top"/>
      <protection locked="0"/>
    </xf>
    <xf numFmtId="1" fontId="6" fillId="0" borderId="1" xfId="1" applyNumberFormat="1" applyFont="1" applyBorder="1" applyAlignment="1" applyProtection="1">
      <alignment horizontal="center" vertical="center" wrapText="1"/>
      <protection locked="0"/>
    </xf>
    <xf numFmtId="0" fontId="8" fillId="0" borderId="7" xfId="1" applyFont="1" applyBorder="1" applyAlignment="1" applyProtection="1">
      <alignment horizontal="left" vertical="top" wrapText="1"/>
      <protection locked="0"/>
    </xf>
    <xf numFmtId="0" fontId="8" fillId="0" borderId="20" xfId="1" applyFont="1" applyBorder="1" applyAlignment="1" applyProtection="1">
      <alignment horizontal="left" vertical="top" wrapText="1"/>
      <protection locked="0"/>
    </xf>
    <xf numFmtId="0" fontId="8" fillId="0" borderId="8" xfId="1" applyFont="1" applyBorder="1" applyAlignment="1" applyProtection="1">
      <alignment horizontal="left" vertical="top" wrapText="1"/>
      <protection locked="0"/>
    </xf>
    <xf numFmtId="0" fontId="10" fillId="0" borderId="1" xfId="0" applyFont="1" applyBorder="1" applyAlignment="1" applyProtection="1">
      <alignment horizontal="center" vertical="top" wrapText="1"/>
      <protection locked="0"/>
    </xf>
    <xf numFmtId="0" fontId="10" fillId="0" borderId="1" xfId="0" applyFont="1" applyBorder="1" applyAlignment="1" applyProtection="1">
      <alignment horizontal="center" vertical="center"/>
      <protection locked="0"/>
    </xf>
    <xf numFmtId="0" fontId="6" fillId="0" borderId="1" xfId="1" applyFont="1" applyBorder="1" applyAlignment="1" applyProtection="1">
      <alignment horizontal="left" vertical="top" wrapText="1"/>
      <protection locked="0"/>
    </xf>
    <xf numFmtId="2" fontId="6" fillId="0" borderId="1" xfId="1" applyNumberFormat="1" applyFont="1" applyBorder="1" applyAlignment="1" applyProtection="1">
      <alignment horizontal="left" vertical="top"/>
      <protection locked="0"/>
    </xf>
    <xf numFmtId="0" fontId="8" fillId="0" borderId="21" xfId="1" applyFont="1" applyBorder="1" applyAlignment="1" applyProtection="1">
      <alignment horizontal="left" vertical="top" wrapText="1"/>
      <protection locked="0"/>
    </xf>
    <xf numFmtId="0" fontId="8" fillId="0" borderId="14" xfId="1" applyFont="1" applyBorder="1" applyAlignment="1" applyProtection="1">
      <alignment horizontal="left" vertical="top" wrapText="1"/>
      <protection locked="0"/>
    </xf>
    <xf numFmtId="0" fontId="8" fillId="0" borderId="12" xfId="1" applyFont="1" applyBorder="1" applyAlignment="1" applyProtection="1">
      <alignment horizontal="left" vertical="top" wrapText="1"/>
      <protection locked="0"/>
    </xf>
    <xf numFmtId="0" fontId="8" fillId="0" borderId="13" xfId="1" applyFont="1" applyBorder="1" applyAlignment="1" applyProtection="1">
      <alignment horizontal="left" vertical="top" wrapText="1"/>
      <protection locked="0"/>
    </xf>
    <xf numFmtId="0" fontId="8" fillId="0" borderId="22" xfId="1" applyFont="1" applyBorder="1" applyAlignment="1" applyProtection="1">
      <alignment horizontal="left" vertical="top" wrapText="1"/>
      <protection locked="0"/>
    </xf>
    <xf numFmtId="0" fontId="7" fillId="0" borderId="3" xfId="1" applyFont="1" applyBorder="1" applyAlignment="1" applyProtection="1">
      <alignment horizontal="center" vertical="top" wrapText="1"/>
      <protection locked="0"/>
    </xf>
    <xf numFmtId="0" fontId="7" fillId="0" borderId="1" xfId="1" applyFont="1" applyBorder="1" applyAlignment="1" applyProtection="1">
      <alignment horizontal="center" vertical="top" wrapText="1"/>
      <protection locked="0"/>
    </xf>
    <xf numFmtId="0" fontId="6" fillId="0" borderId="7" xfId="1" applyFont="1" applyBorder="1" applyAlignment="1" applyProtection="1">
      <alignment horizontal="left" vertical="top" wrapText="1"/>
      <protection locked="0"/>
    </xf>
    <xf numFmtId="0" fontId="6" fillId="0" borderId="8" xfId="1" applyFont="1" applyBorder="1" applyAlignment="1" applyProtection="1">
      <alignment horizontal="left" vertical="top" wrapText="1"/>
      <protection locked="0"/>
    </xf>
    <xf numFmtId="0" fontId="6" fillId="0" borderId="20" xfId="1" applyFont="1" applyBorder="1" applyAlignment="1" applyProtection="1">
      <alignment horizontal="left" vertical="top" wrapText="1"/>
      <protection locked="0"/>
    </xf>
    <xf numFmtId="14" fontId="6" fillId="0" borderId="7" xfId="1" applyNumberFormat="1" applyFont="1" applyBorder="1" applyAlignment="1" applyProtection="1">
      <alignment horizontal="left" vertical="top" wrapText="1"/>
      <protection locked="0"/>
    </xf>
    <xf numFmtId="14" fontId="7" fillId="0" borderId="7" xfId="1" applyNumberFormat="1" applyFont="1" applyBorder="1" applyAlignment="1" applyProtection="1">
      <alignment horizontal="left" vertical="top" wrapText="1"/>
      <protection locked="0"/>
    </xf>
    <xf numFmtId="0" fontId="7" fillId="0" borderId="8" xfId="1" applyFont="1" applyBorder="1" applyAlignment="1" applyProtection="1">
      <alignment horizontal="left" vertical="top" wrapText="1"/>
      <protection locked="0"/>
    </xf>
    <xf numFmtId="0" fontId="8" fillId="0" borderId="1" xfId="1" applyFont="1" applyBorder="1" applyAlignment="1" applyProtection="1">
      <alignment vertical="top"/>
      <protection locked="0"/>
    </xf>
    <xf numFmtId="0" fontId="12" fillId="0" borderId="1" xfId="1" applyFont="1" applyBorder="1" applyAlignment="1" applyProtection="1">
      <alignment horizontal="left" vertical="top" wrapText="1"/>
      <protection locked="0"/>
    </xf>
    <xf numFmtId="0" fontId="12" fillId="0" borderId="1" xfId="1" applyFont="1" applyBorder="1" applyAlignment="1" applyProtection="1">
      <alignment horizontal="left" vertical="top"/>
      <protection locked="0"/>
    </xf>
    <xf numFmtId="0" fontId="7" fillId="0" borderId="1" xfId="1" applyFont="1" applyBorder="1" applyAlignment="1" applyProtection="1">
      <alignment horizontal="left" vertical="top"/>
      <protection locked="0"/>
    </xf>
    <xf numFmtId="14" fontId="8" fillId="0" borderId="7" xfId="1" applyNumberFormat="1" applyFont="1" applyBorder="1" applyAlignment="1" applyProtection="1">
      <alignment horizontal="left" vertical="top"/>
      <protection locked="0"/>
    </xf>
    <xf numFmtId="0" fontId="8" fillId="0" borderId="8" xfId="1" applyFont="1" applyBorder="1" applyAlignment="1" applyProtection="1">
      <alignment horizontal="left" vertical="top"/>
      <protection locked="0"/>
    </xf>
    <xf numFmtId="0" fontId="7" fillId="0" borderId="7" xfId="1" applyFont="1" applyBorder="1" applyAlignment="1" applyProtection="1">
      <alignment horizontal="left" vertical="top" wrapText="1"/>
      <protection locked="0"/>
    </xf>
    <xf numFmtId="0" fontId="7" fillId="0" borderId="20" xfId="1" applyFont="1" applyBorder="1" applyAlignment="1" applyProtection="1">
      <alignment horizontal="left" vertical="top" wrapText="1"/>
      <protection locked="0"/>
    </xf>
    <xf numFmtId="0" fontId="6" fillId="0" borderId="16" xfId="1" applyFont="1" applyBorder="1" applyAlignment="1" applyProtection="1">
      <alignment horizontal="left" vertical="top" wrapText="1"/>
      <protection locked="0"/>
    </xf>
    <xf numFmtId="0" fontId="6" fillId="0" borderId="17" xfId="1" applyFont="1" applyBorder="1" applyAlignment="1" applyProtection="1">
      <alignment horizontal="left" vertical="top" wrapText="1"/>
      <protection locked="0"/>
    </xf>
    <xf numFmtId="0" fontId="6" fillId="0" borderId="18" xfId="1" applyFont="1" applyBorder="1" applyAlignment="1" applyProtection="1">
      <alignment horizontal="left" vertical="top" wrapText="1"/>
      <protection locked="0"/>
    </xf>
    <xf numFmtId="0" fontId="6" fillId="0" borderId="19" xfId="1" applyFont="1" applyBorder="1" applyAlignment="1" applyProtection="1">
      <alignment horizontal="left" vertical="top" wrapText="1"/>
      <protection locked="0"/>
    </xf>
    <xf numFmtId="0" fontId="8" fillId="0" borderId="16" xfId="1" applyFont="1" applyBorder="1" applyAlignment="1" applyProtection="1">
      <alignment horizontal="left" vertical="top" wrapText="1"/>
      <protection locked="0"/>
    </xf>
    <xf numFmtId="0" fontId="8" fillId="0" borderId="17" xfId="1" applyFont="1" applyBorder="1" applyAlignment="1" applyProtection="1">
      <alignment horizontal="left" vertical="top" wrapText="1"/>
      <protection locked="0"/>
    </xf>
    <xf numFmtId="0" fontId="8" fillId="0" borderId="18" xfId="1" applyFont="1" applyBorder="1" applyAlignment="1" applyProtection="1">
      <alignment horizontal="left" vertical="top" wrapText="1"/>
      <protection locked="0"/>
    </xf>
    <xf numFmtId="0" fontId="8" fillId="0" borderId="19" xfId="1" applyFont="1" applyBorder="1" applyAlignment="1" applyProtection="1">
      <alignment horizontal="left" vertical="top" wrapText="1"/>
      <protection locked="0"/>
    </xf>
    <xf numFmtId="0" fontId="12" fillId="0" borderId="16" xfId="1" applyFont="1" applyBorder="1" applyAlignment="1" applyProtection="1">
      <alignment horizontal="left" vertical="top" wrapText="1"/>
      <protection locked="0"/>
    </xf>
    <xf numFmtId="0" fontId="12" fillId="0" borderId="23" xfId="1" applyFont="1" applyBorder="1" applyAlignment="1" applyProtection="1">
      <alignment horizontal="left" vertical="top" wrapText="1"/>
      <protection locked="0"/>
    </xf>
    <xf numFmtId="0" fontId="6" fillId="0" borderId="1" xfId="1" applyFont="1" applyBorder="1" applyAlignment="1" applyProtection="1">
      <alignment vertical="top"/>
      <protection locked="0"/>
    </xf>
    <xf numFmtId="1" fontId="6" fillId="0" borderId="7" xfId="1" applyNumberFormat="1" applyFont="1" applyBorder="1" applyAlignment="1" applyProtection="1">
      <alignment horizontal="center" vertical="center" wrapText="1"/>
      <protection locked="0"/>
    </xf>
    <xf numFmtId="1" fontId="6" fillId="0" borderId="8" xfId="1" applyNumberFormat="1" applyFont="1" applyBorder="1" applyAlignment="1" applyProtection="1">
      <alignment horizontal="center" vertical="center" wrapText="1"/>
      <protection locked="0"/>
    </xf>
    <xf numFmtId="1" fontId="8" fillId="0" borderId="2" xfId="1" applyNumberFormat="1" applyFont="1" applyBorder="1" applyAlignment="1" applyProtection="1">
      <alignment horizontal="center" vertical="top" wrapText="1"/>
      <protection locked="0"/>
    </xf>
    <xf numFmtId="1" fontId="8" fillId="0" borderId="15" xfId="1" applyNumberFormat="1" applyFont="1" applyBorder="1" applyAlignment="1" applyProtection="1">
      <alignment horizontal="center" vertical="top" wrapText="1"/>
      <protection locked="0"/>
    </xf>
    <xf numFmtId="1" fontId="10" fillId="0" borderId="2" xfId="1" applyNumberFormat="1" applyFont="1" applyBorder="1" applyAlignment="1" applyProtection="1">
      <alignment horizontal="center" vertical="top" wrapText="1"/>
      <protection locked="0"/>
    </xf>
    <xf numFmtId="1" fontId="10" fillId="0" borderId="15" xfId="1" applyNumberFormat="1" applyFont="1" applyBorder="1" applyAlignment="1" applyProtection="1">
      <alignment horizontal="center" vertical="top" wrapText="1"/>
      <protection locked="0"/>
    </xf>
    <xf numFmtId="1" fontId="7" fillId="0" borderId="1" xfId="0" applyNumberFormat="1" applyFont="1" applyBorder="1" applyAlignment="1" applyProtection="1">
      <alignment horizontal="center" vertical="top" wrapText="1"/>
      <protection locked="0"/>
    </xf>
    <xf numFmtId="0" fontId="7" fillId="0" borderId="1" xfId="0" applyFont="1" applyBorder="1" applyAlignment="1" applyProtection="1">
      <alignment horizontal="center" vertical="top" wrapText="1"/>
      <protection locked="0"/>
    </xf>
    <xf numFmtId="0" fontId="7" fillId="0" borderId="5" xfId="1" applyFont="1" applyBorder="1" applyAlignment="1" applyProtection="1">
      <alignment horizontal="center" vertical="top" wrapText="1"/>
      <protection locked="0"/>
    </xf>
    <xf numFmtId="0" fontId="7" fillId="0" borderId="6" xfId="1" applyFont="1" applyBorder="1" applyAlignment="1" applyProtection="1">
      <alignment horizontal="center" vertical="top" wrapText="1"/>
      <protection locked="0"/>
    </xf>
    <xf numFmtId="1" fontId="8" fillId="0" borderId="7" xfId="1" applyNumberFormat="1" applyFont="1" applyBorder="1" applyAlignment="1" applyProtection="1">
      <alignment horizontal="center" vertical="center" wrapText="1"/>
      <protection locked="0"/>
    </xf>
    <xf numFmtId="1" fontId="8" fillId="0" borderId="20" xfId="1" applyNumberFormat="1" applyFont="1" applyBorder="1" applyAlignment="1" applyProtection="1">
      <alignment horizontal="center" vertical="center" wrapText="1"/>
      <protection locked="0"/>
    </xf>
    <xf numFmtId="1" fontId="8" fillId="0" borderId="8" xfId="1" applyNumberFormat="1" applyFont="1" applyBorder="1" applyAlignment="1" applyProtection="1">
      <alignment horizontal="center" vertical="center" wrapText="1"/>
      <protection locked="0"/>
    </xf>
    <xf numFmtId="1" fontId="13" fillId="0" borderId="7" xfId="0" applyNumberFormat="1" applyFont="1" applyBorder="1" applyAlignment="1" applyProtection="1">
      <alignment vertical="top" wrapText="1"/>
      <protection locked="0"/>
    </xf>
    <xf numFmtId="1" fontId="13" fillId="0" borderId="20" xfId="0" applyNumberFormat="1" applyFont="1" applyBorder="1" applyAlignment="1" applyProtection="1">
      <alignment vertical="top" wrapText="1"/>
      <protection locked="0"/>
    </xf>
    <xf numFmtId="1" fontId="13" fillId="0" borderId="8" xfId="0" applyNumberFormat="1" applyFont="1" applyBorder="1" applyAlignment="1" applyProtection="1">
      <alignment vertical="top" wrapText="1"/>
      <protection locked="0"/>
    </xf>
    <xf numFmtId="1" fontId="8" fillId="0" borderId="7" xfId="0" applyNumberFormat="1" applyFont="1" applyBorder="1" applyAlignment="1" applyProtection="1">
      <alignment vertical="top" wrapText="1"/>
      <protection locked="0"/>
    </xf>
    <xf numFmtId="1" fontId="8" fillId="0" borderId="20" xfId="0" applyNumberFormat="1" applyFont="1" applyBorder="1" applyAlignment="1" applyProtection="1">
      <alignment vertical="top" wrapText="1"/>
      <protection locked="0"/>
    </xf>
    <xf numFmtId="1" fontId="8" fillId="0" borderId="8" xfId="0" applyNumberFormat="1" applyFont="1" applyBorder="1" applyAlignment="1" applyProtection="1">
      <alignment vertical="top" wrapText="1"/>
      <protection locked="0"/>
    </xf>
    <xf numFmtId="1" fontId="10" fillId="0" borderId="7" xfId="0" applyNumberFormat="1" applyFont="1" applyBorder="1" applyAlignment="1" applyProtection="1">
      <alignment vertical="top" wrapText="1"/>
      <protection locked="0"/>
    </xf>
    <xf numFmtId="1" fontId="10" fillId="0" borderId="20" xfId="0" applyNumberFormat="1" applyFont="1" applyBorder="1" applyAlignment="1" applyProtection="1">
      <alignment vertical="top" wrapText="1"/>
      <protection locked="0"/>
    </xf>
    <xf numFmtId="1" fontId="10" fillId="0" borderId="8" xfId="0" applyNumberFormat="1" applyFont="1" applyBorder="1" applyAlignment="1" applyProtection="1">
      <alignment vertical="top" wrapText="1"/>
      <protection locked="0"/>
    </xf>
    <xf numFmtId="1" fontId="8" fillId="0" borderId="1" xfId="0" applyNumberFormat="1" applyFont="1" applyBorder="1" applyAlignment="1" applyProtection="1">
      <alignment horizontal="left" vertical="top" wrapText="1"/>
      <protection locked="0"/>
    </xf>
    <xf numFmtId="0" fontId="7" fillId="0" borderId="4" xfId="1" applyFont="1" applyBorder="1" applyAlignment="1" applyProtection="1">
      <alignment horizontal="center" vertical="top" wrapText="1"/>
      <protection locked="0"/>
    </xf>
    <xf numFmtId="9" fontId="7" fillId="0" borderId="16" xfId="8" applyFont="1" applyFill="1" applyBorder="1" applyAlignment="1" applyProtection="1">
      <alignment horizontal="center" vertical="center" wrapText="1"/>
      <protection locked="0"/>
    </xf>
    <xf numFmtId="9" fontId="7" fillId="0" borderId="17" xfId="8" applyFont="1" applyFill="1" applyBorder="1" applyAlignment="1" applyProtection="1">
      <alignment horizontal="center" vertical="center" wrapText="1"/>
      <protection locked="0"/>
    </xf>
    <xf numFmtId="9" fontId="7" fillId="0" borderId="24" xfId="8" applyFont="1" applyFill="1" applyBorder="1" applyAlignment="1" applyProtection="1">
      <alignment horizontal="center" vertical="center" wrapText="1"/>
      <protection locked="0"/>
    </xf>
    <xf numFmtId="9" fontId="7" fillId="0" borderId="25" xfId="8" applyFont="1" applyFill="1" applyBorder="1" applyAlignment="1" applyProtection="1">
      <alignment horizontal="center" vertical="center" wrapText="1"/>
      <protection locked="0"/>
    </xf>
    <xf numFmtId="9" fontId="7" fillId="0" borderId="27" xfId="8" applyFont="1" applyFill="1" applyBorder="1" applyAlignment="1" applyProtection="1">
      <alignment horizontal="center" vertical="center" wrapText="1"/>
      <protection locked="0"/>
    </xf>
    <xf numFmtId="9" fontId="7" fillId="0" borderId="28" xfId="8" applyFont="1" applyFill="1" applyBorder="1" applyAlignment="1" applyProtection="1">
      <alignment horizontal="center" vertical="center" wrapText="1"/>
      <protection locked="0"/>
    </xf>
    <xf numFmtId="0" fontId="8" fillId="0" borderId="1" xfId="1" applyFont="1" applyBorder="1" applyAlignment="1" applyProtection="1">
      <alignment horizontal="center" vertical="top"/>
      <protection locked="0"/>
    </xf>
    <xf numFmtId="1" fontId="8" fillId="0" borderId="1" xfId="0" applyNumberFormat="1" applyFont="1" applyBorder="1" applyAlignment="1" applyProtection="1">
      <alignment horizontal="center" vertical="center" wrapText="1"/>
      <protection locked="0"/>
    </xf>
    <xf numFmtId="1" fontId="10" fillId="0" borderId="1" xfId="0" applyNumberFormat="1" applyFont="1" applyBorder="1" applyAlignment="1" applyProtection="1">
      <alignment horizontal="center" vertical="top" wrapText="1"/>
      <protection locked="0"/>
    </xf>
    <xf numFmtId="0" fontId="13" fillId="0" borderId="1" xfId="1" applyFont="1" applyBorder="1" applyAlignment="1" applyProtection="1">
      <alignment horizontal="center" vertical="top" wrapText="1"/>
      <protection locked="0"/>
    </xf>
    <xf numFmtId="0" fontId="14" fillId="0" borderId="1" xfId="1" applyFont="1" applyBorder="1" applyAlignment="1" applyProtection="1">
      <alignment horizontal="center" vertical="top" wrapText="1"/>
      <protection locked="0"/>
    </xf>
    <xf numFmtId="0" fontId="16" fillId="0" borderId="1" xfId="1" applyFont="1" applyBorder="1" applyAlignment="1" applyProtection="1">
      <alignment horizontal="center" vertical="top" wrapText="1"/>
      <protection locked="0"/>
    </xf>
    <xf numFmtId="167" fontId="7" fillId="0" borderId="1" xfId="9" applyNumberFormat="1" applyFont="1" applyFill="1" applyBorder="1" applyAlignment="1" applyProtection="1">
      <alignment horizontal="left" vertical="top"/>
      <protection locked="0"/>
    </xf>
    <xf numFmtId="0" fontId="8" fillId="0" borderId="1" xfId="1" applyFont="1" applyBorder="1" applyAlignment="1" applyProtection="1">
      <alignment horizontal="left" vertical="top"/>
      <protection locked="0"/>
    </xf>
    <xf numFmtId="1" fontId="6" fillId="0" borderId="1" xfId="0" applyNumberFormat="1" applyFont="1" applyBorder="1" applyAlignment="1" applyProtection="1">
      <alignment horizontal="center" vertical="center" wrapText="1"/>
      <protection locked="0"/>
    </xf>
    <xf numFmtId="0" fontId="7" fillId="0" borderId="1" xfId="1" applyFont="1" applyBorder="1" applyAlignment="1" applyProtection="1">
      <alignment horizontal="left" vertical="top" wrapText="1"/>
      <protection locked="0"/>
    </xf>
    <xf numFmtId="0" fontId="13" fillId="0" borderId="1" xfId="1" applyFont="1" applyBorder="1" applyAlignment="1" applyProtection="1">
      <alignment horizontal="left" vertical="top"/>
      <protection locked="0"/>
    </xf>
    <xf numFmtId="0" fontId="8" fillId="0" borderId="1" xfId="1" applyFont="1" applyBorder="1" applyAlignment="1" applyProtection="1">
      <alignment horizontal="left" vertical="top" wrapText="1"/>
      <protection locked="0"/>
    </xf>
    <xf numFmtId="0" fontId="11" fillId="0" borderId="1" xfId="1" applyFont="1" applyBorder="1" applyAlignment="1" applyProtection="1">
      <alignment horizontal="center" vertical="top" wrapText="1"/>
      <protection locked="0"/>
    </xf>
    <xf numFmtId="14" fontId="12" fillId="0" borderId="1" xfId="1" applyNumberFormat="1" applyFont="1" applyBorder="1" applyAlignment="1" applyProtection="1">
      <alignment horizontal="left" vertical="top"/>
      <protection locked="0"/>
    </xf>
    <xf numFmtId="0" fontId="12" fillId="0" borderId="7" xfId="1" applyFont="1" applyBorder="1" applyAlignment="1" applyProtection="1">
      <alignment horizontal="center" vertical="top"/>
      <protection locked="0"/>
    </xf>
    <xf numFmtId="0" fontId="12" fillId="0" borderId="20" xfId="1" applyFont="1" applyBorder="1" applyAlignment="1" applyProtection="1">
      <alignment horizontal="center" vertical="top"/>
      <protection locked="0"/>
    </xf>
    <xf numFmtId="0" fontId="12" fillId="0" borderId="8" xfId="1" applyFont="1" applyBorder="1" applyAlignment="1" applyProtection="1">
      <alignment horizontal="center" vertical="top"/>
      <protection locked="0"/>
    </xf>
    <xf numFmtId="0" fontId="7" fillId="0" borderId="1" xfId="1" applyFont="1" applyBorder="1" applyAlignment="1" applyProtection="1">
      <alignment horizontal="left"/>
      <protection locked="0"/>
    </xf>
    <xf numFmtId="0" fontId="12" fillId="0" borderId="1" xfId="1" applyFont="1" applyBorder="1" applyAlignment="1" applyProtection="1">
      <alignment horizontal="center" vertical="center" wrapText="1"/>
      <protection locked="0"/>
    </xf>
    <xf numFmtId="0" fontId="12" fillId="0" borderId="1" xfId="1" applyFont="1" applyBorder="1" applyAlignment="1" applyProtection="1">
      <alignment horizontal="center"/>
      <protection locked="0"/>
    </xf>
    <xf numFmtId="0" fontId="13" fillId="0" borderId="7" xfId="1" applyFont="1" applyBorder="1" applyAlignment="1" applyProtection="1">
      <alignment horizontal="center" vertical="top"/>
      <protection locked="0"/>
    </xf>
    <xf numFmtId="0" fontId="13" fillId="0" borderId="20" xfId="1" applyFont="1" applyBorder="1" applyAlignment="1" applyProtection="1">
      <alignment horizontal="center" vertical="top"/>
      <protection locked="0"/>
    </xf>
    <xf numFmtId="0" fontId="13" fillId="0" borderId="8" xfId="1" applyFont="1" applyBorder="1" applyAlignment="1" applyProtection="1">
      <alignment horizontal="center" vertical="top"/>
      <protection locked="0"/>
    </xf>
    <xf numFmtId="0" fontId="13" fillId="0" borderId="1" xfId="1" applyFont="1" applyBorder="1" applyAlignment="1" applyProtection="1">
      <alignment horizontal="center"/>
      <protection locked="0"/>
    </xf>
    <xf numFmtId="0" fontId="12" fillId="0" borderId="1" xfId="1" applyFont="1" applyBorder="1" applyAlignment="1" applyProtection="1">
      <alignment horizontal="center" vertical="center"/>
      <protection locked="0"/>
    </xf>
    <xf numFmtId="9" fontId="7" fillId="0" borderId="26" xfId="8" applyFont="1" applyFill="1" applyBorder="1" applyAlignment="1" applyProtection="1">
      <alignment horizontal="center" vertical="center" wrapText="1"/>
      <protection locked="0"/>
    </xf>
    <xf numFmtId="9" fontId="7" fillId="0" borderId="9" xfId="8" applyFont="1" applyFill="1" applyBorder="1" applyAlignment="1" applyProtection="1">
      <alignment horizontal="center" vertical="center" wrapText="1"/>
      <protection locked="0"/>
    </xf>
    <xf numFmtId="9" fontId="7" fillId="0" borderId="11" xfId="8" applyFont="1" applyFill="1" applyBorder="1" applyAlignment="1" applyProtection="1">
      <alignment horizontal="center" vertical="center" wrapText="1"/>
      <protection locked="0"/>
    </xf>
    <xf numFmtId="2" fontId="6" fillId="0" borderId="1" xfId="1" applyNumberFormat="1" applyFont="1" applyBorder="1" applyAlignment="1" applyProtection="1">
      <alignment horizontal="left" vertical="top" wrapText="1"/>
      <protection locked="0"/>
    </xf>
    <xf numFmtId="1" fontId="6" fillId="0" borderId="1" xfId="1" applyNumberFormat="1" applyFont="1" applyBorder="1" applyAlignment="1" applyProtection="1">
      <alignment horizontal="left" vertical="top" wrapText="1"/>
      <protection locked="0"/>
    </xf>
    <xf numFmtId="164" fontId="6" fillId="0" borderId="1" xfId="1" applyNumberFormat="1" applyFont="1" applyBorder="1" applyAlignment="1" applyProtection="1">
      <alignment horizontal="left" vertical="top"/>
      <protection locked="0"/>
    </xf>
    <xf numFmtId="0" fontId="13" fillId="0" borderId="3" xfId="1" applyFont="1" applyBorder="1" applyAlignment="1" applyProtection="1">
      <alignment horizontal="left" vertical="top"/>
      <protection locked="0"/>
    </xf>
    <xf numFmtId="0" fontId="27" fillId="0" borderId="24" xfId="10" applyBorder="1" applyAlignment="1">
      <alignment horizontal="center"/>
    </xf>
    <xf numFmtId="0" fontId="7" fillId="0" borderId="0" xfId="1" applyFont="1" applyAlignment="1">
      <alignment horizontal="center" vertical="center"/>
    </xf>
    <xf numFmtId="0" fontId="7" fillId="0" borderId="1" xfId="0" applyFont="1" applyBorder="1" applyAlignment="1" applyProtection="1">
      <alignment horizontal="center" vertical="center"/>
      <protection locked="0"/>
    </xf>
    <xf numFmtId="1" fontId="8" fillId="0" borderId="1" xfId="1" applyNumberFormat="1" applyFont="1" applyBorder="1" applyAlignment="1" applyProtection="1">
      <alignment horizontal="center" vertical="center" wrapText="1"/>
      <protection locked="0"/>
    </xf>
    <xf numFmtId="1" fontId="4" fillId="0" borderId="2" xfId="1" applyNumberFormat="1" applyFont="1" applyBorder="1" applyAlignment="1" applyProtection="1">
      <alignment horizontal="center" vertical="top" wrapText="1"/>
      <protection locked="0"/>
    </xf>
    <xf numFmtId="1" fontId="4" fillId="0" borderId="15" xfId="1" applyNumberFormat="1" applyFont="1" applyBorder="1" applyAlignment="1" applyProtection="1">
      <alignment horizontal="center" vertical="top" wrapText="1"/>
      <protection locked="0"/>
    </xf>
    <xf numFmtId="0" fontId="12" fillId="0" borderId="17" xfId="1" applyFont="1" applyBorder="1" applyAlignment="1" applyProtection="1">
      <alignment horizontal="left" vertical="top" wrapText="1"/>
      <protection locked="0"/>
    </xf>
    <xf numFmtId="0" fontId="30" fillId="0" borderId="1" xfId="10" applyFont="1" applyFill="1" applyBorder="1" applyAlignment="1" applyProtection="1">
      <alignment horizontal="left" vertical="top" wrapText="1"/>
      <protection locked="0"/>
    </xf>
    <xf numFmtId="0" fontId="31" fillId="0" borderId="1" xfId="1" applyFont="1" applyBorder="1" applyAlignment="1" applyProtection="1">
      <alignment horizontal="left" vertical="top" wrapText="1"/>
      <protection locked="0"/>
    </xf>
    <xf numFmtId="1" fontId="7" fillId="0" borderId="1" xfId="0" applyNumberFormat="1" applyFont="1" applyBorder="1" applyAlignment="1" applyProtection="1">
      <alignment horizontal="center" vertical="center"/>
      <protection locked="0"/>
    </xf>
    <xf numFmtId="0" fontId="13" fillId="0" borderId="1" xfId="1" applyFont="1" applyBorder="1" applyAlignment="1" applyProtection="1">
      <alignment horizontal="left" vertical="top" wrapText="1"/>
      <protection locked="0"/>
    </xf>
    <xf numFmtId="0" fontId="13" fillId="0" borderId="4" xfId="1" applyFont="1" applyBorder="1" applyAlignment="1" applyProtection="1">
      <alignment horizontal="left" vertical="top" wrapText="1"/>
      <protection locked="0"/>
    </xf>
    <xf numFmtId="0" fontId="10" fillId="0" borderId="1" xfId="1" applyFont="1" applyBorder="1" applyAlignment="1" applyProtection="1">
      <alignment horizontal="left" vertical="top" wrapText="1"/>
      <protection locked="0"/>
    </xf>
    <xf numFmtId="0" fontId="10" fillId="0" borderId="7" xfId="1" applyFont="1" applyBorder="1" applyAlignment="1" applyProtection="1">
      <alignment horizontal="left" vertical="top" wrapText="1"/>
      <protection locked="0"/>
    </xf>
    <xf numFmtId="0" fontId="10" fillId="0" borderId="20" xfId="1" applyFont="1" applyBorder="1" applyAlignment="1" applyProtection="1">
      <alignment horizontal="left" vertical="top"/>
      <protection locked="0"/>
    </xf>
    <xf numFmtId="0" fontId="10" fillId="0" borderId="8" xfId="1" applyFont="1" applyBorder="1" applyAlignment="1" applyProtection="1">
      <alignment horizontal="left" vertical="top"/>
      <protection locked="0"/>
    </xf>
    <xf numFmtId="0" fontId="8" fillId="0" borderId="15" xfId="1" applyFont="1" applyBorder="1" applyAlignment="1" applyProtection="1">
      <alignment horizontal="left" vertical="top"/>
      <protection locked="0"/>
    </xf>
    <xf numFmtId="0" fontId="8" fillId="0" borderId="15" xfId="1" applyFont="1" applyBorder="1" applyAlignment="1" applyProtection="1">
      <alignment horizontal="center" vertical="top"/>
      <protection locked="0"/>
    </xf>
    <xf numFmtId="1" fontId="17" fillId="0" borderId="7" xfId="0" applyNumberFormat="1" applyFont="1" applyBorder="1" applyAlignment="1" applyProtection="1">
      <alignment vertical="top" wrapText="1"/>
      <protection locked="0"/>
    </xf>
    <xf numFmtId="1" fontId="17" fillId="0" borderId="20" xfId="0" applyNumberFormat="1" applyFont="1" applyBorder="1" applyAlignment="1" applyProtection="1">
      <alignment vertical="top" wrapText="1"/>
      <protection locked="0"/>
    </xf>
    <xf numFmtId="1" fontId="17" fillId="0" borderId="8" xfId="0" applyNumberFormat="1" applyFont="1" applyBorder="1" applyAlignment="1" applyProtection="1">
      <alignment vertical="top" wrapText="1"/>
      <protection locked="0"/>
    </xf>
    <xf numFmtId="1" fontId="10" fillId="0" borderId="1" xfId="0" applyNumberFormat="1" applyFont="1" applyBorder="1" applyAlignment="1" applyProtection="1">
      <alignment horizontal="center" vertical="center"/>
      <protection locked="0"/>
    </xf>
    <xf numFmtId="1" fontId="8" fillId="0" borderId="16" xfId="1" applyNumberFormat="1" applyFont="1" applyBorder="1" applyAlignment="1" applyProtection="1">
      <alignment horizontal="center" vertical="top" wrapText="1"/>
      <protection locked="0"/>
    </xf>
    <xf numFmtId="1" fontId="8" fillId="0" borderId="18" xfId="1" applyNumberFormat="1" applyFont="1" applyBorder="1" applyAlignment="1" applyProtection="1">
      <alignment horizontal="center" vertical="top" wrapText="1"/>
      <protection locked="0"/>
    </xf>
    <xf numFmtId="0" fontId="9" fillId="0" borderId="1" xfId="5" applyFont="1" applyBorder="1" applyAlignment="1">
      <alignment horizontal="left"/>
    </xf>
    <xf numFmtId="0" fontId="8" fillId="0" borderId="31" xfId="1" applyFont="1" applyBorder="1" applyAlignment="1" applyProtection="1">
      <alignment horizontal="left" vertical="top" wrapText="1"/>
      <protection locked="0"/>
    </xf>
    <xf numFmtId="0" fontId="8" fillId="0" borderId="32" xfId="1" applyFont="1" applyBorder="1" applyAlignment="1" applyProtection="1">
      <alignment horizontal="left" vertical="top" wrapText="1"/>
      <protection locked="0"/>
    </xf>
    <xf numFmtId="0" fontId="8" fillId="0" borderId="33" xfId="1" applyFont="1" applyBorder="1" applyAlignment="1" applyProtection="1">
      <alignment horizontal="left" vertical="top" wrapText="1"/>
      <protection locked="0"/>
    </xf>
    <xf numFmtId="9" fontId="7" fillId="0" borderId="1" xfId="8" applyFont="1" applyFill="1" applyBorder="1" applyAlignment="1" applyProtection="1">
      <alignment horizontal="center" vertical="center" wrapText="1"/>
      <protection locked="0"/>
    </xf>
  </cellXfs>
  <cellStyles count="11">
    <cellStyle name="Comma" xfId="9" builtinId="3"/>
    <cellStyle name="Comma 2" xfId="6"/>
    <cellStyle name="Excel Built-in Normal" xfId="2"/>
    <cellStyle name="Excel Built-in Normal 2" xfId="4"/>
    <cellStyle name="Hyperlink" xfId="10" builtinId="8"/>
    <cellStyle name="Normal" xfId="0" builtinId="0"/>
    <cellStyle name="Normal 2" xfId="3"/>
    <cellStyle name="Normal 3" xfId="1"/>
    <cellStyle name="Normal 3 3" xfId="7"/>
    <cellStyle name="Normal 4" xfId="5"/>
    <cellStyle name="Percent" xfId="8"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 Id="rId9" Type="http://schemas.openxmlformats.org/officeDocument/2006/relationships/image" Target="../media/image9.png"/></Relationships>
</file>

<file path=xl/drawings/_rels/drawing2.xml.rels><?xml version="1.0" encoding="UTF-8" standalone="yes"?>
<Relationships xmlns="http://schemas.openxmlformats.org/package/2006/relationships"><Relationship Id="rId1" Type="http://schemas.openxmlformats.org/officeDocument/2006/relationships/image" Target="../media/image12.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11.png"/><Relationship Id="rId1"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editAs="oneCell">
    <xdr:from>
      <xdr:col>0</xdr:col>
      <xdr:colOff>528205</xdr:colOff>
      <xdr:row>281</xdr:row>
      <xdr:rowOff>31173</xdr:rowOff>
    </xdr:from>
    <xdr:to>
      <xdr:col>7</xdr:col>
      <xdr:colOff>256500</xdr:colOff>
      <xdr:row>300</xdr:row>
      <xdr:rowOff>98524</xdr:rowOff>
    </xdr:to>
    <xdr:pic>
      <xdr:nvPicPr>
        <xdr:cNvPr id="13" name="Picture 12"/>
        <xdr:cNvPicPr>
          <a:picLocks noChangeAspect="1"/>
        </xdr:cNvPicPr>
      </xdr:nvPicPr>
      <xdr:blipFill rotWithShape="1">
        <a:blip xmlns:r="http://schemas.openxmlformats.org/officeDocument/2006/relationships" r:embed="rId1"/>
        <a:srcRect l="26032" t="23113" r="20796" b="9434"/>
        <a:stretch/>
      </xdr:blipFill>
      <xdr:spPr>
        <a:xfrm>
          <a:off x="528205" y="65987468"/>
          <a:ext cx="5400000" cy="3851373"/>
        </a:xfrm>
        <a:prstGeom prst="rect">
          <a:avLst/>
        </a:prstGeom>
        <a:ln w="9525">
          <a:solidFill>
            <a:schemeClr val="tx1"/>
          </a:solidFill>
        </a:ln>
      </xdr:spPr>
    </xdr:pic>
    <xdr:clientData/>
  </xdr:twoCellAnchor>
  <xdr:twoCellAnchor editAs="oneCell">
    <xdr:from>
      <xdr:col>1</xdr:col>
      <xdr:colOff>306205</xdr:colOff>
      <xdr:row>265</xdr:row>
      <xdr:rowOff>17318</xdr:rowOff>
    </xdr:from>
    <xdr:to>
      <xdr:col>6</xdr:col>
      <xdr:colOff>478500</xdr:colOff>
      <xdr:row>280</xdr:row>
      <xdr:rowOff>51505</xdr:rowOff>
    </xdr:to>
    <xdr:pic>
      <xdr:nvPicPr>
        <xdr:cNvPr id="14" name="Picture 13"/>
        <xdr:cNvPicPr>
          <a:picLocks noChangeAspect="1"/>
        </xdr:cNvPicPr>
      </xdr:nvPicPr>
      <xdr:blipFill rotWithShape="1">
        <a:blip xmlns:r="http://schemas.openxmlformats.org/officeDocument/2006/relationships" r:embed="rId2"/>
        <a:srcRect l="31735" t="25943" r="21059" b="15330"/>
        <a:stretch/>
      </xdr:blipFill>
      <xdr:spPr>
        <a:xfrm>
          <a:off x="1068205" y="62787068"/>
          <a:ext cx="4320000" cy="3021574"/>
        </a:xfrm>
        <a:prstGeom prst="rect">
          <a:avLst/>
        </a:prstGeom>
        <a:ln w="9525">
          <a:solidFill>
            <a:schemeClr val="tx1"/>
          </a:solidFill>
        </a:ln>
      </xdr:spPr>
    </xdr:pic>
    <xdr:clientData/>
  </xdr:twoCellAnchor>
  <xdr:twoCellAnchor>
    <xdr:from>
      <xdr:col>2</xdr:col>
      <xdr:colOff>714967</xdr:colOff>
      <xdr:row>292</xdr:row>
      <xdr:rowOff>35596</xdr:rowOff>
    </xdr:from>
    <xdr:to>
      <xdr:col>3</xdr:col>
      <xdr:colOff>195509</xdr:colOff>
      <xdr:row>293</xdr:row>
      <xdr:rowOff>55644</xdr:rowOff>
    </xdr:to>
    <xdr:sp macro="" textlink="">
      <xdr:nvSpPr>
        <xdr:cNvPr id="15" name="Rectangle 14"/>
        <xdr:cNvSpPr/>
      </xdr:nvSpPr>
      <xdr:spPr>
        <a:xfrm rot="20902964">
          <a:off x="2273603" y="68182641"/>
          <a:ext cx="329133" cy="219208"/>
        </a:xfrm>
        <a:prstGeom prst="rect">
          <a:avLst/>
        </a:prstGeom>
        <a:no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a:p>
      </xdr:txBody>
    </xdr:sp>
    <xdr:clientData/>
  </xdr:twoCellAnchor>
  <xdr:twoCellAnchor>
    <xdr:from>
      <xdr:col>2</xdr:col>
      <xdr:colOff>421794</xdr:colOff>
      <xdr:row>292</xdr:row>
      <xdr:rowOff>188890</xdr:rowOff>
    </xdr:from>
    <xdr:to>
      <xdr:col>4</xdr:col>
      <xdr:colOff>429587</xdr:colOff>
      <xdr:row>294</xdr:row>
      <xdr:rowOff>70776</xdr:rowOff>
    </xdr:to>
    <xdr:sp macro="" textlink="">
      <xdr:nvSpPr>
        <xdr:cNvPr id="16" name="TextBox 7"/>
        <xdr:cNvSpPr txBox="1"/>
      </xdr:nvSpPr>
      <xdr:spPr>
        <a:xfrm rot="20817324">
          <a:off x="1980430" y="68335935"/>
          <a:ext cx="1800225" cy="280205"/>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200" b="1">
              <a:solidFill>
                <a:srgbClr val="FFFF00"/>
              </a:solidFill>
            </a:rPr>
            <a:t>Wing F1(Natali)</a:t>
          </a:r>
          <a:endParaRPr lang="en-IN" sz="1200" b="1">
            <a:solidFill>
              <a:srgbClr val="FFFF00"/>
            </a:solidFill>
          </a:endParaRPr>
        </a:p>
      </xdr:txBody>
    </xdr:sp>
    <xdr:clientData/>
  </xdr:twoCellAnchor>
  <xdr:twoCellAnchor editAs="oneCell">
    <xdr:from>
      <xdr:col>1</xdr:col>
      <xdr:colOff>644775</xdr:colOff>
      <xdr:row>225</xdr:row>
      <xdr:rowOff>28575</xdr:rowOff>
    </xdr:from>
    <xdr:to>
      <xdr:col>6</xdr:col>
      <xdr:colOff>91875</xdr:colOff>
      <xdr:row>237</xdr:row>
      <xdr:rowOff>77142</xdr:rowOff>
    </xdr:to>
    <xdr:pic>
      <xdr:nvPicPr>
        <xdr:cNvPr id="22" name="Picture 21"/>
        <xdr:cNvPicPr>
          <a:picLocks noChangeAspect="1"/>
        </xdr:cNvPicPr>
      </xdr:nvPicPr>
      <xdr:blipFill rotWithShape="1">
        <a:blip xmlns:r="http://schemas.openxmlformats.org/officeDocument/2006/relationships" r:embed="rId3"/>
        <a:srcRect t="2856"/>
        <a:stretch/>
      </xdr:blipFill>
      <xdr:spPr>
        <a:xfrm>
          <a:off x="1406775" y="44367450"/>
          <a:ext cx="3600000" cy="2448866"/>
        </a:xfrm>
        <a:prstGeom prst="rect">
          <a:avLst/>
        </a:prstGeom>
        <a:ln w="9525">
          <a:solidFill>
            <a:schemeClr val="tx1"/>
          </a:solidFill>
        </a:ln>
      </xdr:spPr>
    </xdr:pic>
    <xdr:clientData/>
  </xdr:twoCellAnchor>
  <xdr:twoCellAnchor editAs="oneCell">
    <xdr:from>
      <xdr:col>1</xdr:col>
      <xdr:colOff>104775</xdr:colOff>
      <xdr:row>238</xdr:row>
      <xdr:rowOff>44127</xdr:rowOff>
    </xdr:from>
    <xdr:to>
      <xdr:col>6</xdr:col>
      <xdr:colOff>631875</xdr:colOff>
      <xdr:row>259</xdr:row>
      <xdr:rowOff>143794</xdr:rowOff>
    </xdr:to>
    <xdr:pic>
      <xdr:nvPicPr>
        <xdr:cNvPr id="23" name="Picture 22"/>
        <xdr:cNvPicPr>
          <a:picLocks noChangeAspect="1"/>
        </xdr:cNvPicPr>
      </xdr:nvPicPr>
      <xdr:blipFill>
        <a:blip xmlns:r="http://schemas.openxmlformats.org/officeDocument/2006/relationships" r:embed="rId4"/>
        <a:stretch>
          <a:fillRect/>
        </a:stretch>
      </xdr:blipFill>
      <xdr:spPr>
        <a:xfrm>
          <a:off x="866775" y="46983327"/>
          <a:ext cx="4680000" cy="4300193"/>
        </a:xfrm>
        <a:prstGeom prst="rect">
          <a:avLst/>
        </a:prstGeom>
        <a:ln w="9525">
          <a:solidFill>
            <a:schemeClr val="tx1"/>
          </a:solidFill>
        </a:ln>
      </xdr:spPr>
    </xdr:pic>
    <xdr:clientData/>
  </xdr:twoCellAnchor>
  <xdr:twoCellAnchor>
    <xdr:from>
      <xdr:col>1</xdr:col>
      <xdr:colOff>443017</xdr:colOff>
      <xdr:row>252</xdr:row>
      <xdr:rowOff>81271</xdr:rowOff>
    </xdr:from>
    <xdr:to>
      <xdr:col>2</xdr:col>
      <xdr:colOff>128042</xdr:colOff>
      <xdr:row>253</xdr:row>
      <xdr:rowOff>182656</xdr:rowOff>
    </xdr:to>
    <xdr:sp macro="" textlink="">
      <xdr:nvSpPr>
        <xdr:cNvPr id="24" name="Rectangle 23"/>
        <xdr:cNvSpPr/>
      </xdr:nvSpPr>
      <xdr:spPr>
        <a:xfrm>
          <a:off x="1205017" y="49820821"/>
          <a:ext cx="485125" cy="301410"/>
        </a:xfrm>
        <a:prstGeom prst="rect">
          <a:avLst/>
        </a:prstGeom>
        <a:no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a:p>
      </xdr:txBody>
    </xdr:sp>
    <xdr:clientData/>
  </xdr:twoCellAnchor>
  <xdr:twoCellAnchor>
    <xdr:from>
      <xdr:col>1</xdr:col>
      <xdr:colOff>443017</xdr:colOff>
      <xdr:row>251</xdr:row>
      <xdr:rowOff>18820</xdr:rowOff>
    </xdr:from>
    <xdr:to>
      <xdr:col>2</xdr:col>
      <xdr:colOff>613168</xdr:colOff>
      <xdr:row>252</xdr:row>
      <xdr:rowOff>81271</xdr:rowOff>
    </xdr:to>
    <xdr:sp macro="" textlink="">
      <xdr:nvSpPr>
        <xdr:cNvPr id="25" name="TextBox 5"/>
        <xdr:cNvSpPr txBox="1"/>
      </xdr:nvSpPr>
      <xdr:spPr>
        <a:xfrm>
          <a:off x="1205017" y="49558345"/>
          <a:ext cx="970251" cy="26247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100">
              <a:solidFill>
                <a:srgbClr val="C00000"/>
              </a:solidFill>
            </a:rPr>
            <a:t>Wing F1</a:t>
          </a:r>
          <a:endParaRPr lang="en-IN" sz="1100">
            <a:solidFill>
              <a:srgbClr val="C00000"/>
            </a:solidFill>
          </a:endParaRPr>
        </a:p>
      </xdr:txBody>
    </xdr:sp>
    <xdr:clientData/>
  </xdr:twoCellAnchor>
  <xdr:twoCellAnchor editAs="oneCell">
    <xdr:from>
      <xdr:col>8</xdr:col>
      <xdr:colOff>323850</xdr:colOff>
      <xdr:row>135</xdr:row>
      <xdr:rowOff>123825</xdr:rowOff>
    </xdr:from>
    <xdr:to>
      <xdr:col>15</xdr:col>
      <xdr:colOff>104100</xdr:colOff>
      <xdr:row>146</xdr:row>
      <xdr:rowOff>61140</xdr:rowOff>
    </xdr:to>
    <xdr:pic>
      <xdr:nvPicPr>
        <xdr:cNvPr id="2" name="Picture 1"/>
        <xdr:cNvPicPr>
          <a:picLocks noChangeAspect="1"/>
        </xdr:cNvPicPr>
      </xdr:nvPicPr>
      <xdr:blipFill>
        <a:blip xmlns:r="http://schemas.openxmlformats.org/officeDocument/2006/relationships" r:embed="rId5"/>
        <a:stretch>
          <a:fillRect/>
        </a:stretch>
      </xdr:blipFill>
      <xdr:spPr>
        <a:xfrm>
          <a:off x="6791325" y="24326850"/>
          <a:ext cx="5400000" cy="2137590"/>
        </a:xfrm>
        <a:prstGeom prst="rect">
          <a:avLst/>
        </a:prstGeom>
      </xdr:spPr>
    </xdr:pic>
    <xdr:clientData/>
  </xdr:twoCellAnchor>
  <xdr:twoCellAnchor editAs="oneCell">
    <xdr:from>
      <xdr:col>11</xdr:col>
      <xdr:colOff>249733</xdr:colOff>
      <xdr:row>157</xdr:row>
      <xdr:rowOff>61631</xdr:rowOff>
    </xdr:from>
    <xdr:to>
      <xdr:col>19</xdr:col>
      <xdr:colOff>24379</xdr:colOff>
      <xdr:row>169</xdr:row>
      <xdr:rowOff>137192</xdr:rowOff>
    </xdr:to>
    <xdr:pic>
      <xdr:nvPicPr>
        <xdr:cNvPr id="3" name="Picture 2"/>
        <xdr:cNvPicPr>
          <a:picLocks noChangeAspect="1"/>
        </xdr:cNvPicPr>
      </xdr:nvPicPr>
      <xdr:blipFill rotWithShape="1">
        <a:blip xmlns:r="http://schemas.openxmlformats.org/officeDocument/2006/relationships" r:embed="rId6"/>
        <a:srcRect t="20972" r="12079" b="7538"/>
        <a:stretch/>
      </xdr:blipFill>
      <xdr:spPr>
        <a:xfrm>
          <a:off x="9360115" y="29241749"/>
          <a:ext cx="5377588" cy="2485199"/>
        </a:xfrm>
        <a:prstGeom prst="rect">
          <a:avLst/>
        </a:prstGeom>
      </xdr:spPr>
    </xdr:pic>
    <xdr:clientData/>
  </xdr:twoCellAnchor>
  <xdr:twoCellAnchor>
    <xdr:from>
      <xdr:col>10</xdr:col>
      <xdr:colOff>463107</xdr:colOff>
      <xdr:row>187</xdr:row>
      <xdr:rowOff>149695</xdr:rowOff>
    </xdr:from>
    <xdr:to>
      <xdr:col>12</xdr:col>
      <xdr:colOff>985</xdr:colOff>
      <xdr:row>189</xdr:row>
      <xdr:rowOff>129368</xdr:rowOff>
    </xdr:to>
    <xdr:sp macro="" textlink="">
      <xdr:nvSpPr>
        <xdr:cNvPr id="26" name="TextBox 10"/>
        <xdr:cNvSpPr txBox="1"/>
      </xdr:nvSpPr>
      <xdr:spPr>
        <a:xfrm>
          <a:off x="8867519" y="35930077"/>
          <a:ext cx="949819" cy="383085"/>
        </a:xfrm>
        <a:prstGeom prst="rect">
          <a:avLst/>
        </a:prstGeom>
        <a:solidFill>
          <a:schemeClr val="bg1">
            <a:lumMod val="75000"/>
          </a:schemeClr>
        </a:solid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b="1"/>
            <a:t>Wing F1</a:t>
          </a:r>
          <a:endParaRPr lang="en-IN" b="1"/>
        </a:p>
      </xdr:txBody>
    </xdr:sp>
    <xdr:clientData/>
  </xdr:twoCellAnchor>
  <xdr:twoCellAnchor>
    <xdr:from>
      <xdr:col>10</xdr:col>
      <xdr:colOff>0</xdr:colOff>
      <xdr:row>193</xdr:row>
      <xdr:rowOff>0</xdr:rowOff>
    </xdr:from>
    <xdr:to>
      <xdr:col>11</xdr:col>
      <xdr:colOff>247957</xdr:colOff>
      <xdr:row>194</xdr:row>
      <xdr:rowOff>176523</xdr:rowOff>
    </xdr:to>
    <xdr:sp macro="" textlink="">
      <xdr:nvSpPr>
        <xdr:cNvPr id="19" name="TextBox 10"/>
        <xdr:cNvSpPr txBox="1"/>
      </xdr:nvSpPr>
      <xdr:spPr>
        <a:xfrm>
          <a:off x="8801100" y="35655250"/>
          <a:ext cx="984557" cy="373373"/>
        </a:xfrm>
        <a:prstGeom prst="rect">
          <a:avLst/>
        </a:prstGeom>
        <a:solidFill>
          <a:schemeClr val="bg1">
            <a:lumMod val="75000"/>
          </a:schemeClr>
        </a:solid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b="1"/>
            <a:t>Wing F1</a:t>
          </a:r>
          <a:endParaRPr lang="en-IN" b="1"/>
        </a:p>
      </xdr:txBody>
    </xdr:sp>
    <xdr:clientData/>
  </xdr:twoCellAnchor>
  <xdr:twoCellAnchor>
    <xdr:from>
      <xdr:col>10</xdr:col>
      <xdr:colOff>629466</xdr:colOff>
      <xdr:row>194</xdr:row>
      <xdr:rowOff>118873</xdr:rowOff>
    </xdr:from>
    <xdr:to>
      <xdr:col>11</xdr:col>
      <xdr:colOff>206631</xdr:colOff>
      <xdr:row>196</xdr:row>
      <xdr:rowOff>163696</xdr:rowOff>
    </xdr:to>
    <xdr:cxnSp macro="">
      <xdr:nvCxnSpPr>
        <xdr:cNvPr id="20" name="Straight Arrow Connector 19"/>
        <xdr:cNvCxnSpPr/>
      </xdr:nvCxnSpPr>
      <xdr:spPr>
        <a:xfrm>
          <a:off x="9430566" y="35970973"/>
          <a:ext cx="313765" cy="438523"/>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234950</xdr:colOff>
      <xdr:row>186</xdr:row>
      <xdr:rowOff>76200</xdr:rowOff>
    </xdr:from>
    <xdr:to>
      <xdr:col>7</xdr:col>
      <xdr:colOff>12526</xdr:colOff>
      <xdr:row>219</xdr:row>
      <xdr:rowOff>194798</xdr:rowOff>
    </xdr:to>
    <xdr:grpSp>
      <xdr:nvGrpSpPr>
        <xdr:cNvPr id="4" name="Group 3"/>
        <xdr:cNvGrpSpPr/>
      </xdr:nvGrpSpPr>
      <xdr:grpSpPr>
        <a:xfrm>
          <a:off x="1035050" y="34163000"/>
          <a:ext cx="4933776" cy="6608298"/>
          <a:chOff x="1035050" y="34163000"/>
          <a:chExt cx="4933776" cy="6608298"/>
        </a:xfrm>
      </xdr:grpSpPr>
      <xdr:pic>
        <xdr:nvPicPr>
          <xdr:cNvPr id="21" name="Picture 20"/>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a:ext>
            </a:extLst>
          </a:blip>
          <a:stretch>
            <a:fillRect/>
          </a:stretch>
        </xdr:blipFill>
        <xdr:spPr>
          <a:xfrm>
            <a:off x="3571048" y="38971298"/>
            <a:ext cx="2397778" cy="1800000"/>
          </a:xfrm>
          <a:prstGeom prst="rect">
            <a:avLst/>
          </a:prstGeom>
          <a:ln>
            <a:solidFill>
              <a:schemeClr val="tx1"/>
            </a:solidFill>
          </a:ln>
        </xdr:spPr>
      </xdr:pic>
      <xdr:pic>
        <xdr:nvPicPr>
          <xdr:cNvPr id="27" name="Picture 26"/>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a:ext>
            </a:extLst>
          </a:blip>
          <a:stretch>
            <a:fillRect/>
          </a:stretch>
        </xdr:blipFill>
        <xdr:spPr>
          <a:xfrm>
            <a:off x="1701960" y="34163000"/>
            <a:ext cx="3506345" cy="4680000"/>
          </a:xfrm>
          <a:prstGeom prst="rect">
            <a:avLst/>
          </a:prstGeom>
          <a:ln>
            <a:solidFill>
              <a:schemeClr val="tx1"/>
            </a:solidFill>
          </a:ln>
        </xdr:spPr>
      </xdr:pic>
      <xdr:pic>
        <xdr:nvPicPr>
          <xdr:cNvPr id="28" name="Picture 27"/>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a:ext>
            </a:extLst>
          </a:blip>
          <a:stretch>
            <a:fillRect/>
          </a:stretch>
        </xdr:blipFill>
        <xdr:spPr>
          <a:xfrm>
            <a:off x="1035050" y="38971298"/>
            <a:ext cx="2397778" cy="1800000"/>
          </a:xfrm>
          <a:prstGeom prst="rect">
            <a:avLst/>
          </a:prstGeom>
          <a:ln>
            <a:solidFill>
              <a:schemeClr val="tx1"/>
            </a:solidFill>
          </a:ln>
        </xdr:spPr>
      </xdr:pic>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493058</xdr:colOff>
      <xdr:row>1</xdr:row>
      <xdr:rowOff>168088</xdr:rowOff>
    </xdr:from>
    <xdr:to>
      <xdr:col>14</xdr:col>
      <xdr:colOff>253521</xdr:colOff>
      <xdr:row>24</xdr:row>
      <xdr:rowOff>95382</xdr:rowOff>
    </xdr:to>
    <xdr:pic>
      <xdr:nvPicPr>
        <xdr:cNvPr id="2" name="Picture 1"/>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6269"/>
        <a:stretch/>
      </xdr:blipFill>
      <xdr:spPr>
        <a:xfrm>
          <a:off x="9905999" y="358588"/>
          <a:ext cx="3256698" cy="4320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7" Type="http://schemas.openxmlformats.org/officeDocument/2006/relationships/comments" Target="../comments1.xml"/><Relationship Id="rId2" Type="http://schemas.openxmlformats.org/officeDocument/2006/relationships/hyperlink" Target="https://www.quikr.com/homes/project/tharwani-solitaire-phase-i+kalyan-west+mumbai+33921" TargetMode="External"/><Relationship Id="rId1" Type="http://schemas.openxmlformats.org/officeDocument/2006/relationships/hyperlink" Target="https://maps.app.goo.gl/XVYjSMjtmjvR7Bx76" TargetMode="External"/><Relationship Id="rId6" Type="http://schemas.openxmlformats.org/officeDocument/2006/relationships/vmlDrawing" Target="../drawings/vmlDrawing2.v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pageSetUpPr fitToPage="1"/>
  </sheetPr>
  <dimension ref="A1:Z265"/>
  <sheetViews>
    <sheetView tabSelected="1" view="pageBreakPreview" topLeftCell="A164" zoomScaleNormal="100" zoomScaleSheetLayoutView="100" zoomScalePageLayoutView="85" workbookViewId="0">
      <selection activeCell="L70" sqref="L70"/>
    </sheetView>
  </sheetViews>
  <sheetFormatPr defaultColWidth="9.1796875" defaultRowHeight="15.5" x14ac:dyDescent="0.35"/>
  <cols>
    <col min="1" max="1" width="11.453125" style="41" customWidth="1"/>
    <col min="2" max="2" width="12" style="41" customWidth="1"/>
    <col min="3" max="3" width="12.7265625" style="41" customWidth="1"/>
    <col min="4" max="4" width="14.1796875" style="41" customWidth="1"/>
    <col min="5" max="6" width="11.7265625" style="41" customWidth="1"/>
    <col min="7" max="7" width="11.453125" style="41" customWidth="1"/>
    <col min="8" max="8" width="11.81640625" style="41" customWidth="1"/>
    <col min="9" max="9" width="17.453125" style="22" customWidth="1"/>
    <col min="10" max="10" width="11.453125" style="22" customWidth="1"/>
    <col min="11" max="11" width="10.54296875" style="22" bestFit="1" customWidth="1"/>
    <col min="12" max="12" width="10.54296875" style="22" customWidth="1"/>
    <col min="13" max="13" width="11.81640625" style="22" customWidth="1"/>
    <col min="14" max="14" width="12.54296875" style="22" customWidth="1"/>
    <col min="15" max="15" width="9.81640625" style="22" customWidth="1"/>
    <col min="16" max="16" width="11.7265625" style="22" customWidth="1"/>
    <col min="17" max="247" width="9.1796875" style="22"/>
    <col min="248" max="248" width="8.7265625" style="22" customWidth="1"/>
    <col min="249" max="249" width="9.81640625" style="22" customWidth="1"/>
    <col min="250" max="250" width="14.453125" style="22" customWidth="1"/>
    <col min="251" max="251" width="7.26953125" style="22" customWidth="1"/>
    <col min="252" max="252" width="5.54296875" style="22" customWidth="1"/>
    <col min="253" max="253" width="9" style="22" customWidth="1"/>
    <col min="254" max="255" width="9.81640625" style="22" customWidth="1"/>
    <col min="256" max="256" width="11.1796875" style="22" customWidth="1"/>
    <col min="257" max="257" width="2.81640625" style="22" customWidth="1"/>
    <col min="258" max="258" width="3.54296875" style="22" customWidth="1"/>
    <col min="259" max="503" width="9.1796875" style="22"/>
    <col min="504" max="504" width="8.7265625" style="22" customWidth="1"/>
    <col min="505" max="505" width="9.81640625" style="22" customWidth="1"/>
    <col min="506" max="506" width="14.453125" style="22" customWidth="1"/>
    <col min="507" max="507" width="7.26953125" style="22" customWidth="1"/>
    <col min="508" max="508" width="5.54296875" style="22" customWidth="1"/>
    <col min="509" max="509" width="9" style="22" customWidth="1"/>
    <col min="510" max="511" width="9.81640625" style="22" customWidth="1"/>
    <col min="512" max="512" width="11.1796875" style="22" customWidth="1"/>
    <col min="513" max="513" width="2.81640625" style="22" customWidth="1"/>
    <col min="514" max="514" width="3.54296875" style="22" customWidth="1"/>
    <col min="515" max="759" width="9.1796875" style="22"/>
    <col min="760" max="760" width="8.7265625" style="22" customWidth="1"/>
    <col min="761" max="761" width="9.81640625" style="22" customWidth="1"/>
    <col min="762" max="762" width="14.453125" style="22" customWidth="1"/>
    <col min="763" max="763" width="7.26953125" style="22" customWidth="1"/>
    <col min="764" max="764" width="5.54296875" style="22" customWidth="1"/>
    <col min="765" max="765" width="9" style="22" customWidth="1"/>
    <col min="766" max="767" width="9.81640625" style="22" customWidth="1"/>
    <col min="768" max="768" width="11.1796875" style="22" customWidth="1"/>
    <col min="769" max="769" width="2.81640625" style="22" customWidth="1"/>
    <col min="770" max="770" width="3.54296875" style="22" customWidth="1"/>
    <col min="771" max="1015" width="9.1796875" style="22"/>
    <col min="1016" max="1016" width="8.7265625" style="22" customWidth="1"/>
    <col min="1017" max="1017" width="9.81640625" style="22" customWidth="1"/>
    <col min="1018" max="1018" width="14.453125" style="22" customWidth="1"/>
    <col min="1019" max="1019" width="7.26953125" style="22" customWidth="1"/>
    <col min="1020" max="1020" width="5.54296875" style="22" customWidth="1"/>
    <col min="1021" max="1021" width="9" style="22" customWidth="1"/>
    <col min="1022" max="1023" width="9.81640625" style="22" customWidth="1"/>
    <col min="1024" max="1024" width="11.1796875" style="22" customWidth="1"/>
    <col min="1025" max="1025" width="2.81640625" style="22" customWidth="1"/>
    <col min="1026" max="1026" width="3.54296875" style="22" customWidth="1"/>
    <col min="1027" max="1271" width="9.1796875" style="22"/>
    <col min="1272" max="1272" width="8.7265625" style="22" customWidth="1"/>
    <col min="1273" max="1273" width="9.81640625" style="22" customWidth="1"/>
    <col min="1274" max="1274" width="14.453125" style="22" customWidth="1"/>
    <col min="1275" max="1275" width="7.26953125" style="22" customWidth="1"/>
    <col min="1276" max="1276" width="5.54296875" style="22" customWidth="1"/>
    <col min="1277" max="1277" width="9" style="22" customWidth="1"/>
    <col min="1278" max="1279" width="9.81640625" style="22" customWidth="1"/>
    <col min="1280" max="1280" width="11.1796875" style="22" customWidth="1"/>
    <col min="1281" max="1281" width="2.81640625" style="22" customWidth="1"/>
    <col min="1282" max="1282" width="3.54296875" style="22" customWidth="1"/>
    <col min="1283" max="1527" width="9.1796875" style="22"/>
    <col min="1528" max="1528" width="8.7265625" style="22" customWidth="1"/>
    <col min="1529" max="1529" width="9.81640625" style="22" customWidth="1"/>
    <col min="1530" max="1530" width="14.453125" style="22" customWidth="1"/>
    <col min="1531" max="1531" width="7.26953125" style="22" customWidth="1"/>
    <col min="1532" max="1532" width="5.54296875" style="22" customWidth="1"/>
    <col min="1533" max="1533" width="9" style="22" customWidth="1"/>
    <col min="1534" max="1535" width="9.81640625" style="22" customWidth="1"/>
    <col min="1536" max="1536" width="11.1796875" style="22" customWidth="1"/>
    <col min="1537" max="1537" width="2.81640625" style="22" customWidth="1"/>
    <col min="1538" max="1538" width="3.54296875" style="22" customWidth="1"/>
    <col min="1539" max="1783" width="9.1796875" style="22"/>
    <col min="1784" max="1784" width="8.7265625" style="22" customWidth="1"/>
    <col min="1785" max="1785" width="9.81640625" style="22" customWidth="1"/>
    <col min="1786" max="1786" width="14.453125" style="22" customWidth="1"/>
    <col min="1787" max="1787" width="7.26953125" style="22" customWidth="1"/>
    <col min="1788" max="1788" width="5.54296875" style="22" customWidth="1"/>
    <col min="1789" max="1789" width="9" style="22" customWidth="1"/>
    <col min="1790" max="1791" width="9.81640625" style="22" customWidth="1"/>
    <col min="1792" max="1792" width="11.1796875" style="22" customWidth="1"/>
    <col min="1793" max="1793" width="2.81640625" style="22" customWidth="1"/>
    <col min="1794" max="1794" width="3.54296875" style="22" customWidth="1"/>
    <col min="1795" max="2039" width="9.1796875" style="22"/>
    <col min="2040" max="2040" width="8.7265625" style="22" customWidth="1"/>
    <col min="2041" max="2041" width="9.81640625" style="22" customWidth="1"/>
    <col min="2042" max="2042" width="14.453125" style="22" customWidth="1"/>
    <col min="2043" max="2043" width="7.26953125" style="22" customWidth="1"/>
    <col min="2044" max="2044" width="5.54296875" style="22" customWidth="1"/>
    <col min="2045" max="2045" width="9" style="22" customWidth="1"/>
    <col min="2046" max="2047" width="9.81640625" style="22" customWidth="1"/>
    <col min="2048" max="2048" width="11.1796875" style="22" customWidth="1"/>
    <col min="2049" max="2049" width="2.81640625" style="22" customWidth="1"/>
    <col min="2050" max="2050" width="3.54296875" style="22" customWidth="1"/>
    <col min="2051" max="2295" width="9.1796875" style="22"/>
    <col min="2296" max="2296" width="8.7265625" style="22" customWidth="1"/>
    <col min="2297" max="2297" width="9.81640625" style="22" customWidth="1"/>
    <col min="2298" max="2298" width="14.453125" style="22" customWidth="1"/>
    <col min="2299" max="2299" width="7.26953125" style="22" customWidth="1"/>
    <col min="2300" max="2300" width="5.54296875" style="22" customWidth="1"/>
    <col min="2301" max="2301" width="9" style="22" customWidth="1"/>
    <col min="2302" max="2303" width="9.81640625" style="22" customWidth="1"/>
    <col min="2304" max="2304" width="11.1796875" style="22" customWidth="1"/>
    <col min="2305" max="2305" width="2.81640625" style="22" customWidth="1"/>
    <col min="2306" max="2306" width="3.54296875" style="22" customWidth="1"/>
    <col min="2307" max="2551" width="9.1796875" style="22"/>
    <col min="2552" max="2552" width="8.7265625" style="22" customWidth="1"/>
    <col min="2553" max="2553" width="9.81640625" style="22" customWidth="1"/>
    <col min="2554" max="2554" width="14.453125" style="22" customWidth="1"/>
    <col min="2555" max="2555" width="7.26953125" style="22" customWidth="1"/>
    <col min="2556" max="2556" width="5.54296875" style="22" customWidth="1"/>
    <col min="2557" max="2557" width="9" style="22" customWidth="1"/>
    <col min="2558" max="2559" width="9.81640625" style="22" customWidth="1"/>
    <col min="2560" max="2560" width="11.1796875" style="22" customWidth="1"/>
    <col min="2561" max="2561" width="2.81640625" style="22" customWidth="1"/>
    <col min="2562" max="2562" width="3.54296875" style="22" customWidth="1"/>
    <col min="2563" max="2807" width="9.1796875" style="22"/>
    <col min="2808" max="2808" width="8.7265625" style="22" customWidth="1"/>
    <col min="2809" max="2809" width="9.81640625" style="22" customWidth="1"/>
    <col min="2810" max="2810" width="14.453125" style="22" customWidth="1"/>
    <col min="2811" max="2811" width="7.26953125" style="22" customWidth="1"/>
    <col min="2812" max="2812" width="5.54296875" style="22" customWidth="1"/>
    <col min="2813" max="2813" width="9" style="22" customWidth="1"/>
    <col min="2814" max="2815" width="9.81640625" style="22" customWidth="1"/>
    <col min="2816" max="2816" width="11.1796875" style="22" customWidth="1"/>
    <col min="2817" max="2817" width="2.81640625" style="22" customWidth="1"/>
    <col min="2818" max="2818" width="3.54296875" style="22" customWidth="1"/>
    <col min="2819" max="3063" width="9.1796875" style="22"/>
    <col min="3064" max="3064" width="8.7265625" style="22" customWidth="1"/>
    <col min="3065" max="3065" width="9.81640625" style="22" customWidth="1"/>
    <col min="3066" max="3066" width="14.453125" style="22" customWidth="1"/>
    <col min="3067" max="3067" width="7.26953125" style="22" customWidth="1"/>
    <col min="3068" max="3068" width="5.54296875" style="22" customWidth="1"/>
    <col min="3069" max="3069" width="9" style="22" customWidth="1"/>
    <col min="3070" max="3071" width="9.81640625" style="22" customWidth="1"/>
    <col min="3072" max="3072" width="11.1796875" style="22" customWidth="1"/>
    <col min="3073" max="3073" width="2.81640625" style="22" customWidth="1"/>
    <col min="3074" max="3074" width="3.54296875" style="22" customWidth="1"/>
    <col min="3075" max="3319" width="9.1796875" style="22"/>
    <col min="3320" max="3320" width="8.7265625" style="22" customWidth="1"/>
    <col min="3321" max="3321" width="9.81640625" style="22" customWidth="1"/>
    <col min="3322" max="3322" width="14.453125" style="22" customWidth="1"/>
    <col min="3323" max="3323" width="7.26953125" style="22" customWidth="1"/>
    <col min="3324" max="3324" width="5.54296875" style="22" customWidth="1"/>
    <col min="3325" max="3325" width="9" style="22" customWidth="1"/>
    <col min="3326" max="3327" width="9.81640625" style="22" customWidth="1"/>
    <col min="3328" max="3328" width="11.1796875" style="22" customWidth="1"/>
    <col min="3329" max="3329" width="2.81640625" style="22" customWidth="1"/>
    <col min="3330" max="3330" width="3.54296875" style="22" customWidth="1"/>
    <col min="3331" max="3575" width="9.1796875" style="22"/>
    <col min="3576" max="3576" width="8.7265625" style="22" customWidth="1"/>
    <col min="3577" max="3577" width="9.81640625" style="22" customWidth="1"/>
    <col min="3578" max="3578" width="14.453125" style="22" customWidth="1"/>
    <col min="3579" max="3579" width="7.26953125" style="22" customWidth="1"/>
    <col min="3580" max="3580" width="5.54296875" style="22" customWidth="1"/>
    <col min="3581" max="3581" width="9" style="22" customWidth="1"/>
    <col min="3582" max="3583" width="9.81640625" style="22" customWidth="1"/>
    <col min="3584" max="3584" width="11.1796875" style="22" customWidth="1"/>
    <col min="3585" max="3585" width="2.81640625" style="22" customWidth="1"/>
    <col min="3586" max="3586" width="3.54296875" style="22" customWidth="1"/>
    <col min="3587" max="3831" width="9.1796875" style="22"/>
    <col min="3832" max="3832" width="8.7265625" style="22" customWidth="1"/>
    <col min="3833" max="3833" width="9.81640625" style="22" customWidth="1"/>
    <col min="3834" max="3834" width="14.453125" style="22" customWidth="1"/>
    <col min="3835" max="3835" width="7.26953125" style="22" customWidth="1"/>
    <col min="3836" max="3836" width="5.54296875" style="22" customWidth="1"/>
    <col min="3837" max="3837" width="9" style="22" customWidth="1"/>
    <col min="3838" max="3839" width="9.81640625" style="22" customWidth="1"/>
    <col min="3840" max="3840" width="11.1796875" style="22" customWidth="1"/>
    <col min="3841" max="3841" width="2.81640625" style="22" customWidth="1"/>
    <col min="3842" max="3842" width="3.54296875" style="22" customWidth="1"/>
    <col min="3843" max="4087" width="9.1796875" style="22"/>
    <col min="4088" max="4088" width="8.7265625" style="22" customWidth="1"/>
    <col min="4089" max="4089" width="9.81640625" style="22" customWidth="1"/>
    <col min="4090" max="4090" width="14.453125" style="22" customWidth="1"/>
    <col min="4091" max="4091" width="7.26953125" style="22" customWidth="1"/>
    <col min="4092" max="4092" width="5.54296875" style="22" customWidth="1"/>
    <col min="4093" max="4093" width="9" style="22" customWidth="1"/>
    <col min="4094" max="4095" width="9.81640625" style="22" customWidth="1"/>
    <col min="4096" max="4096" width="11.1796875" style="22" customWidth="1"/>
    <col min="4097" max="4097" width="2.81640625" style="22" customWidth="1"/>
    <col min="4098" max="4098" width="3.54296875" style="22" customWidth="1"/>
    <col min="4099" max="4343" width="9.1796875" style="22"/>
    <col min="4344" max="4344" width="8.7265625" style="22" customWidth="1"/>
    <col min="4345" max="4345" width="9.81640625" style="22" customWidth="1"/>
    <col min="4346" max="4346" width="14.453125" style="22" customWidth="1"/>
    <col min="4347" max="4347" width="7.26953125" style="22" customWidth="1"/>
    <col min="4348" max="4348" width="5.54296875" style="22" customWidth="1"/>
    <col min="4349" max="4349" width="9" style="22" customWidth="1"/>
    <col min="4350" max="4351" width="9.81640625" style="22" customWidth="1"/>
    <col min="4352" max="4352" width="11.1796875" style="22" customWidth="1"/>
    <col min="4353" max="4353" width="2.81640625" style="22" customWidth="1"/>
    <col min="4354" max="4354" width="3.54296875" style="22" customWidth="1"/>
    <col min="4355" max="4599" width="9.1796875" style="22"/>
    <col min="4600" max="4600" width="8.7265625" style="22" customWidth="1"/>
    <col min="4601" max="4601" width="9.81640625" style="22" customWidth="1"/>
    <col min="4602" max="4602" width="14.453125" style="22" customWidth="1"/>
    <col min="4603" max="4603" width="7.26953125" style="22" customWidth="1"/>
    <col min="4604" max="4604" width="5.54296875" style="22" customWidth="1"/>
    <col min="4605" max="4605" width="9" style="22" customWidth="1"/>
    <col min="4606" max="4607" width="9.81640625" style="22" customWidth="1"/>
    <col min="4608" max="4608" width="11.1796875" style="22" customWidth="1"/>
    <col min="4609" max="4609" width="2.81640625" style="22" customWidth="1"/>
    <col min="4610" max="4610" width="3.54296875" style="22" customWidth="1"/>
    <col min="4611" max="4855" width="9.1796875" style="22"/>
    <col min="4856" max="4856" width="8.7265625" style="22" customWidth="1"/>
    <col min="4857" max="4857" width="9.81640625" style="22" customWidth="1"/>
    <col min="4858" max="4858" width="14.453125" style="22" customWidth="1"/>
    <col min="4859" max="4859" width="7.26953125" style="22" customWidth="1"/>
    <col min="4860" max="4860" width="5.54296875" style="22" customWidth="1"/>
    <col min="4861" max="4861" width="9" style="22" customWidth="1"/>
    <col min="4862" max="4863" width="9.81640625" style="22" customWidth="1"/>
    <col min="4864" max="4864" width="11.1796875" style="22" customWidth="1"/>
    <col min="4865" max="4865" width="2.81640625" style="22" customWidth="1"/>
    <col min="4866" max="4866" width="3.54296875" style="22" customWidth="1"/>
    <col min="4867" max="5111" width="9.1796875" style="22"/>
    <col min="5112" max="5112" width="8.7265625" style="22" customWidth="1"/>
    <col min="5113" max="5113" width="9.81640625" style="22" customWidth="1"/>
    <col min="5114" max="5114" width="14.453125" style="22" customWidth="1"/>
    <col min="5115" max="5115" width="7.26953125" style="22" customWidth="1"/>
    <col min="5116" max="5116" width="5.54296875" style="22" customWidth="1"/>
    <col min="5117" max="5117" width="9" style="22" customWidth="1"/>
    <col min="5118" max="5119" width="9.81640625" style="22" customWidth="1"/>
    <col min="5120" max="5120" width="11.1796875" style="22" customWidth="1"/>
    <col min="5121" max="5121" width="2.81640625" style="22" customWidth="1"/>
    <col min="5122" max="5122" width="3.54296875" style="22" customWidth="1"/>
    <col min="5123" max="5367" width="9.1796875" style="22"/>
    <col min="5368" max="5368" width="8.7265625" style="22" customWidth="1"/>
    <col min="5369" max="5369" width="9.81640625" style="22" customWidth="1"/>
    <col min="5370" max="5370" width="14.453125" style="22" customWidth="1"/>
    <col min="5371" max="5371" width="7.26953125" style="22" customWidth="1"/>
    <col min="5372" max="5372" width="5.54296875" style="22" customWidth="1"/>
    <col min="5373" max="5373" width="9" style="22" customWidth="1"/>
    <col min="5374" max="5375" width="9.81640625" style="22" customWidth="1"/>
    <col min="5376" max="5376" width="11.1796875" style="22" customWidth="1"/>
    <col min="5377" max="5377" width="2.81640625" style="22" customWidth="1"/>
    <col min="5378" max="5378" width="3.54296875" style="22" customWidth="1"/>
    <col min="5379" max="5623" width="9.1796875" style="22"/>
    <col min="5624" max="5624" width="8.7265625" style="22" customWidth="1"/>
    <col min="5625" max="5625" width="9.81640625" style="22" customWidth="1"/>
    <col min="5626" max="5626" width="14.453125" style="22" customWidth="1"/>
    <col min="5627" max="5627" width="7.26953125" style="22" customWidth="1"/>
    <col min="5628" max="5628" width="5.54296875" style="22" customWidth="1"/>
    <col min="5629" max="5629" width="9" style="22" customWidth="1"/>
    <col min="5630" max="5631" width="9.81640625" style="22" customWidth="1"/>
    <col min="5632" max="5632" width="11.1796875" style="22" customWidth="1"/>
    <col min="5633" max="5633" width="2.81640625" style="22" customWidth="1"/>
    <col min="5634" max="5634" width="3.54296875" style="22" customWidth="1"/>
    <col min="5635" max="5879" width="9.1796875" style="22"/>
    <col min="5880" max="5880" width="8.7265625" style="22" customWidth="1"/>
    <col min="5881" max="5881" width="9.81640625" style="22" customWidth="1"/>
    <col min="5882" max="5882" width="14.453125" style="22" customWidth="1"/>
    <col min="5883" max="5883" width="7.26953125" style="22" customWidth="1"/>
    <col min="5884" max="5884" width="5.54296875" style="22" customWidth="1"/>
    <col min="5885" max="5885" width="9" style="22" customWidth="1"/>
    <col min="5886" max="5887" width="9.81640625" style="22" customWidth="1"/>
    <col min="5888" max="5888" width="11.1796875" style="22" customWidth="1"/>
    <col min="5889" max="5889" width="2.81640625" style="22" customWidth="1"/>
    <col min="5890" max="5890" width="3.54296875" style="22" customWidth="1"/>
    <col min="5891" max="6135" width="9.1796875" style="22"/>
    <col min="6136" max="6136" width="8.7265625" style="22" customWidth="1"/>
    <col min="6137" max="6137" width="9.81640625" style="22" customWidth="1"/>
    <col min="6138" max="6138" width="14.453125" style="22" customWidth="1"/>
    <col min="6139" max="6139" width="7.26953125" style="22" customWidth="1"/>
    <col min="6140" max="6140" width="5.54296875" style="22" customWidth="1"/>
    <col min="6141" max="6141" width="9" style="22" customWidth="1"/>
    <col min="6142" max="6143" width="9.81640625" style="22" customWidth="1"/>
    <col min="6144" max="6144" width="11.1796875" style="22" customWidth="1"/>
    <col min="6145" max="6145" width="2.81640625" style="22" customWidth="1"/>
    <col min="6146" max="6146" width="3.54296875" style="22" customWidth="1"/>
    <col min="6147" max="6391" width="9.1796875" style="22"/>
    <col min="6392" max="6392" width="8.7265625" style="22" customWidth="1"/>
    <col min="6393" max="6393" width="9.81640625" style="22" customWidth="1"/>
    <col min="6394" max="6394" width="14.453125" style="22" customWidth="1"/>
    <col min="6395" max="6395" width="7.26953125" style="22" customWidth="1"/>
    <col min="6396" max="6396" width="5.54296875" style="22" customWidth="1"/>
    <col min="6397" max="6397" width="9" style="22" customWidth="1"/>
    <col min="6398" max="6399" width="9.81640625" style="22" customWidth="1"/>
    <col min="6400" max="6400" width="11.1796875" style="22" customWidth="1"/>
    <col min="6401" max="6401" width="2.81640625" style="22" customWidth="1"/>
    <col min="6402" max="6402" width="3.54296875" style="22" customWidth="1"/>
    <col min="6403" max="6647" width="9.1796875" style="22"/>
    <col min="6648" max="6648" width="8.7265625" style="22" customWidth="1"/>
    <col min="6649" max="6649" width="9.81640625" style="22" customWidth="1"/>
    <col min="6650" max="6650" width="14.453125" style="22" customWidth="1"/>
    <col min="6651" max="6651" width="7.26953125" style="22" customWidth="1"/>
    <col min="6652" max="6652" width="5.54296875" style="22" customWidth="1"/>
    <col min="6653" max="6653" width="9" style="22" customWidth="1"/>
    <col min="6654" max="6655" width="9.81640625" style="22" customWidth="1"/>
    <col min="6656" max="6656" width="11.1796875" style="22" customWidth="1"/>
    <col min="6657" max="6657" width="2.81640625" style="22" customWidth="1"/>
    <col min="6658" max="6658" width="3.54296875" style="22" customWidth="1"/>
    <col min="6659" max="6903" width="9.1796875" style="22"/>
    <col min="6904" max="6904" width="8.7265625" style="22" customWidth="1"/>
    <col min="6905" max="6905" width="9.81640625" style="22" customWidth="1"/>
    <col min="6906" max="6906" width="14.453125" style="22" customWidth="1"/>
    <col min="6907" max="6907" width="7.26953125" style="22" customWidth="1"/>
    <col min="6908" max="6908" width="5.54296875" style="22" customWidth="1"/>
    <col min="6909" max="6909" width="9" style="22" customWidth="1"/>
    <col min="6910" max="6911" width="9.81640625" style="22" customWidth="1"/>
    <col min="6912" max="6912" width="11.1796875" style="22" customWidth="1"/>
    <col min="6913" max="6913" width="2.81640625" style="22" customWidth="1"/>
    <col min="6914" max="6914" width="3.54296875" style="22" customWidth="1"/>
    <col min="6915" max="7159" width="9.1796875" style="22"/>
    <col min="7160" max="7160" width="8.7265625" style="22" customWidth="1"/>
    <col min="7161" max="7161" width="9.81640625" style="22" customWidth="1"/>
    <col min="7162" max="7162" width="14.453125" style="22" customWidth="1"/>
    <col min="7163" max="7163" width="7.26953125" style="22" customWidth="1"/>
    <col min="7164" max="7164" width="5.54296875" style="22" customWidth="1"/>
    <col min="7165" max="7165" width="9" style="22" customWidth="1"/>
    <col min="7166" max="7167" width="9.81640625" style="22" customWidth="1"/>
    <col min="7168" max="7168" width="11.1796875" style="22" customWidth="1"/>
    <col min="7169" max="7169" width="2.81640625" style="22" customWidth="1"/>
    <col min="7170" max="7170" width="3.54296875" style="22" customWidth="1"/>
    <col min="7171" max="7415" width="9.1796875" style="22"/>
    <col min="7416" max="7416" width="8.7265625" style="22" customWidth="1"/>
    <col min="7417" max="7417" width="9.81640625" style="22" customWidth="1"/>
    <col min="7418" max="7418" width="14.453125" style="22" customWidth="1"/>
    <col min="7419" max="7419" width="7.26953125" style="22" customWidth="1"/>
    <col min="7420" max="7420" width="5.54296875" style="22" customWidth="1"/>
    <col min="7421" max="7421" width="9" style="22" customWidth="1"/>
    <col min="7422" max="7423" width="9.81640625" style="22" customWidth="1"/>
    <col min="7424" max="7424" width="11.1796875" style="22" customWidth="1"/>
    <col min="7425" max="7425" width="2.81640625" style="22" customWidth="1"/>
    <col min="7426" max="7426" width="3.54296875" style="22" customWidth="1"/>
    <col min="7427" max="7671" width="9.1796875" style="22"/>
    <col min="7672" max="7672" width="8.7265625" style="22" customWidth="1"/>
    <col min="7673" max="7673" width="9.81640625" style="22" customWidth="1"/>
    <col min="7674" max="7674" width="14.453125" style="22" customWidth="1"/>
    <col min="7675" max="7675" width="7.26953125" style="22" customWidth="1"/>
    <col min="7676" max="7676" width="5.54296875" style="22" customWidth="1"/>
    <col min="7677" max="7677" width="9" style="22" customWidth="1"/>
    <col min="7678" max="7679" width="9.81640625" style="22" customWidth="1"/>
    <col min="7680" max="7680" width="11.1796875" style="22" customWidth="1"/>
    <col min="7681" max="7681" width="2.81640625" style="22" customWidth="1"/>
    <col min="7682" max="7682" width="3.54296875" style="22" customWidth="1"/>
    <col min="7683" max="7927" width="9.1796875" style="22"/>
    <col min="7928" max="7928" width="8.7265625" style="22" customWidth="1"/>
    <col min="7929" max="7929" width="9.81640625" style="22" customWidth="1"/>
    <col min="7930" max="7930" width="14.453125" style="22" customWidth="1"/>
    <col min="7931" max="7931" width="7.26953125" style="22" customWidth="1"/>
    <col min="7932" max="7932" width="5.54296875" style="22" customWidth="1"/>
    <col min="7933" max="7933" width="9" style="22" customWidth="1"/>
    <col min="7934" max="7935" width="9.81640625" style="22" customWidth="1"/>
    <col min="7936" max="7936" width="11.1796875" style="22" customWidth="1"/>
    <col min="7937" max="7937" width="2.81640625" style="22" customWidth="1"/>
    <col min="7938" max="7938" width="3.54296875" style="22" customWidth="1"/>
    <col min="7939" max="8183" width="9.1796875" style="22"/>
    <col min="8184" max="8184" width="8.7265625" style="22" customWidth="1"/>
    <col min="8185" max="8185" width="9.81640625" style="22" customWidth="1"/>
    <col min="8186" max="8186" width="14.453125" style="22" customWidth="1"/>
    <col min="8187" max="8187" width="7.26953125" style="22" customWidth="1"/>
    <col min="8188" max="8188" width="5.54296875" style="22" customWidth="1"/>
    <col min="8189" max="8189" width="9" style="22" customWidth="1"/>
    <col min="8190" max="8191" width="9.81640625" style="22" customWidth="1"/>
    <col min="8192" max="8192" width="11.1796875" style="22" customWidth="1"/>
    <col min="8193" max="8193" width="2.81640625" style="22" customWidth="1"/>
    <col min="8194" max="8194" width="3.54296875" style="22" customWidth="1"/>
    <col min="8195" max="8439" width="9.1796875" style="22"/>
    <col min="8440" max="8440" width="8.7265625" style="22" customWidth="1"/>
    <col min="8441" max="8441" width="9.81640625" style="22" customWidth="1"/>
    <col min="8442" max="8442" width="14.453125" style="22" customWidth="1"/>
    <col min="8443" max="8443" width="7.26953125" style="22" customWidth="1"/>
    <col min="8444" max="8444" width="5.54296875" style="22" customWidth="1"/>
    <col min="8445" max="8445" width="9" style="22" customWidth="1"/>
    <col min="8446" max="8447" width="9.81640625" style="22" customWidth="1"/>
    <col min="8448" max="8448" width="11.1796875" style="22" customWidth="1"/>
    <col min="8449" max="8449" width="2.81640625" style="22" customWidth="1"/>
    <col min="8450" max="8450" width="3.54296875" style="22" customWidth="1"/>
    <col min="8451" max="8695" width="9.1796875" style="22"/>
    <col min="8696" max="8696" width="8.7265625" style="22" customWidth="1"/>
    <col min="8697" max="8697" width="9.81640625" style="22" customWidth="1"/>
    <col min="8698" max="8698" width="14.453125" style="22" customWidth="1"/>
    <col min="8699" max="8699" width="7.26953125" style="22" customWidth="1"/>
    <col min="8700" max="8700" width="5.54296875" style="22" customWidth="1"/>
    <col min="8701" max="8701" width="9" style="22" customWidth="1"/>
    <col min="8702" max="8703" width="9.81640625" style="22" customWidth="1"/>
    <col min="8704" max="8704" width="11.1796875" style="22" customWidth="1"/>
    <col min="8705" max="8705" width="2.81640625" style="22" customWidth="1"/>
    <col min="8706" max="8706" width="3.54296875" style="22" customWidth="1"/>
    <col min="8707" max="8951" width="9.1796875" style="22"/>
    <col min="8952" max="8952" width="8.7265625" style="22" customWidth="1"/>
    <col min="8953" max="8953" width="9.81640625" style="22" customWidth="1"/>
    <col min="8954" max="8954" width="14.453125" style="22" customWidth="1"/>
    <col min="8955" max="8955" width="7.26953125" style="22" customWidth="1"/>
    <col min="8956" max="8956" width="5.54296875" style="22" customWidth="1"/>
    <col min="8957" max="8957" width="9" style="22" customWidth="1"/>
    <col min="8958" max="8959" width="9.81640625" style="22" customWidth="1"/>
    <col min="8960" max="8960" width="11.1796875" style="22" customWidth="1"/>
    <col min="8961" max="8961" width="2.81640625" style="22" customWidth="1"/>
    <col min="8962" max="8962" width="3.54296875" style="22" customWidth="1"/>
    <col min="8963" max="9207" width="9.1796875" style="22"/>
    <col min="9208" max="9208" width="8.7265625" style="22" customWidth="1"/>
    <col min="9209" max="9209" width="9.81640625" style="22" customWidth="1"/>
    <col min="9210" max="9210" width="14.453125" style="22" customWidth="1"/>
    <col min="9211" max="9211" width="7.26953125" style="22" customWidth="1"/>
    <col min="9212" max="9212" width="5.54296875" style="22" customWidth="1"/>
    <col min="9213" max="9213" width="9" style="22" customWidth="1"/>
    <col min="9214" max="9215" width="9.81640625" style="22" customWidth="1"/>
    <col min="9216" max="9216" width="11.1796875" style="22" customWidth="1"/>
    <col min="9217" max="9217" width="2.81640625" style="22" customWidth="1"/>
    <col min="9218" max="9218" width="3.54296875" style="22" customWidth="1"/>
    <col min="9219" max="9463" width="9.1796875" style="22"/>
    <col min="9464" max="9464" width="8.7265625" style="22" customWidth="1"/>
    <col min="9465" max="9465" width="9.81640625" style="22" customWidth="1"/>
    <col min="9466" max="9466" width="14.453125" style="22" customWidth="1"/>
    <col min="9467" max="9467" width="7.26953125" style="22" customWidth="1"/>
    <col min="9468" max="9468" width="5.54296875" style="22" customWidth="1"/>
    <col min="9469" max="9469" width="9" style="22" customWidth="1"/>
    <col min="9470" max="9471" width="9.81640625" style="22" customWidth="1"/>
    <col min="9472" max="9472" width="11.1796875" style="22" customWidth="1"/>
    <col min="9473" max="9473" width="2.81640625" style="22" customWidth="1"/>
    <col min="9474" max="9474" width="3.54296875" style="22" customWidth="1"/>
    <col min="9475" max="9719" width="9.1796875" style="22"/>
    <col min="9720" max="9720" width="8.7265625" style="22" customWidth="1"/>
    <col min="9721" max="9721" width="9.81640625" style="22" customWidth="1"/>
    <col min="9722" max="9722" width="14.453125" style="22" customWidth="1"/>
    <col min="9723" max="9723" width="7.26953125" style="22" customWidth="1"/>
    <col min="9724" max="9724" width="5.54296875" style="22" customWidth="1"/>
    <col min="9725" max="9725" width="9" style="22" customWidth="1"/>
    <col min="9726" max="9727" width="9.81640625" style="22" customWidth="1"/>
    <col min="9728" max="9728" width="11.1796875" style="22" customWidth="1"/>
    <col min="9729" max="9729" width="2.81640625" style="22" customWidth="1"/>
    <col min="9730" max="9730" width="3.54296875" style="22" customWidth="1"/>
    <col min="9731" max="9975" width="9.1796875" style="22"/>
    <col min="9976" max="9976" width="8.7265625" style="22" customWidth="1"/>
    <col min="9977" max="9977" width="9.81640625" style="22" customWidth="1"/>
    <col min="9978" max="9978" width="14.453125" style="22" customWidth="1"/>
    <col min="9979" max="9979" width="7.26953125" style="22" customWidth="1"/>
    <col min="9980" max="9980" width="5.54296875" style="22" customWidth="1"/>
    <col min="9981" max="9981" width="9" style="22" customWidth="1"/>
    <col min="9982" max="9983" width="9.81640625" style="22" customWidth="1"/>
    <col min="9984" max="9984" width="11.1796875" style="22" customWidth="1"/>
    <col min="9985" max="9985" width="2.81640625" style="22" customWidth="1"/>
    <col min="9986" max="9986" width="3.54296875" style="22" customWidth="1"/>
    <col min="9987" max="10231" width="9.1796875" style="22"/>
    <col min="10232" max="10232" width="8.7265625" style="22" customWidth="1"/>
    <col min="10233" max="10233" width="9.81640625" style="22" customWidth="1"/>
    <col min="10234" max="10234" width="14.453125" style="22" customWidth="1"/>
    <col min="10235" max="10235" width="7.26953125" style="22" customWidth="1"/>
    <col min="10236" max="10236" width="5.54296875" style="22" customWidth="1"/>
    <col min="10237" max="10237" width="9" style="22" customWidth="1"/>
    <col min="10238" max="10239" width="9.81640625" style="22" customWidth="1"/>
    <col min="10240" max="10240" width="11.1796875" style="22" customWidth="1"/>
    <col min="10241" max="10241" width="2.81640625" style="22" customWidth="1"/>
    <col min="10242" max="10242" width="3.54296875" style="22" customWidth="1"/>
    <col min="10243" max="10487" width="9.1796875" style="22"/>
    <col min="10488" max="10488" width="8.7265625" style="22" customWidth="1"/>
    <col min="10489" max="10489" width="9.81640625" style="22" customWidth="1"/>
    <col min="10490" max="10490" width="14.453125" style="22" customWidth="1"/>
    <col min="10491" max="10491" width="7.26953125" style="22" customWidth="1"/>
    <col min="10492" max="10492" width="5.54296875" style="22" customWidth="1"/>
    <col min="10493" max="10493" width="9" style="22" customWidth="1"/>
    <col min="10494" max="10495" width="9.81640625" style="22" customWidth="1"/>
    <col min="10496" max="10496" width="11.1796875" style="22" customWidth="1"/>
    <col min="10497" max="10497" width="2.81640625" style="22" customWidth="1"/>
    <col min="10498" max="10498" width="3.54296875" style="22" customWidth="1"/>
    <col min="10499" max="10743" width="9.1796875" style="22"/>
    <col min="10744" max="10744" width="8.7265625" style="22" customWidth="1"/>
    <col min="10745" max="10745" width="9.81640625" style="22" customWidth="1"/>
    <col min="10746" max="10746" width="14.453125" style="22" customWidth="1"/>
    <col min="10747" max="10747" width="7.26953125" style="22" customWidth="1"/>
    <col min="10748" max="10748" width="5.54296875" style="22" customWidth="1"/>
    <col min="10749" max="10749" width="9" style="22" customWidth="1"/>
    <col min="10750" max="10751" width="9.81640625" style="22" customWidth="1"/>
    <col min="10752" max="10752" width="11.1796875" style="22" customWidth="1"/>
    <col min="10753" max="10753" width="2.81640625" style="22" customWidth="1"/>
    <col min="10754" max="10754" width="3.54296875" style="22" customWidth="1"/>
    <col min="10755" max="10999" width="9.1796875" style="22"/>
    <col min="11000" max="11000" width="8.7265625" style="22" customWidth="1"/>
    <col min="11001" max="11001" width="9.81640625" style="22" customWidth="1"/>
    <col min="11002" max="11002" width="14.453125" style="22" customWidth="1"/>
    <col min="11003" max="11003" width="7.26953125" style="22" customWidth="1"/>
    <col min="11004" max="11004" width="5.54296875" style="22" customWidth="1"/>
    <col min="11005" max="11005" width="9" style="22" customWidth="1"/>
    <col min="11006" max="11007" width="9.81640625" style="22" customWidth="1"/>
    <col min="11008" max="11008" width="11.1796875" style="22" customWidth="1"/>
    <col min="11009" max="11009" width="2.81640625" style="22" customWidth="1"/>
    <col min="11010" max="11010" width="3.54296875" style="22" customWidth="1"/>
    <col min="11011" max="11255" width="9.1796875" style="22"/>
    <col min="11256" max="11256" width="8.7265625" style="22" customWidth="1"/>
    <col min="11257" max="11257" width="9.81640625" style="22" customWidth="1"/>
    <col min="11258" max="11258" width="14.453125" style="22" customWidth="1"/>
    <col min="11259" max="11259" width="7.26953125" style="22" customWidth="1"/>
    <col min="11260" max="11260" width="5.54296875" style="22" customWidth="1"/>
    <col min="11261" max="11261" width="9" style="22" customWidth="1"/>
    <col min="11262" max="11263" width="9.81640625" style="22" customWidth="1"/>
    <col min="11264" max="11264" width="11.1796875" style="22" customWidth="1"/>
    <col min="11265" max="11265" width="2.81640625" style="22" customWidth="1"/>
    <col min="11266" max="11266" width="3.54296875" style="22" customWidth="1"/>
    <col min="11267" max="11511" width="9.1796875" style="22"/>
    <col min="11512" max="11512" width="8.7265625" style="22" customWidth="1"/>
    <col min="11513" max="11513" width="9.81640625" style="22" customWidth="1"/>
    <col min="11514" max="11514" width="14.453125" style="22" customWidth="1"/>
    <col min="11515" max="11515" width="7.26953125" style="22" customWidth="1"/>
    <col min="11516" max="11516" width="5.54296875" style="22" customWidth="1"/>
    <col min="11517" max="11517" width="9" style="22" customWidth="1"/>
    <col min="11518" max="11519" width="9.81640625" style="22" customWidth="1"/>
    <col min="11520" max="11520" width="11.1796875" style="22" customWidth="1"/>
    <col min="11521" max="11521" width="2.81640625" style="22" customWidth="1"/>
    <col min="11522" max="11522" width="3.54296875" style="22" customWidth="1"/>
    <col min="11523" max="11767" width="9.1796875" style="22"/>
    <col min="11768" max="11768" width="8.7265625" style="22" customWidth="1"/>
    <col min="11769" max="11769" width="9.81640625" style="22" customWidth="1"/>
    <col min="11770" max="11770" width="14.453125" style="22" customWidth="1"/>
    <col min="11771" max="11771" width="7.26953125" style="22" customWidth="1"/>
    <col min="11772" max="11772" width="5.54296875" style="22" customWidth="1"/>
    <col min="11773" max="11773" width="9" style="22" customWidth="1"/>
    <col min="11774" max="11775" width="9.81640625" style="22" customWidth="1"/>
    <col min="11776" max="11776" width="11.1796875" style="22" customWidth="1"/>
    <col min="11777" max="11777" width="2.81640625" style="22" customWidth="1"/>
    <col min="11778" max="11778" width="3.54296875" style="22" customWidth="1"/>
    <col min="11779" max="12023" width="9.1796875" style="22"/>
    <col min="12024" max="12024" width="8.7265625" style="22" customWidth="1"/>
    <col min="12025" max="12025" width="9.81640625" style="22" customWidth="1"/>
    <col min="12026" max="12026" width="14.453125" style="22" customWidth="1"/>
    <col min="12027" max="12027" width="7.26953125" style="22" customWidth="1"/>
    <col min="12028" max="12028" width="5.54296875" style="22" customWidth="1"/>
    <col min="12029" max="12029" width="9" style="22" customWidth="1"/>
    <col min="12030" max="12031" width="9.81640625" style="22" customWidth="1"/>
    <col min="12032" max="12032" width="11.1796875" style="22" customWidth="1"/>
    <col min="12033" max="12033" width="2.81640625" style="22" customWidth="1"/>
    <col min="12034" max="12034" width="3.54296875" style="22" customWidth="1"/>
    <col min="12035" max="12279" width="9.1796875" style="22"/>
    <col min="12280" max="12280" width="8.7265625" style="22" customWidth="1"/>
    <col min="12281" max="12281" width="9.81640625" style="22" customWidth="1"/>
    <col min="12282" max="12282" width="14.453125" style="22" customWidth="1"/>
    <col min="12283" max="12283" width="7.26953125" style="22" customWidth="1"/>
    <col min="12284" max="12284" width="5.54296875" style="22" customWidth="1"/>
    <col min="12285" max="12285" width="9" style="22" customWidth="1"/>
    <col min="12286" max="12287" width="9.81640625" style="22" customWidth="1"/>
    <col min="12288" max="12288" width="11.1796875" style="22" customWidth="1"/>
    <col min="12289" max="12289" width="2.81640625" style="22" customWidth="1"/>
    <col min="12290" max="12290" width="3.54296875" style="22" customWidth="1"/>
    <col min="12291" max="12535" width="9.1796875" style="22"/>
    <col min="12536" max="12536" width="8.7265625" style="22" customWidth="1"/>
    <col min="12537" max="12537" width="9.81640625" style="22" customWidth="1"/>
    <col min="12538" max="12538" width="14.453125" style="22" customWidth="1"/>
    <col min="12539" max="12539" width="7.26953125" style="22" customWidth="1"/>
    <col min="12540" max="12540" width="5.54296875" style="22" customWidth="1"/>
    <col min="12541" max="12541" width="9" style="22" customWidth="1"/>
    <col min="12542" max="12543" width="9.81640625" style="22" customWidth="1"/>
    <col min="12544" max="12544" width="11.1796875" style="22" customWidth="1"/>
    <col min="12545" max="12545" width="2.81640625" style="22" customWidth="1"/>
    <col min="12546" max="12546" width="3.54296875" style="22" customWidth="1"/>
    <col min="12547" max="12791" width="9.1796875" style="22"/>
    <col min="12792" max="12792" width="8.7265625" style="22" customWidth="1"/>
    <col min="12793" max="12793" width="9.81640625" style="22" customWidth="1"/>
    <col min="12794" max="12794" width="14.453125" style="22" customWidth="1"/>
    <col min="12795" max="12795" width="7.26953125" style="22" customWidth="1"/>
    <col min="12796" max="12796" width="5.54296875" style="22" customWidth="1"/>
    <col min="12797" max="12797" width="9" style="22" customWidth="1"/>
    <col min="12798" max="12799" width="9.81640625" style="22" customWidth="1"/>
    <col min="12800" max="12800" width="11.1796875" style="22" customWidth="1"/>
    <col min="12801" max="12801" width="2.81640625" style="22" customWidth="1"/>
    <col min="12802" max="12802" width="3.54296875" style="22" customWidth="1"/>
    <col min="12803" max="13047" width="9.1796875" style="22"/>
    <col min="13048" max="13048" width="8.7265625" style="22" customWidth="1"/>
    <col min="13049" max="13049" width="9.81640625" style="22" customWidth="1"/>
    <col min="13050" max="13050" width="14.453125" style="22" customWidth="1"/>
    <col min="13051" max="13051" width="7.26953125" style="22" customWidth="1"/>
    <col min="13052" max="13052" width="5.54296875" style="22" customWidth="1"/>
    <col min="13053" max="13053" width="9" style="22" customWidth="1"/>
    <col min="13054" max="13055" width="9.81640625" style="22" customWidth="1"/>
    <col min="13056" max="13056" width="11.1796875" style="22" customWidth="1"/>
    <col min="13057" max="13057" width="2.81640625" style="22" customWidth="1"/>
    <col min="13058" max="13058" width="3.54296875" style="22" customWidth="1"/>
    <col min="13059" max="13303" width="9.1796875" style="22"/>
    <col min="13304" max="13304" width="8.7265625" style="22" customWidth="1"/>
    <col min="13305" max="13305" width="9.81640625" style="22" customWidth="1"/>
    <col min="13306" max="13306" width="14.453125" style="22" customWidth="1"/>
    <col min="13307" max="13307" width="7.26953125" style="22" customWidth="1"/>
    <col min="13308" max="13308" width="5.54296875" style="22" customWidth="1"/>
    <col min="13309" max="13309" width="9" style="22" customWidth="1"/>
    <col min="13310" max="13311" width="9.81640625" style="22" customWidth="1"/>
    <col min="13312" max="13312" width="11.1796875" style="22" customWidth="1"/>
    <col min="13313" max="13313" width="2.81640625" style="22" customWidth="1"/>
    <col min="13314" max="13314" width="3.54296875" style="22" customWidth="1"/>
    <col min="13315" max="13559" width="9.1796875" style="22"/>
    <col min="13560" max="13560" width="8.7265625" style="22" customWidth="1"/>
    <col min="13561" max="13561" width="9.81640625" style="22" customWidth="1"/>
    <col min="13562" max="13562" width="14.453125" style="22" customWidth="1"/>
    <col min="13563" max="13563" width="7.26953125" style="22" customWidth="1"/>
    <col min="13564" max="13564" width="5.54296875" style="22" customWidth="1"/>
    <col min="13565" max="13565" width="9" style="22" customWidth="1"/>
    <col min="13566" max="13567" width="9.81640625" style="22" customWidth="1"/>
    <col min="13568" max="13568" width="11.1796875" style="22" customWidth="1"/>
    <col min="13569" max="13569" width="2.81640625" style="22" customWidth="1"/>
    <col min="13570" max="13570" width="3.54296875" style="22" customWidth="1"/>
    <col min="13571" max="13815" width="9.1796875" style="22"/>
    <col min="13816" max="13816" width="8.7265625" style="22" customWidth="1"/>
    <col min="13817" max="13817" width="9.81640625" style="22" customWidth="1"/>
    <col min="13818" max="13818" width="14.453125" style="22" customWidth="1"/>
    <col min="13819" max="13819" width="7.26953125" style="22" customWidth="1"/>
    <col min="13820" max="13820" width="5.54296875" style="22" customWidth="1"/>
    <col min="13821" max="13821" width="9" style="22" customWidth="1"/>
    <col min="13822" max="13823" width="9.81640625" style="22" customWidth="1"/>
    <col min="13824" max="13824" width="11.1796875" style="22" customWidth="1"/>
    <col min="13825" max="13825" width="2.81640625" style="22" customWidth="1"/>
    <col min="13826" max="13826" width="3.54296875" style="22" customWidth="1"/>
    <col min="13827" max="14071" width="9.1796875" style="22"/>
    <col min="14072" max="14072" width="8.7265625" style="22" customWidth="1"/>
    <col min="14073" max="14073" width="9.81640625" style="22" customWidth="1"/>
    <col min="14074" max="14074" width="14.453125" style="22" customWidth="1"/>
    <col min="14075" max="14075" width="7.26953125" style="22" customWidth="1"/>
    <col min="14076" max="14076" width="5.54296875" style="22" customWidth="1"/>
    <col min="14077" max="14077" width="9" style="22" customWidth="1"/>
    <col min="14078" max="14079" width="9.81640625" style="22" customWidth="1"/>
    <col min="14080" max="14080" width="11.1796875" style="22" customWidth="1"/>
    <col min="14081" max="14081" width="2.81640625" style="22" customWidth="1"/>
    <col min="14082" max="14082" width="3.54296875" style="22" customWidth="1"/>
    <col min="14083" max="14327" width="9.1796875" style="22"/>
    <col min="14328" max="14328" width="8.7265625" style="22" customWidth="1"/>
    <col min="14329" max="14329" width="9.81640625" style="22" customWidth="1"/>
    <col min="14330" max="14330" width="14.453125" style="22" customWidth="1"/>
    <col min="14331" max="14331" width="7.26953125" style="22" customWidth="1"/>
    <col min="14332" max="14332" width="5.54296875" style="22" customWidth="1"/>
    <col min="14333" max="14333" width="9" style="22" customWidth="1"/>
    <col min="14334" max="14335" width="9.81640625" style="22" customWidth="1"/>
    <col min="14336" max="14336" width="11.1796875" style="22" customWidth="1"/>
    <col min="14337" max="14337" width="2.81640625" style="22" customWidth="1"/>
    <col min="14338" max="14338" width="3.54296875" style="22" customWidth="1"/>
    <col min="14339" max="14583" width="9.1796875" style="22"/>
    <col min="14584" max="14584" width="8.7265625" style="22" customWidth="1"/>
    <col min="14585" max="14585" width="9.81640625" style="22" customWidth="1"/>
    <col min="14586" max="14586" width="14.453125" style="22" customWidth="1"/>
    <col min="14587" max="14587" width="7.26953125" style="22" customWidth="1"/>
    <col min="14588" max="14588" width="5.54296875" style="22" customWidth="1"/>
    <col min="14589" max="14589" width="9" style="22" customWidth="1"/>
    <col min="14590" max="14591" width="9.81640625" style="22" customWidth="1"/>
    <col min="14592" max="14592" width="11.1796875" style="22" customWidth="1"/>
    <col min="14593" max="14593" width="2.81640625" style="22" customWidth="1"/>
    <col min="14594" max="14594" width="3.54296875" style="22" customWidth="1"/>
    <col min="14595" max="14839" width="9.1796875" style="22"/>
    <col min="14840" max="14840" width="8.7265625" style="22" customWidth="1"/>
    <col min="14841" max="14841" width="9.81640625" style="22" customWidth="1"/>
    <col min="14842" max="14842" width="14.453125" style="22" customWidth="1"/>
    <col min="14843" max="14843" width="7.26953125" style="22" customWidth="1"/>
    <col min="14844" max="14844" width="5.54296875" style="22" customWidth="1"/>
    <col min="14845" max="14845" width="9" style="22" customWidth="1"/>
    <col min="14846" max="14847" width="9.81640625" style="22" customWidth="1"/>
    <col min="14848" max="14848" width="11.1796875" style="22" customWidth="1"/>
    <col min="14849" max="14849" width="2.81640625" style="22" customWidth="1"/>
    <col min="14850" max="14850" width="3.54296875" style="22" customWidth="1"/>
    <col min="14851" max="15095" width="9.1796875" style="22"/>
    <col min="15096" max="15096" width="8.7265625" style="22" customWidth="1"/>
    <col min="15097" max="15097" width="9.81640625" style="22" customWidth="1"/>
    <col min="15098" max="15098" width="14.453125" style="22" customWidth="1"/>
    <col min="15099" max="15099" width="7.26953125" style="22" customWidth="1"/>
    <col min="15100" max="15100" width="5.54296875" style="22" customWidth="1"/>
    <col min="15101" max="15101" width="9" style="22" customWidth="1"/>
    <col min="15102" max="15103" width="9.81640625" style="22" customWidth="1"/>
    <col min="15104" max="15104" width="11.1796875" style="22" customWidth="1"/>
    <col min="15105" max="15105" width="2.81640625" style="22" customWidth="1"/>
    <col min="15106" max="15106" width="3.54296875" style="22" customWidth="1"/>
    <col min="15107" max="15351" width="9.1796875" style="22"/>
    <col min="15352" max="15352" width="8.7265625" style="22" customWidth="1"/>
    <col min="15353" max="15353" width="9.81640625" style="22" customWidth="1"/>
    <col min="15354" max="15354" width="14.453125" style="22" customWidth="1"/>
    <col min="15355" max="15355" width="7.26953125" style="22" customWidth="1"/>
    <col min="15356" max="15356" width="5.54296875" style="22" customWidth="1"/>
    <col min="15357" max="15357" width="9" style="22" customWidth="1"/>
    <col min="15358" max="15359" width="9.81640625" style="22" customWidth="1"/>
    <col min="15360" max="15360" width="11.1796875" style="22" customWidth="1"/>
    <col min="15361" max="15361" width="2.81640625" style="22" customWidth="1"/>
    <col min="15362" max="15362" width="3.54296875" style="22" customWidth="1"/>
    <col min="15363" max="15607" width="9.1796875" style="22"/>
    <col min="15608" max="15608" width="8.7265625" style="22" customWidth="1"/>
    <col min="15609" max="15609" width="9.81640625" style="22" customWidth="1"/>
    <col min="15610" max="15610" width="14.453125" style="22" customWidth="1"/>
    <col min="15611" max="15611" width="7.26953125" style="22" customWidth="1"/>
    <col min="15612" max="15612" width="5.54296875" style="22" customWidth="1"/>
    <col min="15613" max="15613" width="9" style="22" customWidth="1"/>
    <col min="15614" max="15615" width="9.81640625" style="22" customWidth="1"/>
    <col min="15616" max="15616" width="11.1796875" style="22" customWidth="1"/>
    <col min="15617" max="15617" width="2.81640625" style="22" customWidth="1"/>
    <col min="15618" max="15618" width="3.54296875" style="22" customWidth="1"/>
    <col min="15619" max="15863" width="9.1796875" style="22"/>
    <col min="15864" max="15864" width="8.7265625" style="22" customWidth="1"/>
    <col min="15865" max="15865" width="9.81640625" style="22" customWidth="1"/>
    <col min="15866" max="15866" width="14.453125" style="22" customWidth="1"/>
    <col min="15867" max="15867" width="7.26953125" style="22" customWidth="1"/>
    <col min="15868" max="15868" width="5.54296875" style="22" customWidth="1"/>
    <col min="15869" max="15869" width="9" style="22" customWidth="1"/>
    <col min="15870" max="15871" width="9.81640625" style="22" customWidth="1"/>
    <col min="15872" max="15872" width="11.1796875" style="22" customWidth="1"/>
    <col min="15873" max="15873" width="2.81640625" style="22" customWidth="1"/>
    <col min="15874" max="15874" width="3.54296875" style="22" customWidth="1"/>
    <col min="15875" max="16119" width="9.1796875" style="22"/>
    <col min="16120" max="16120" width="8.7265625" style="22" customWidth="1"/>
    <col min="16121" max="16121" width="9.81640625" style="22" customWidth="1"/>
    <col min="16122" max="16122" width="14.453125" style="22" customWidth="1"/>
    <col min="16123" max="16123" width="7.26953125" style="22" customWidth="1"/>
    <col min="16124" max="16124" width="5.54296875" style="22" customWidth="1"/>
    <col min="16125" max="16125" width="9" style="22" customWidth="1"/>
    <col min="16126" max="16127" width="9.81640625" style="22" customWidth="1"/>
    <col min="16128" max="16128" width="11.1796875" style="22" customWidth="1"/>
    <col min="16129" max="16129" width="2.81640625" style="22" customWidth="1"/>
    <col min="16130" max="16130" width="3.54296875" style="22" customWidth="1"/>
    <col min="16131" max="16384" width="9.1796875" style="22"/>
  </cols>
  <sheetData>
    <row r="1" spans="1:26" ht="46.5" customHeight="1" x14ac:dyDescent="0.35">
      <c r="A1" s="160" t="s">
        <v>160</v>
      </c>
      <c r="B1" s="160"/>
      <c r="C1" s="160"/>
      <c r="D1" s="160"/>
      <c r="E1" s="160"/>
      <c r="F1" s="160"/>
      <c r="G1" s="160"/>
      <c r="H1" s="160"/>
    </row>
    <row r="2" spans="1:26" ht="16.5" customHeight="1" x14ac:dyDescent="0.35">
      <c r="A2" s="148" t="s">
        <v>0</v>
      </c>
      <c r="B2" s="148"/>
      <c r="C2" s="148"/>
      <c r="D2" s="148"/>
      <c r="E2" s="148"/>
      <c r="F2" s="148"/>
      <c r="G2" s="148"/>
      <c r="H2" s="148"/>
    </row>
    <row r="3" spans="1:26" x14ac:dyDescent="0.35">
      <c r="A3" s="101" t="s">
        <v>1</v>
      </c>
      <c r="B3" s="101"/>
      <c r="C3" s="101"/>
      <c r="D3" s="101"/>
      <c r="E3" s="101" t="str">
        <f ca="1">TEXT(TODAY(),"DD/MM/YYYY")</f>
        <v>31/07/2025</v>
      </c>
      <c r="F3" s="101"/>
      <c r="G3" s="101"/>
      <c r="H3" s="101"/>
    </row>
    <row r="4" spans="1:26" ht="15" customHeight="1" x14ac:dyDescent="0.35">
      <c r="A4" s="101" t="s">
        <v>2</v>
      </c>
      <c r="B4" s="101"/>
      <c r="C4" s="101"/>
      <c r="D4" s="101"/>
      <c r="E4" s="102" t="s">
        <v>228</v>
      </c>
      <c r="F4" s="102"/>
      <c r="G4" s="102"/>
      <c r="H4" s="102"/>
    </row>
    <row r="5" spans="1:26" x14ac:dyDescent="0.35">
      <c r="A5" s="101" t="s">
        <v>3</v>
      </c>
      <c r="B5" s="101"/>
      <c r="C5" s="101"/>
      <c r="D5" s="101"/>
      <c r="E5" s="161">
        <v>45869</v>
      </c>
      <c r="F5" s="101"/>
      <c r="G5" s="101"/>
      <c r="H5" s="101"/>
    </row>
    <row r="6" spans="1:26" ht="16.5" customHeight="1" x14ac:dyDescent="0.35">
      <c r="A6" s="101" t="s">
        <v>4</v>
      </c>
      <c r="B6" s="101"/>
      <c r="C6" s="101"/>
      <c r="D6" s="101"/>
      <c r="E6" s="101" t="s">
        <v>229</v>
      </c>
      <c r="F6" s="101"/>
      <c r="G6" s="101"/>
      <c r="H6" s="101"/>
    </row>
    <row r="7" spans="1:26" ht="15" customHeight="1" x14ac:dyDescent="0.35">
      <c r="A7" s="101" t="s">
        <v>5</v>
      </c>
      <c r="B7" s="101"/>
      <c r="C7" s="101"/>
      <c r="D7" s="101"/>
      <c r="E7" s="101" t="str">
        <f>E6</f>
        <v>Mr.Anil Hardasmal Tharwani</v>
      </c>
      <c r="F7" s="101"/>
      <c r="G7" s="101"/>
      <c r="H7" s="101"/>
    </row>
    <row r="8" spans="1:26" x14ac:dyDescent="0.35">
      <c r="A8" s="101" t="s">
        <v>6</v>
      </c>
      <c r="B8" s="101"/>
      <c r="C8" s="101"/>
      <c r="D8" s="101"/>
      <c r="E8" s="158" t="s">
        <v>230</v>
      </c>
      <c r="F8" s="158"/>
      <c r="G8" s="158"/>
      <c r="H8" s="158"/>
    </row>
    <row r="9" spans="1:26" x14ac:dyDescent="0.35">
      <c r="A9" s="101" t="s">
        <v>163</v>
      </c>
      <c r="B9" s="101"/>
      <c r="C9" s="101"/>
      <c r="D9" s="101"/>
      <c r="E9" s="101" t="s">
        <v>288</v>
      </c>
      <c r="F9" s="101"/>
      <c r="G9" s="101"/>
      <c r="H9" s="101"/>
    </row>
    <row r="10" spans="1:26" hidden="1" x14ac:dyDescent="0.35">
      <c r="A10" s="101" t="s">
        <v>164</v>
      </c>
      <c r="B10" s="101"/>
      <c r="C10" s="101"/>
      <c r="D10" s="101"/>
      <c r="E10" s="101" t="s">
        <v>289</v>
      </c>
      <c r="F10" s="101"/>
      <c r="G10" s="101"/>
      <c r="H10" s="101"/>
    </row>
    <row r="11" spans="1:26" x14ac:dyDescent="0.35">
      <c r="A11" s="101" t="s">
        <v>7</v>
      </c>
      <c r="B11" s="101"/>
      <c r="C11" s="101"/>
      <c r="D11" s="101"/>
      <c r="E11" s="101" t="s">
        <v>242</v>
      </c>
      <c r="F11" s="101"/>
      <c r="G11" s="101"/>
      <c r="H11" s="101"/>
    </row>
    <row r="12" spans="1:26" x14ac:dyDescent="0.35">
      <c r="A12" s="101" t="s">
        <v>166</v>
      </c>
      <c r="B12" s="101"/>
      <c r="C12" s="101"/>
      <c r="D12" s="101"/>
      <c r="E12" s="101" t="s">
        <v>29</v>
      </c>
      <c r="F12" s="101"/>
      <c r="G12" s="101"/>
      <c r="H12" s="101"/>
      <c r="S12" s="58" t="s">
        <v>172</v>
      </c>
      <c r="T12" s="58" t="s">
        <v>182</v>
      </c>
      <c r="U12" s="58" t="s">
        <v>167</v>
      </c>
      <c r="V12" s="58" t="s">
        <v>187</v>
      </c>
      <c r="W12" s="58" t="s">
        <v>205</v>
      </c>
      <c r="X12"/>
      <c r="Y12" t="s">
        <v>187</v>
      </c>
      <c r="Z12" t="e">
        <f ca="1">OFFSET($S$12,1,MATCH($G19,$S$12:$W$12,0)-1,15,1)</f>
        <v>#VALUE!</v>
      </c>
    </row>
    <row r="13" spans="1:26" x14ac:dyDescent="0.35">
      <c r="A13" s="77" t="s">
        <v>8</v>
      </c>
      <c r="B13" s="77"/>
      <c r="C13" s="77"/>
      <c r="D13" s="77"/>
      <c r="E13" s="157" t="s">
        <v>258</v>
      </c>
      <c r="F13" s="157"/>
      <c r="G13" s="157"/>
      <c r="H13" s="157"/>
      <c r="S13" s="58" t="s">
        <v>173</v>
      </c>
      <c r="T13" s="58" t="s">
        <v>180</v>
      </c>
      <c r="U13" s="58" t="s">
        <v>202</v>
      </c>
      <c r="V13" s="58" t="s">
        <v>188</v>
      </c>
      <c r="W13" s="58" t="s">
        <v>206</v>
      </c>
      <c r="X13"/>
      <c r="Y13"/>
      <c r="Z13"/>
    </row>
    <row r="14" spans="1:26" x14ac:dyDescent="0.35">
      <c r="A14" s="77" t="s">
        <v>9</v>
      </c>
      <c r="B14" s="77"/>
      <c r="C14" s="77"/>
      <c r="D14" s="77"/>
      <c r="E14" s="157" t="s">
        <v>231</v>
      </c>
      <c r="F14" s="102"/>
      <c r="G14" s="102"/>
      <c r="H14" s="102"/>
      <c r="I14" s="72" t="e">
        <f ca="1">OFFSET($D$4,1,MATCH($J12,$D$4:$H$4,0)-1,15,1)</f>
        <v>#N/A</v>
      </c>
      <c r="J14" s="73"/>
      <c r="K14" s="73"/>
      <c r="L14" s="73"/>
      <c r="M14" s="73"/>
      <c r="N14" s="73"/>
      <c r="O14" s="73"/>
      <c r="P14" s="73"/>
      <c r="S14" s="58" t="s">
        <v>174</v>
      </c>
      <c r="T14" s="58" t="s">
        <v>181</v>
      </c>
      <c r="U14" s="58" t="s">
        <v>203</v>
      </c>
      <c r="V14" s="58" t="s">
        <v>189</v>
      </c>
      <c r="W14" s="58" t="s">
        <v>219</v>
      </c>
      <c r="X14"/>
      <c r="Y14"/>
      <c r="Z14"/>
    </row>
    <row r="15" spans="1:26" ht="50.25" customHeight="1" x14ac:dyDescent="0.35">
      <c r="A15" s="84" t="s">
        <v>10</v>
      </c>
      <c r="B15" s="84"/>
      <c r="C15" s="84" t="str">
        <f>CONCATENATE((IF(OR(E8="",E8="NA"),"",E8)),", ",(IF(OR(A16="",A16="NA"),"",A16)),".",(IF(OR(C16="",C16="NA"),"",C16)),", near ",(IF(OR(C21="",C21="NA"),"",C21)),", ",(IF(OR(C18="",C18="NA"),"",C18)),", ",(IF(OR(C17="",C17="NA"),"",C17)),", ",(IF(OR(G18="",G18="NA"),"",G18)),", ",(IF(OR(C19="",C19="NA"),"",C19)),", ",(IF(OR(C20="",C20="NA"),"",C20)),", ",(IF(OR(G19="",G19="NA"),"",G19))," - ",(IF(OR(G20="",G20="NA"),"",G20)),".")</f>
        <v>Tharwani Solitaire Phase I, Survey No.8/1, 8/2, 12/1-12/7, 13/1, 13/2, 14/1-14/4, near Regency Avana, Ahmednagar- Kalyan Road, Khemani Industry Area, Maharal Khurd, Shahad East, Kalyan, Thane  - 421301.</v>
      </c>
      <c r="D15" s="84"/>
      <c r="E15" s="84"/>
      <c r="F15" s="84"/>
      <c r="G15" s="84"/>
      <c r="H15" s="84"/>
      <c r="S15" s="58" t="s">
        <v>175</v>
      </c>
      <c r="T15" s="58" t="s">
        <v>183</v>
      </c>
      <c r="U15" s="58" t="s">
        <v>204</v>
      </c>
      <c r="V15" s="58" t="s">
        <v>190</v>
      </c>
      <c r="W15" s="58" t="s">
        <v>207</v>
      </c>
      <c r="X15"/>
      <c r="Y15"/>
      <c r="Z15"/>
    </row>
    <row r="16" spans="1:26" x14ac:dyDescent="0.35">
      <c r="A16" s="157" t="s">
        <v>232</v>
      </c>
      <c r="B16" s="157"/>
      <c r="C16" s="157" t="s">
        <v>233</v>
      </c>
      <c r="D16" s="157"/>
      <c r="E16" s="157"/>
      <c r="F16" s="157"/>
      <c r="G16" s="157"/>
      <c r="H16" s="157"/>
      <c r="S16" s="58" t="s">
        <v>176</v>
      </c>
      <c r="T16" s="58" t="s">
        <v>184</v>
      </c>
      <c r="U16" s="58" t="s">
        <v>167</v>
      </c>
      <c r="V16" s="58" t="s">
        <v>191</v>
      </c>
      <c r="W16" s="58" t="s">
        <v>208</v>
      </c>
      <c r="X16"/>
      <c r="Y16"/>
      <c r="Z16"/>
    </row>
    <row r="17" spans="1:26" ht="15.75" customHeight="1" x14ac:dyDescent="0.35">
      <c r="A17" s="100" t="s">
        <v>158</v>
      </c>
      <c r="B17" s="100"/>
      <c r="C17" s="100" t="s">
        <v>241</v>
      </c>
      <c r="D17" s="100"/>
      <c r="E17" s="100"/>
      <c r="F17" s="100"/>
      <c r="G17" s="100"/>
      <c r="H17" s="100"/>
      <c r="S17" s="58" t="s">
        <v>177</v>
      </c>
      <c r="T17" s="58" t="s">
        <v>182</v>
      </c>
      <c r="U17" s="58"/>
      <c r="V17" s="58" t="s">
        <v>192</v>
      </c>
      <c r="W17" s="58" t="s">
        <v>209</v>
      </c>
      <c r="X17"/>
      <c r="Y17"/>
      <c r="Z17"/>
    </row>
    <row r="18" spans="1:26" ht="15.75" customHeight="1" x14ac:dyDescent="0.35">
      <c r="A18" s="84" t="s">
        <v>11</v>
      </c>
      <c r="B18" s="84"/>
      <c r="C18" s="101" t="s">
        <v>240</v>
      </c>
      <c r="D18" s="101"/>
      <c r="E18" s="84" t="s">
        <v>71</v>
      </c>
      <c r="F18" s="84"/>
      <c r="G18" s="100" t="s">
        <v>234</v>
      </c>
      <c r="H18" s="100"/>
      <c r="S18" s="58" t="s">
        <v>178</v>
      </c>
      <c r="T18" s="58" t="s">
        <v>185</v>
      </c>
      <c r="U18" s="58"/>
      <c r="V18" s="58" t="s">
        <v>193</v>
      </c>
      <c r="W18" s="58" t="s">
        <v>210</v>
      </c>
      <c r="X18"/>
      <c r="Y18"/>
      <c r="Z18"/>
    </row>
    <row r="19" spans="1:26" x14ac:dyDescent="0.35">
      <c r="A19" s="77" t="s">
        <v>13</v>
      </c>
      <c r="B19" s="77"/>
      <c r="C19" s="157" t="s">
        <v>238</v>
      </c>
      <c r="D19" s="157"/>
      <c r="E19" s="157" t="s">
        <v>12</v>
      </c>
      <c r="F19" s="157"/>
      <c r="G19" s="165" t="s">
        <v>172</v>
      </c>
      <c r="H19" s="165"/>
      <c r="S19" s="58" t="s">
        <v>179</v>
      </c>
      <c r="T19" s="58" t="s">
        <v>186</v>
      </c>
      <c r="U19" s="58"/>
      <c r="V19" s="58" t="s">
        <v>194</v>
      </c>
      <c r="W19" s="58" t="s">
        <v>211</v>
      </c>
      <c r="X19"/>
      <c r="Y19"/>
      <c r="Z19"/>
    </row>
    <row r="20" spans="1:26" x14ac:dyDescent="0.35">
      <c r="A20" s="77" t="s">
        <v>72</v>
      </c>
      <c r="B20" s="77"/>
      <c r="C20" s="157" t="s">
        <v>175</v>
      </c>
      <c r="D20" s="157"/>
      <c r="E20" s="157" t="s">
        <v>14</v>
      </c>
      <c r="F20" s="157"/>
      <c r="G20" s="100">
        <v>421301</v>
      </c>
      <c r="H20" s="100"/>
      <c r="S20" s="58"/>
      <c r="T20" s="58"/>
      <c r="U20" s="58"/>
      <c r="V20" s="58" t="s">
        <v>195</v>
      </c>
      <c r="W20" s="58" t="s">
        <v>212</v>
      </c>
      <c r="X20"/>
      <c r="Y20"/>
      <c r="Z20"/>
    </row>
    <row r="21" spans="1:26" ht="32.25" customHeight="1" x14ac:dyDescent="0.35">
      <c r="A21" s="77" t="s">
        <v>118</v>
      </c>
      <c r="B21" s="77"/>
      <c r="C21" s="157" t="s">
        <v>239</v>
      </c>
      <c r="D21" s="157"/>
      <c r="E21" s="157" t="s">
        <v>15</v>
      </c>
      <c r="F21" s="157"/>
      <c r="G21" s="157" t="s">
        <v>237</v>
      </c>
      <c r="H21" s="157"/>
      <c r="S21" s="58"/>
      <c r="T21" s="58"/>
      <c r="U21" s="58"/>
      <c r="V21" s="58" t="s">
        <v>196</v>
      </c>
      <c r="W21" s="58" t="s">
        <v>213</v>
      </c>
      <c r="X21"/>
      <c r="Y21"/>
      <c r="Z21"/>
    </row>
    <row r="22" spans="1:26" ht="15" customHeight="1" x14ac:dyDescent="0.35">
      <c r="A22" s="84" t="s">
        <v>74</v>
      </c>
      <c r="B22" s="84"/>
      <c r="C22" s="84"/>
      <c r="D22" s="84"/>
      <c r="E22" s="101" t="s">
        <v>16</v>
      </c>
      <c r="F22" s="101"/>
      <c r="G22" s="101"/>
      <c r="H22" s="101"/>
      <c r="S22" s="58"/>
      <c r="T22" s="58"/>
      <c r="U22" s="58"/>
      <c r="V22" s="58" t="s">
        <v>197</v>
      </c>
      <c r="W22" s="58" t="s">
        <v>214</v>
      </c>
      <c r="X22"/>
      <c r="Y22"/>
      <c r="Z22"/>
    </row>
    <row r="23" spans="1:26" ht="18.75" customHeight="1" x14ac:dyDescent="0.35">
      <c r="A23" s="84"/>
      <c r="B23" s="84"/>
      <c r="C23" s="84"/>
      <c r="D23" s="84"/>
      <c r="E23" s="101"/>
      <c r="F23" s="101"/>
      <c r="G23" s="101"/>
      <c r="H23" s="101"/>
      <c r="S23" s="58"/>
      <c r="T23" s="58"/>
      <c r="U23" s="58"/>
      <c r="V23" s="58" t="s">
        <v>198</v>
      </c>
      <c r="W23" s="58" t="s">
        <v>215</v>
      </c>
      <c r="X23"/>
      <c r="Y23"/>
      <c r="Z23"/>
    </row>
    <row r="24" spans="1:26" ht="15" customHeight="1" x14ac:dyDescent="0.35">
      <c r="A24" s="84" t="s">
        <v>17</v>
      </c>
      <c r="B24" s="84"/>
      <c r="C24" s="84"/>
      <c r="D24" s="84"/>
      <c r="E24" s="100" t="s">
        <v>18</v>
      </c>
      <c r="F24" s="100"/>
      <c r="G24" s="100"/>
      <c r="H24" s="100"/>
      <c r="S24" s="58"/>
      <c r="T24" s="58"/>
      <c r="U24" s="58"/>
      <c r="V24" s="58" t="s">
        <v>199</v>
      </c>
      <c r="W24" s="58" t="s">
        <v>216</v>
      </c>
      <c r="X24"/>
      <c r="Y24"/>
      <c r="Z24"/>
    </row>
    <row r="25" spans="1:26" ht="15" customHeight="1" x14ac:dyDescent="0.35">
      <c r="A25" s="77" t="s">
        <v>19</v>
      </c>
      <c r="B25" s="77"/>
      <c r="C25" s="77"/>
      <c r="D25" s="77"/>
      <c r="E25" s="100" t="str">
        <f>IF(AND(G19="Mumbai"),"Upper Class","Middle Class")</f>
        <v>Middle Class</v>
      </c>
      <c r="F25" s="100"/>
      <c r="G25" s="100"/>
      <c r="H25" s="100"/>
      <c r="S25" s="58"/>
      <c r="T25" s="58"/>
      <c r="U25" s="58"/>
      <c r="V25" s="58" t="s">
        <v>200</v>
      </c>
      <c r="W25" s="58" t="s">
        <v>217</v>
      </c>
      <c r="X25"/>
      <c r="Y25"/>
      <c r="Z25"/>
    </row>
    <row r="26" spans="1:26" x14ac:dyDescent="0.35">
      <c r="A26" s="77" t="s">
        <v>20</v>
      </c>
      <c r="B26" s="77"/>
      <c r="C26" s="77"/>
      <c r="D26" s="77"/>
      <c r="E26" s="100" t="s">
        <v>21</v>
      </c>
      <c r="F26" s="100"/>
      <c r="G26" s="100"/>
      <c r="H26" s="100"/>
      <c r="S26" s="58"/>
      <c r="T26" s="58"/>
      <c r="U26" s="58"/>
      <c r="V26" s="58" t="s">
        <v>201</v>
      </c>
      <c r="W26" s="58" t="s">
        <v>218</v>
      </c>
      <c r="X26"/>
      <c r="Y26"/>
      <c r="Z26"/>
    </row>
    <row r="27" spans="1:26" ht="15.75" customHeight="1" x14ac:dyDescent="0.35">
      <c r="A27" s="77" t="s">
        <v>22</v>
      </c>
      <c r="B27" s="77"/>
      <c r="C27" s="77"/>
      <c r="D27" s="77"/>
      <c r="E27" s="100" t="str">
        <f>IF(AND(G19="Mumbai"),"Developed","Developing")</f>
        <v>Developing</v>
      </c>
      <c r="F27" s="100"/>
      <c r="G27" s="100"/>
      <c r="H27" s="100"/>
    </row>
    <row r="28" spans="1:26" x14ac:dyDescent="0.35">
      <c r="A28" s="77" t="s">
        <v>23</v>
      </c>
      <c r="B28" s="77"/>
      <c r="C28" s="77"/>
      <c r="D28" s="77"/>
      <c r="E28" s="100" t="s">
        <v>24</v>
      </c>
      <c r="F28" s="100"/>
      <c r="G28" s="100"/>
      <c r="H28" s="100"/>
    </row>
    <row r="29" spans="1:26" ht="15.75" customHeight="1" x14ac:dyDescent="0.35">
      <c r="A29" s="77" t="s">
        <v>79</v>
      </c>
      <c r="B29" s="77"/>
      <c r="C29" s="77"/>
      <c r="D29" s="77"/>
      <c r="E29" s="100" t="s">
        <v>80</v>
      </c>
      <c r="F29" s="100"/>
      <c r="G29" s="100"/>
      <c r="H29" s="100"/>
    </row>
    <row r="30" spans="1:26" ht="15" customHeight="1" x14ac:dyDescent="0.35">
      <c r="A30" s="77" t="s">
        <v>32</v>
      </c>
      <c r="B30" s="77"/>
      <c r="C30" s="77"/>
      <c r="D30" s="77"/>
      <c r="E30" s="100" t="str">
        <f>IF(AND(ISNUMBER(SEARCH("Flat",D58)),ISNUMBER(SEARCH("Shop",D58)),ISNUMBER(SEARCH("Office",D58))),"Residential + Commercial",IF(AND(ISNUMBER(SEARCH("Flat",D58)),ISNUMBER(SEARCH("Shop",D58))),"Residential + Commercial",IF(AND(ISNUMBER(SEARCH("Flat",D58)),ISNUMBER(SEARCH("Office",D58))),"Residential + Commercial",IF(AND(ISNUMBER(SEARCH("Shop",D58)),ISNUMBER(SEARCH("Office",D58))),"Commercial",IF(ISNUMBER(SEARCH("Shop",D58)),"Commercial",IF(ISNUMBER(SEARCH("Office",D58)),"Commercial",IF(ISNUMBER(SEARCH("Flat",D58)),"Residential")))))))</f>
        <v>Residential + Commercial</v>
      </c>
      <c r="F30" s="100"/>
      <c r="G30" s="100"/>
      <c r="H30" s="100"/>
    </row>
    <row r="31" spans="1:26" ht="15.75" customHeight="1" x14ac:dyDescent="0.35">
      <c r="A31" s="77" t="s">
        <v>90</v>
      </c>
      <c r="B31" s="77"/>
      <c r="C31" s="77"/>
      <c r="D31" s="77"/>
      <c r="E31" s="100" t="s">
        <v>33</v>
      </c>
      <c r="F31" s="100"/>
      <c r="G31" s="100"/>
      <c r="H31" s="100"/>
    </row>
    <row r="32" spans="1:26" s="23" customFormat="1" x14ac:dyDescent="0.35">
      <c r="A32" s="171" t="s">
        <v>91</v>
      </c>
      <c r="B32" s="171"/>
      <c r="C32" s="168" t="s">
        <v>168</v>
      </c>
      <c r="D32" s="169"/>
      <c r="E32" s="170"/>
      <c r="F32" s="168" t="s">
        <v>30</v>
      </c>
      <c r="G32" s="169"/>
      <c r="H32" s="170"/>
    </row>
    <row r="33" spans="1:8" s="23" customFormat="1" x14ac:dyDescent="0.35">
      <c r="A33" s="167" t="s">
        <v>25</v>
      </c>
      <c r="B33" s="167" t="s">
        <v>29</v>
      </c>
      <c r="C33" s="162" t="s">
        <v>248</v>
      </c>
      <c r="D33" s="163"/>
      <c r="E33" s="164"/>
      <c r="F33" s="162" t="s">
        <v>243</v>
      </c>
      <c r="G33" s="163"/>
      <c r="H33" s="164"/>
    </row>
    <row r="34" spans="1:8" x14ac:dyDescent="0.35">
      <c r="A34" s="167" t="s">
        <v>26</v>
      </c>
      <c r="B34" s="167" t="s">
        <v>29</v>
      </c>
      <c r="C34" s="162" t="s">
        <v>249</v>
      </c>
      <c r="D34" s="163"/>
      <c r="E34" s="164"/>
      <c r="F34" s="162" t="s">
        <v>245</v>
      </c>
      <c r="G34" s="163"/>
      <c r="H34" s="164"/>
    </row>
    <row r="35" spans="1:8" s="23" customFormat="1" x14ac:dyDescent="0.35">
      <c r="A35" s="167" t="s">
        <v>28</v>
      </c>
      <c r="B35" s="167" t="s">
        <v>29</v>
      </c>
      <c r="C35" s="162" t="s">
        <v>247</v>
      </c>
      <c r="D35" s="163"/>
      <c r="E35" s="164"/>
      <c r="F35" s="162" t="s">
        <v>244</v>
      </c>
      <c r="G35" s="163"/>
      <c r="H35" s="164"/>
    </row>
    <row r="36" spans="1:8" ht="43.5" customHeight="1" x14ac:dyDescent="0.35">
      <c r="A36" s="172" t="s">
        <v>27</v>
      </c>
      <c r="B36" s="172" t="s">
        <v>29</v>
      </c>
      <c r="C36" s="166" t="s">
        <v>272</v>
      </c>
      <c r="D36" s="166"/>
      <c r="E36" s="166"/>
      <c r="F36" s="166" t="s">
        <v>246</v>
      </c>
      <c r="G36" s="166"/>
      <c r="H36" s="166"/>
    </row>
    <row r="37" spans="1:8" x14ac:dyDescent="0.35">
      <c r="A37" s="77" t="s">
        <v>31</v>
      </c>
      <c r="B37" s="77"/>
      <c r="C37" s="77"/>
      <c r="D37" s="77"/>
      <c r="E37" s="77"/>
      <c r="F37" s="77"/>
      <c r="G37" s="77"/>
      <c r="H37" s="77"/>
    </row>
    <row r="38" spans="1:8" ht="15.75" customHeight="1" x14ac:dyDescent="0.35">
      <c r="A38" s="77" t="s">
        <v>161</v>
      </c>
      <c r="B38" s="77"/>
      <c r="C38" s="155" t="s">
        <v>235</v>
      </c>
      <c r="D38" s="155"/>
      <c r="E38" s="155"/>
      <c r="F38" s="155"/>
      <c r="G38" s="155"/>
      <c r="H38" s="155"/>
    </row>
    <row r="39" spans="1:8" x14ac:dyDescent="0.35">
      <c r="A39" s="77" t="s">
        <v>157</v>
      </c>
      <c r="B39" s="77"/>
      <c r="C39" s="187" t="s">
        <v>236</v>
      </c>
      <c r="D39" s="188"/>
      <c r="E39" s="188"/>
      <c r="F39" s="188"/>
      <c r="G39" s="188"/>
      <c r="H39" s="188"/>
    </row>
    <row r="40" spans="1:8" x14ac:dyDescent="0.35">
      <c r="A40" s="155" t="s">
        <v>34</v>
      </c>
      <c r="B40" s="155"/>
      <c r="C40" s="155"/>
      <c r="D40" s="155"/>
      <c r="E40" s="155"/>
      <c r="F40" s="155"/>
      <c r="G40" s="155"/>
      <c r="H40" s="155"/>
    </row>
    <row r="41" spans="1:8" x14ac:dyDescent="0.35">
      <c r="A41" s="77" t="s">
        <v>35</v>
      </c>
      <c r="B41" s="77"/>
      <c r="C41" s="77"/>
      <c r="D41" s="77"/>
      <c r="E41" s="176">
        <v>44453</v>
      </c>
      <c r="F41" s="176"/>
      <c r="G41" s="176"/>
      <c r="H41" s="176"/>
    </row>
    <row r="42" spans="1:8" x14ac:dyDescent="0.35">
      <c r="A42" s="77" t="s">
        <v>36</v>
      </c>
      <c r="B42" s="77"/>
      <c r="C42" s="77"/>
      <c r="D42" s="77"/>
      <c r="E42" s="85">
        <v>0.85</v>
      </c>
      <c r="F42" s="85"/>
      <c r="G42" s="85"/>
      <c r="H42" s="85"/>
    </row>
    <row r="43" spans="1:8" x14ac:dyDescent="0.35">
      <c r="A43" s="77" t="s">
        <v>37</v>
      </c>
      <c r="B43" s="77"/>
      <c r="C43" s="77"/>
      <c r="D43" s="77"/>
      <c r="E43" s="178">
        <f>E45/E41-E42</f>
        <v>3.7225384113558246E-2</v>
      </c>
      <c r="F43" s="178"/>
      <c r="G43" s="178"/>
      <c r="H43" s="178"/>
    </row>
    <row r="44" spans="1:8" x14ac:dyDescent="0.35">
      <c r="A44" s="77" t="s">
        <v>38</v>
      </c>
      <c r="B44" s="77"/>
      <c r="C44" s="77"/>
      <c r="D44" s="77"/>
      <c r="E44" s="178">
        <f>E42+E43</f>
        <v>0.88722538411355822</v>
      </c>
      <c r="F44" s="178"/>
      <c r="G44" s="178"/>
      <c r="H44" s="178"/>
    </row>
    <row r="45" spans="1:8" x14ac:dyDescent="0.35">
      <c r="A45" s="77" t="s">
        <v>89</v>
      </c>
      <c r="B45" s="77"/>
      <c r="C45" s="77"/>
      <c r="D45" s="77"/>
      <c r="E45" s="85">
        <v>39439.83</v>
      </c>
      <c r="F45" s="85"/>
      <c r="G45" s="85"/>
      <c r="H45" s="85"/>
    </row>
    <row r="46" spans="1:8" x14ac:dyDescent="0.35">
      <c r="A46" s="101" t="s">
        <v>39</v>
      </c>
      <c r="B46" s="101"/>
      <c r="C46" s="101"/>
      <c r="D46" s="101"/>
      <c r="E46" s="102" t="s">
        <v>250</v>
      </c>
      <c r="F46" s="102"/>
      <c r="G46" s="102"/>
      <c r="H46" s="102"/>
    </row>
    <row r="47" spans="1:8" x14ac:dyDescent="0.35">
      <c r="A47" s="155" t="s">
        <v>40</v>
      </c>
      <c r="B47" s="155"/>
      <c r="C47" s="155"/>
      <c r="D47" s="155"/>
      <c r="E47" s="155"/>
      <c r="F47" s="155"/>
      <c r="G47" s="155"/>
      <c r="H47" s="155"/>
    </row>
    <row r="48" spans="1:8" ht="33.75" customHeight="1" x14ac:dyDescent="0.35">
      <c r="A48" s="93" t="s">
        <v>147</v>
      </c>
      <c r="B48" s="94"/>
      <c r="C48" s="193" t="s">
        <v>251</v>
      </c>
      <c r="D48" s="194"/>
      <c r="E48" s="194"/>
      <c r="F48" s="194"/>
      <c r="G48" s="194"/>
      <c r="H48" s="195"/>
    </row>
    <row r="49" spans="1:15" ht="33" customHeight="1" x14ac:dyDescent="0.35">
      <c r="A49" s="93" t="s">
        <v>41</v>
      </c>
      <c r="B49" s="94"/>
      <c r="C49" s="93" t="s">
        <v>282</v>
      </c>
      <c r="D49" s="95"/>
      <c r="E49" s="94"/>
      <c r="F49" s="19" t="s">
        <v>42</v>
      </c>
      <c r="G49" s="96">
        <v>42832</v>
      </c>
      <c r="H49" s="94"/>
    </row>
    <row r="50" spans="1:15" ht="34.5" customHeight="1" x14ac:dyDescent="0.35">
      <c r="A50" s="93" t="s">
        <v>43</v>
      </c>
      <c r="B50" s="94"/>
      <c r="C50" s="93" t="s">
        <v>283</v>
      </c>
      <c r="D50" s="95"/>
      <c r="E50" s="94"/>
      <c r="F50" s="19" t="s">
        <v>42</v>
      </c>
      <c r="G50" s="96">
        <v>42832</v>
      </c>
      <c r="H50" s="94"/>
    </row>
    <row r="51" spans="1:15" s="24" customFormat="1" ht="33.75" customHeight="1" x14ac:dyDescent="0.35">
      <c r="A51" s="107" t="s">
        <v>151</v>
      </c>
      <c r="B51" s="108"/>
      <c r="C51" s="105" t="s">
        <v>253</v>
      </c>
      <c r="D51" s="106"/>
      <c r="E51" s="98"/>
      <c r="F51" s="62" t="s">
        <v>42</v>
      </c>
      <c r="G51" s="97">
        <v>42832</v>
      </c>
      <c r="H51" s="98"/>
    </row>
    <row r="52" spans="1:15" s="24" customFormat="1" ht="15" customHeight="1" x14ac:dyDescent="0.35">
      <c r="A52" s="109"/>
      <c r="B52" s="110"/>
      <c r="C52" s="93" t="s">
        <v>252</v>
      </c>
      <c r="D52" s="95"/>
      <c r="E52" s="95"/>
      <c r="F52" s="95"/>
      <c r="G52" s="95"/>
      <c r="H52" s="94"/>
    </row>
    <row r="53" spans="1:15" ht="36.75" customHeight="1" x14ac:dyDescent="0.35">
      <c r="A53" s="111" t="s">
        <v>274</v>
      </c>
      <c r="B53" s="112"/>
      <c r="C53" s="79" t="s">
        <v>273</v>
      </c>
      <c r="D53" s="80"/>
      <c r="E53" s="81"/>
      <c r="F53" s="46" t="s">
        <v>42</v>
      </c>
      <c r="G53" s="103">
        <v>43241</v>
      </c>
      <c r="H53" s="104"/>
    </row>
    <row r="54" spans="1:15" x14ac:dyDescent="0.35">
      <c r="A54" s="113"/>
      <c r="B54" s="114"/>
      <c r="C54" s="79" t="s">
        <v>252</v>
      </c>
      <c r="D54" s="80"/>
      <c r="E54" s="80"/>
      <c r="F54" s="80"/>
      <c r="G54" s="80"/>
      <c r="H54" s="81"/>
    </row>
    <row r="55" spans="1:15" x14ac:dyDescent="0.35">
      <c r="A55" s="93" t="s">
        <v>275</v>
      </c>
      <c r="B55" s="94"/>
      <c r="C55" s="105" t="s">
        <v>276</v>
      </c>
      <c r="D55" s="106"/>
      <c r="E55" s="98"/>
      <c r="F55" s="62" t="s">
        <v>42</v>
      </c>
      <c r="G55" s="97">
        <v>43838</v>
      </c>
      <c r="H55" s="98"/>
    </row>
    <row r="56" spans="1:15" x14ac:dyDescent="0.35">
      <c r="A56" s="99" t="s">
        <v>45</v>
      </c>
      <c r="B56" s="99"/>
      <c r="C56" s="99"/>
      <c r="D56" s="99"/>
      <c r="E56" s="99"/>
      <c r="F56" s="99"/>
      <c r="G56" s="99"/>
      <c r="H56" s="99"/>
    </row>
    <row r="57" spans="1:15" x14ac:dyDescent="0.35">
      <c r="A57" s="84" t="s">
        <v>277</v>
      </c>
      <c r="B57" s="84"/>
      <c r="C57" s="84"/>
      <c r="D57" s="77">
        <v>2011.52</v>
      </c>
      <c r="E57" s="77"/>
      <c r="F57" s="77"/>
      <c r="G57" s="77"/>
      <c r="H57" s="77"/>
    </row>
    <row r="58" spans="1:15" x14ac:dyDescent="0.35">
      <c r="A58" s="100" t="s">
        <v>46</v>
      </c>
      <c r="B58" s="101"/>
      <c r="C58" s="101"/>
      <c r="D58" s="102" t="s">
        <v>271</v>
      </c>
      <c r="E58" s="102"/>
      <c r="F58" s="102"/>
      <c r="G58" s="102"/>
      <c r="H58" s="102"/>
      <c r="I58" s="25"/>
    </row>
    <row r="59" spans="1:15" x14ac:dyDescent="0.35">
      <c r="A59" s="115" t="s">
        <v>47</v>
      </c>
      <c r="B59" s="116"/>
      <c r="C59" s="186"/>
      <c r="D59" s="157" t="s">
        <v>254</v>
      </c>
      <c r="E59" s="102"/>
      <c r="F59" s="102"/>
      <c r="G59" s="102"/>
      <c r="H59" s="102"/>
    </row>
    <row r="60" spans="1:15" ht="15.75" customHeight="1" x14ac:dyDescent="0.35">
      <c r="A60" s="115" t="s">
        <v>87</v>
      </c>
      <c r="B60" s="116"/>
      <c r="C60" s="116"/>
      <c r="D60" s="102" t="s">
        <v>254</v>
      </c>
      <c r="E60" s="102"/>
      <c r="F60" s="102"/>
      <c r="G60" s="102"/>
      <c r="H60" s="102"/>
    </row>
    <row r="61" spans="1:15" ht="15.75" customHeight="1" x14ac:dyDescent="0.35">
      <c r="A61" s="77" t="s">
        <v>44</v>
      </c>
      <c r="B61" s="77"/>
      <c r="C61" s="77"/>
      <c r="D61" s="84" t="s">
        <v>284</v>
      </c>
      <c r="E61" s="84"/>
      <c r="F61" s="84"/>
      <c r="G61" s="84"/>
      <c r="H61" s="84"/>
      <c r="J61" s="26"/>
      <c r="K61" s="25"/>
      <c r="N61" s="25"/>
    </row>
    <row r="62" spans="1:15" ht="15.75" customHeight="1" x14ac:dyDescent="0.35">
      <c r="A62" s="77" t="s">
        <v>85</v>
      </c>
      <c r="B62" s="77"/>
      <c r="C62" s="77"/>
      <c r="D62" s="177" t="str">
        <f ca="1">(IF(G53="NA","60 Years After Completion",IF(G53&lt;&gt;"NA",""&amp;60-ROUNDDOWN((E3-G53)/360,0)&amp;" Years"," ")))</f>
        <v>53 Years</v>
      </c>
      <c r="E62" s="177"/>
      <c r="F62" s="177"/>
      <c r="G62" s="177"/>
      <c r="H62" s="177"/>
      <c r="N62" s="25"/>
    </row>
    <row r="63" spans="1:15" ht="15.75" customHeight="1" x14ac:dyDescent="0.35">
      <c r="A63" s="77" t="s">
        <v>86</v>
      </c>
      <c r="B63" s="77"/>
      <c r="C63" s="77"/>
      <c r="D63" s="84" t="s">
        <v>24</v>
      </c>
      <c r="E63" s="84"/>
      <c r="F63" s="84"/>
      <c r="G63" s="84"/>
      <c r="H63" s="84"/>
      <c r="J63" s="27"/>
      <c r="K63" s="27"/>
      <c r="O63" s="22" t="s">
        <v>279</v>
      </c>
    </row>
    <row r="64" spans="1:15" ht="82.5" customHeight="1" x14ac:dyDescent="0.35">
      <c r="A64" s="102" t="s">
        <v>256</v>
      </c>
      <c r="B64" s="102"/>
      <c r="C64" s="102"/>
      <c r="D64" s="157" t="s">
        <v>281</v>
      </c>
      <c r="E64" s="157"/>
      <c r="F64" s="157"/>
      <c r="G64" s="157"/>
      <c r="H64" s="157"/>
      <c r="I64" s="180" t="s">
        <v>255</v>
      </c>
      <c r="J64" s="73"/>
      <c r="K64" s="73"/>
      <c r="L64" s="73"/>
      <c r="M64" s="73"/>
      <c r="O64" s="22" t="s">
        <v>280</v>
      </c>
    </row>
    <row r="65" spans="1:14" x14ac:dyDescent="0.35">
      <c r="A65" s="84" t="s">
        <v>144</v>
      </c>
      <c r="B65" s="84"/>
      <c r="C65" s="84"/>
      <c r="D65" s="84" t="s">
        <v>29</v>
      </c>
      <c r="E65" s="84"/>
      <c r="F65" s="84"/>
      <c r="G65" s="84"/>
      <c r="H65" s="84"/>
      <c r="I65" s="28"/>
      <c r="J65" s="28"/>
      <c r="K65" s="28"/>
      <c r="L65" s="28"/>
      <c r="M65" s="28"/>
      <c r="N65" s="28"/>
    </row>
    <row r="66" spans="1:14" ht="15.75" customHeight="1" x14ac:dyDescent="0.35">
      <c r="A66" s="77" t="s">
        <v>84</v>
      </c>
      <c r="B66" s="77"/>
      <c r="C66" s="77"/>
      <c r="D66" s="100" t="str">
        <f ca="1">(IF(G72&gt;95%,"Nothing",IF(G72&gt;0%,"Cement, Aggregate, Steel, etc",IF(G72=0%,"Work not yet Started"))))</f>
        <v>Nothing</v>
      </c>
      <c r="E66" s="100"/>
      <c r="F66" s="100"/>
      <c r="G66" s="100"/>
      <c r="H66" s="100"/>
      <c r="J66" s="27"/>
    </row>
    <row r="67" spans="1:14" ht="33.75" customHeight="1" thickBot="1" x14ac:dyDescent="0.4">
      <c r="A67" s="84" t="s">
        <v>115</v>
      </c>
      <c r="B67" s="84"/>
      <c r="C67" s="84"/>
      <c r="D67" s="100" t="str">
        <f ca="1">(IF(D66="Nothing","Yes",IF(D66="Cement, Aggregate, Steel, etc","Under Construction",IF(D66="Work not yet Started","Work not yet Started"))))</f>
        <v>Yes</v>
      </c>
      <c r="E67" s="100"/>
      <c r="F67" s="100" t="str">
        <f ca="1">(IF(D66="Nothing","Yes",IF(D66="Cement, Aggregate, Steel, etc","Under Construction",IF(D66="Work not yet Started","Work not yet Started"))))</f>
        <v>Yes</v>
      </c>
      <c r="G67" s="100"/>
      <c r="H67" s="100"/>
    </row>
    <row r="68" spans="1:14" ht="15.75" customHeight="1" x14ac:dyDescent="0.35">
      <c r="A68" s="159" t="s">
        <v>136</v>
      </c>
      <c r="B68" s="159"/>
      <c r="C68" s="159" t="str">
        <f>D60</f>
        <v>Wing F1 = Gr + 1st to 7th Floor</v>
      </c>
      <c r="D68" s="159"/>
      <c r="E68" s="159"/>
      <c r="F68" s="159"/>
      <c r="G68" s="159"/>
      <c r="H68" s="159"/>
      <c r="I68" s="69" t="str">
        <f ca="1">IF(D81=100%,"All work Completed. Possession granted to the Building.",IF(D80=100%,"All work Completed, Waiting for OC",I69&amp;""&amp;I70&amp;""&amp;J69&amp;""&amp;J68&amp;" "&amp;J70))</f>
        <v>All work Completed. Possession granted to the Building.</v>
      </c>
      <c r="J68" s="51" t="str">
        <f ca="1">(IF(C74=(D69+F69+H69),"",IF(C74&gt;0,", RCC upto "&amp;C74&amp;" Slab","")))&amp;(IF(C75=H69,"",IF(C75&gt;0,", Brickwork upto "&amp;C75&amp;" Floor","")))&amp;(IF(C76=H69,"",IF(C76&gt;0,", Internal Plaster upto "&amp;C76&amp;" Floor","")))&amp;(IF(C77=H69,"",IF(C77&gt;0,", External Plaster upto "&amp;C77&amp;" Floor","")))&amp;(IF(C78=H69,"",IF(C78&gt;0,", Flooring upto "&amp;C78&amp;" Floor","")))&amp;(IF(C79=H69,"",IF(C79&gt;0,", Painting upto "&amp;C79&amp;" Floor","")))&amp;(IF(C80=H69,"",IF(C80&gt;0,", Finishing upto "&amp;C80&amp;" Floor","")))&amp;(IF(C81=H69,"",IF(C81&gt;0,", Possession upto "&amp;C81&amp;" Floor","")))</f>
        <v/>
      </c>
    </row>
    <row r="69" spans="1:14" x14ac:dyDescent="0.35">
      <c r="A69" s="54" t="s">
        <v>138</v>
      </c>
      <c r="B69" s="54">
        <f>IF(AND(ISNUMBER(SEARCH("1B",C68))),1,IF(AND(ISNUMBER(SEARCH("2B",C68))),2,IF(AND(ISNUMBER(SEARCH("3B",C68))),3,IF(AND(ISNUMBER(SEARCH("4B",C68))),4,IF(ISNUMBER(SEARCH("5B",C68)),5,0)))))</f>
        <v>0</v>
      </c>
      <c r="C69" s="63" t="s">
        <v>70</v>
      </c>
      <c r="D69" s="63">
        <v>1</v>
      </c>
      <c r="E69" s="63" t="s">
        <v>69</v>
      </c>
      <c r="F69" s="63">
        <v>0</v>
      </c>
      <c r="G69" s="63" t="s">
        <v>78</v>
      </c>
      <c r="H69" s="63">
        <f ca="1">--TRIM(RIGHT(SUBSTITUTE(LEFT(C68,_xlfn.AGGREGATE(16,6,FIND({0,1,2,3,4,5,6,7,8,9},C68,ROW(INDIRECT("1:"&amp;LEN(C68)))),1))," ",REPT(" ",LEN(C68))),LEN(C68)))</f>
        <v>7</v>
      </c>
      <c r="I69" s="70" t="str">
        <f ca="1">IF(D72=100%,"Excavation","")&amp;IF(D73=100%,", Plinth","")&amp;IF(D74=100%,", RCC Slab","")&amp;IF(D75=100%,", Brickwork","")&amp;IF(D76=100%,", Internal Plaster","")&amp;IF(D77=100%,", External Plaster","")&amp;IF(D78=100%,", Flooring","")&amp;IF(D79=100%,", Painting","")&amp;IF(D80=100%,", Building common Amenities","")</f>
        <v>Excavation, Plinth, RCC Slab, Brickwork, Internal Plaster, External Plaster, Flooring, Painting, Building common Amenities</v>
      </c>
      <c r="J69" s="53" t="str">
        <f ca="1">(IF(C72=0,"Work not yet Started.",IF(D72=25%,"Piling work in process",IF(D72=50%,"Excavation work in process",IF(D72=100%,"","0")))))&amp;(IF(C73=0%,"",IF(C73=J74,", Footing work is process",IF(C73=J75,", Footing work Completed",IF(C73=J76,", 1st Basement Completed",IF(C73=J77,", 1st &amp; 2nd Basement Completed",IF(C73=J78,", 1st to 3rd Basement Completed",IF(C73=J79,", 1st to 4th Basement Completed",IF(C73=J80,", Plinth work is process",IF(C73=J81,"","0"))))))))))</f>
        <v/>
      </c>
    </row>
    <row r="70" spans="1:14" x14ac:dyDescent="0.35">
      <c r="A70" s="158" t="s">
        <v>88</v>
      </c>
      <c r="B70" s="158"/>
      <c r="C70" s="192" t="str">
        <f ca="1">I68</f>
        <v>All work Completed. Possession granted to the Building.</v>
      </c>
      <c r="D70" s="192"/>
      <c r="E70" s="192"/>
      <c r="F70" s="192"/>
      <c r="G70" s="192"/>
      <c r="H70" s="192"/>
      <c r="I70" s="70" t="str">
        <f ca="1">IF(I69&lt;&gt;""," Completed","")</f>
        <v xml:space="preserve"> Completed</v>
      </c>
      <c r="J70" s="53" t="str">
        <f ca="1">IF(J68&lt;&gt;"","Completed","")</f>
        <v/>
      </c>
    </row>
    <row r="71" spans="1:14" ht="15.75" customHeight="1" x14ac:dyDescent="0.35">
      <c r="A71" s="92" t="s">
        <v>48</v>
      </c>
      <c r="B71" s="92"/>
      <c r="C71" s="71" t="s">
        <v>135</v>
      </c>
      <c r="D71" s="71" t="s">
        <v>81</v>
      </c>
      <c r="E71" s="92" t="s">
        <v>83</v>
      </c>
      <c r="F71" s="92"/>
      <c r="G71" s="92" t="s">
        <v>82</v>
      </c>
      <c r="H71" s="92"/>
      <c r="I71" s="14" t="s">
        <v>137</v>
      </c>
      <c r="J71" s="29">
        <f ca="1">H69*25%</f>
        <v>1.75</v>
      </c>
    </row>
    <row r="72" spans="1:14" x14ac:dyDescent="0.35">
      <c r="A72" s="92" t="s">
        <v>124</v>
      </c>
      <c r="B72" s="92"/>
      <c r="C72" s="71">
        <f ca="1">J73</f>
        <v>7</v>
      </c>
      <c r="D72" s="20">
        <f ca="1">((100/H69)*C72)/100</f>
        <v>1</v>
      </c>
      <c r="E72" s="208">
        <f ca="1">(((C73/H69*10)+(40/(D69+F69+H69)*C74)+(7.5/(H69)*C75)+(7.5/(H69)*C76)+(10/H69*C77)+(10/H69*C78)+(5/H69*C79)+(5/H69*C80)+(5/H69*C81))/100)</f>
        <v>1</v>
      </c>
      <c r="F72" s="208"/>
      <c r="G72" s="208">
        <f ca="1">((((C72/H69)*20)+((C73/H69)*25)+(30/(H69+F69+D69)*C74)+(5/H69*C75)+(5/H69*C76)+(5/H69*C77)+(5/H69*C78)+(0/H69*C79)+(0/H69*C80)+(5/H69*C81))/100)</f>
        <v>1</v>
      </c>
      <c r="H72" s="208"/>
      <c r="I72" s="14" t="s">
        <v>98</v>
      </c>
      <c r="J72" s="30">
        <f ca="1">H69*50%</f>
        <v>3.5</v>
      </c>
    </row>
    <row r="73" spans="1:14" x14ac:dyDescent="0.35">
      <c r="A73" s="92" t="s">
        <v>49</v>
      </c>
      <c r="B73" s="92"/>
      <c r="C73" s="71">
        <f ca="1">J81</f>
        <v>7</v>
      </c>
      <c r="D73" s="20">
        <f ca="1">((100/H69)*C73)/100</f>
        <v>1</v>
      </c>
      <c r="E73" s="208"/>
      <c r="F73" s="208"/>
      <c r="G73" s="208"/>
      <c r="H73" s="208"/>
      <c r="I73" s="14" t="s">
        <v>99</v>
      </c>
      <c r="J73" s="30">
        <f ca="1">H69</f>
        <v>7</v>
      </c>
    </row>
    <row r="74" spans="1:14" ht="15.75" customHeight="1" x14ac:dyDescent="0.35">
      <c r="A74" s="92" t="s">
        <v>125</v>
      </c>
      <c r="B74" s="92"/>
      <c r="C74" s="71">
        <v>8</v>
      </c>
      <c r="D74" s="20">
        <f ca="1">((100/(D69+F69+H69))*C74)/100</f>
        <v>1</v>
      </c>
      <c r="E74" s="208"/>
      <c r="F74" s="208"/>
      <c r="G74" s="208"/>
      <c r="H74" s="208"/>
      <c r="I74" s="14" t="s">
        <v>100</v>
      </c>
      <c r="J74" s="31">
        <f ca="1">(IF(B69&gt;1,(H69/(B69+2)),H69/4))</f>
        <v>1.75</v>
      </c>
    </row>
    <row r="75" spans="1:14" ht="15.75" customHeight="1" x14ac:dyDescent="0.35">
      <c r="A75" s="92" t="s">
        <v>132</v>
      </c>
      <c r="B75" s="92" t="s">
        <v>126</v>
      </c>
      <c r="C75" s="71">
        <v>7</v>
      </c>
      <c r="D75" s="20">
        <f ca="1">((100/H69)*C75)/100</f>
        <v>1</v>
      </c>
      <c r="E75" s="208"/>
      <c r="F75" s="208"/>
      <c r="G75" s="208"/>
      <c r="H75" s="208"/>
      <c r="I75" s="14" t="s">
        <v>101</v>
      </c>
      <c r="J75" s="31">
        <f ca="1">(IF(B69&gt;1,(H69/(B69+2)+J74),H69/4+J74))</f>
        <v>3.5</v>
      </c>
    </row>
    <row r="76" spans="1:14" ht="15.75" customHeight="1" x14ac:dyDescent="0.35">
      <c r="A76" s="92" t="s">
        <v>133</v>
      </c>
      <c r="B76" s="92" t="s">
        <v>126</v>
      </c>
      <c r="C76" s="71">
        <v>7</v>
      </c>
      <c r="D76" s="20">
        <f ca="1">((100/H69)*C76)/100</f>
        <v>1</v>
      </c>
      <c r="E76" s="208"/>
      <c r="F76" s="208"/>
      <c r="G76" s="208"/>
      <c r="H76" s="208"/>
      <c r="I76" s="14" t="s">
        <v>142</v>
      </c>
      <c r="J76" s="31">
        <f>(IF(B69&gt;1,(H69/(B69+2)+J75),0))</f>
        <v>0</v>
      </c>
    </row>
    <row r="77" spans="1:14" ht="15" customHeight="1" x14ac:dyDescent="0.35">
      <c r="A77" s="92" t="s">
        <v>131</v>
      </c>
      <c r="B77" s="92" t="s">
        <v>128</v>
      </c>
      <c r="C77" s="71">
        <v>7</v>
      </c>
      <c r="D77" s="20">
        <f ca="1">((100/(H69))*C77)/100</f>
        <v>1</v>
      </c>
      <c r="E77" s="208"/>
      <c r="F77" s="208"/>
      <c r="G77" s="208"/>
      <c r="H77" s="208"/>
      <c r="I77" s="14" t="s">
        <v>139</v>
      </c>
      <c r="J77" s="31">
        <f>(IF(B69&gt;2,(H69/(B69+2)+J76),0))</f>
        <v>0</v>
      </c>
    </row>
    <row r="78" spans="1:14" ht="15.75" customHeight="1" x14ac:dyDescent="0.35">
      <c r="A78" s="92" t="s">
        <v>127</v>
      </c>
      <c r="B78" s="92" t="s">
        <v>127</v>
      </c>
      <c r="C78" s="71">
        <v>7</v>
      </c>
      <c r="D78" s="20">
        <f ca="1">((100/H69)*C78)/100</f>
        <v>1</v>
      </c>
      <c r="E78" s="208"/>
      <c r="F78" s="208"/>
      <c r="G78" s="208"/>
      <c r="H78" s="208"/>
      <c r="I78" s="14" t="s">
        <v>140</v>
      </c>
      <c r="J78" s="32">
        <f>(IF(B69&gt;3,(H69/(B69+2)+J77),0))</f>
        <v>0</v>
      </c>
    </row>
    <row r="79" spans="1:14" ht="15.75" customHeight="1" x14ac:dyDescent="0.35">
      <c r="A79" s="92" t="s">
        <v>134</v>
      </c>
      <c r="B79" s="92"/>
      <c r="C79" s="71">
        <v>7</v>
      </c>
      <c r="D79" s="20">
        <f ca="1">((100/H69)*C79)/100</f>
        <v>1</v>
      </c>
      <c r="E79" s="208"/>
      <c r="F79" s="208"/>
      <c r="G79" s="208"/>
      <c r="H79" s="208"/>
      <c r="I79" s="14" t="s">
        <v>141</v>
      </c>
      <c r="J79" s="31">
        <f>(IF(B69&gt;4,(H69/(B69+2)+J78),0))</f>
        <v>0</v>
      </c>
    </row>
    <row r="80" spans="1:14" ht="15.75" customHeight="1" x14ac:dyDescent="0.35">
      <c r="A80" s="92" t="s">
        <v>129</v>
      </c>
      <c r="B80" s="92" t="s">
        <v>129</v>
      </c>
      <c r="C80" s="71">
        <v>7</v>
      </c>
      <c r="D80" s="20">
        <f ca="1">((100/(H69))*C80)/100</f>
        <v>1</v>
      </c>
      <c r="E80" s="208"/>
      <c r="F80" s="208"/>
      <c r="G80" s="208"/>
      <c r="H80" s="208"/>
      <c r="I80" s="14" t="s">
        <v>143</v>
      </c>
      <c r="J80" s="31">
        <f ca="1">(IF(B69=1,(H69/(B69+3)+J75),IF(B69=0,(H69/4+J75),IF(B69&gt;1,0))))</f>
        <v>5.25</v>
      </c>
    </row>
    <row r="81" spans="1:10" ht="16" thickBot="1" x14ac:dyDescent="0.4">
      <c r="A81" s="92" t="s">
        <v>130</v>
      </c>
      <c r="B81" s="92"/>
      <c r="C81" s="71">
        <v>7</v>
      </c>
      <c r="D81" s="20">
        <f ca="1">((100/(H69))*C81)/100</f>
        <v>1</v>
      </c>
      <c r="E81" s="208"/>
      <c r="F81" s="208"/>
      <c r="G81" s="208"/>
      <c r="H81" s="208"/>
      <c r="I81" s="16" t="s">
        <v>102</v>
      </c>
      <c r="J81" s="33">
        <f ca="1">(IF(B69&gt;1.5,(H69/(B69+2)+J75+MAX(0,J76-J75)+MAX(0,J77-J76)+MAX(0,J78-J77)+MAX(0,J79-J78)+MAX(0,J80-J79)),IF(B69=1,(H69/(B69+3)+J80),IF(B69=0,H69/4+J80))))</f>
        <v>7</v>
      </c>
    </row>
    <row r="82" spans="1:10" ht="15.75" hidden="1" customHeight="1" x14ac:dyDescent="0.35">
      <c r="A82" s="205" t="s">
        <v>136</v>
      </c>
      <c r="B82" s="114"/>
      <c r="C82" s="113" t="e">
        <f>#REF!</f>
        <v>#REF!</v>
      </c>
      <c r="D82" s="206"/>
      <c r="E82" s="206"/>
      <c r="F82" s="206"/>
      <c r="G82" s="206"/>
      <c r="H82" s="207"/>
      <c r="I82" s="50" t="e">
        <f ca="1">IF(D95=100%,"All work Completed. Possession granted to the Building.",IF(D94=100%,"All work Completed, Waiting for OC",I83&amp;""&amp;I84&amp;""&amp;J83&amp;""&amp;J82&amp;" "&amp;J84))</f>
        <v>#REF!</v>
      </c>
      <c r="J82" s="51" t="e">
        <f ca="1">(IF(C88=(D83+F83+H83),"",IF(C88&gt;0,", RCC upto "&amp;C88&amp;" Slab","")))&amp;(IF(C89=H83,"",IF(C89&gt;0,", Brickwork upto "&amp;C89&amp;" Floor","")))&amp;(IF(C90=H83,"",IF(C90&gt;0,", Internal Plaster upto "&amp;C90&amp;" Floor","")))&amp;(IF(C91=H83,"",IF(C91&gt;0,", External Plaster upto "&amp;C91&amp;" Floor","")))&amp;(IF(C92=H83,"",IF(C92&gt;0,", Flooring upto "&amp;C92&amp;" Floor","")))&amp;(IF(C93=H83,"",IF(C93&gt;0,", Painting upto "&amp;C93&amp;" Floor","")))&amp;(IF(C94=H83,"",IF(C94&gt;0,", Finishing upto "&amp;C94&amp;" Floor","")))&amp;(IF(C95=H83,"",IF(C95&gt;0,", Possession upto "&amp;C95&amp;" Floor","")))</f>
        <v>#REF!</v>
      </c>
    </row>
    <row r="83" spans="1:10" hidden="1" x14ac:dyDescent="0.35">
      <c r="A83" s="17" t="s">
        <v>138</v>
      </c>
      <c r="B83" s="54">
        <f>IF(AND(ISNUMBER(SEARCH("1B",C82))),1,IF(AND(ISNUMBER(SEARCH("2B",C82))),2,IF(AND(ISNUMBER(SEARCH("3B",C82))),3,IF(AND(ISNUMBER(SEARCH("4B",C82))),4,IF(ISNUMBER(SEARCH("5B",C82)),5,0)))))</f>
        <v>0</v>
      </c>
      <c r="C83" s="48" t="s">
        <v>70</v>
      </c>
      <c r="D83" s="48">
        <v>1</v>
      </c>
      <c r="E83" s="48" t="s">
        <v>69</v>
      </c>
      <c r="F83" s="15">
        <v>0</v>
      </c>
      <c r="G83" s="49" t="s">
        <v>78</v>
      </c>
      <c r="H83" s="18" t="e">
        <f ca="1">--TRIM(RIGHT(SUBSTITUTE(LEFT(C82,_xlfn.AGGREGATE(16,6,FIND({0,1,2,3,4,5,6,7,8,9},C82,ROW(INDIRECT("1:"&amp;LEN(C82)))),1))," ",REPT(" ",LEN(C82))),LEN(C82)))</f>
        <v>#REF!</v>
      </c>
      <c r="I83" s="52" t="e">
        <f ca="1">IF(D86=100%,"Excavation","")&amp;IF(D87=100%,", Plinth","")&amp;IF(D88=100%,", RCC Slab","")&amp;IF(D89=100%,", Brickwork","")&amp;IF(D90=100%,", Internal Plaster","")&amp;IF(D91=100%,", External Plaster","")&amp;IF(D92=100%,", Flooring","")&amp;IF(D93=100%,", Painting","")&amp;IF(D94=100%,", Building common Amenities","")</f>
        <v>#REF!</v>
      </c>
      <c r="J83" s="53" t="e">
        <f ca="1">(IF(C86=0,"Work not yet Started.",IF(D86=25%,"Piling work in process",IF(D86=50%,"Excavation work in process",IF(D86=100%,"","0")))))&amp;(IF(C87=0%,"",IF(C87=J88,", Footing work is process",IF(C87=J89,", Footing work Completed",IF(C87=J90,", 1st Basement Completed",IF(C87=J91,", 1st &amp; 2nd Basement Completed",IF(C87=J92,", 1st to 3rd Basement Completed",IF(C87=J93,", 1st to 4th Basement Completed",IF(C87=J94,", Plinth work is process",IF(C87=J95,"","0"))))))))))</f>
        <v>#REF!</v>
      </c>
    </row>
    <row r="84" spans="1:10" hidden="1" x14ac:dyDescent="0.35">
      <c r="A84" s="179" t="s">
        <v>88</v>
      </c>
      <c r="B84" s="158"/>
      <c r="C84" s="190" t="str">
        <f>(IF($G$53="NA",I82,"All work Completed. OC Received."))</f>
        <v>All work Completed. OC Received.</v>
      </c>
      <c r="D84" s="190"/>
      <c r="E84" s="190"/>
      <c r="F84" s="190"/>
      <c r="G84" s="190"/>
      <c r="H84" s="191"/>
      <c r="I84" s="52" t="e">
        <f ca="1">IF(I83&lt;&gt;""," Completed","")</f>
        <v>#REF!</v>
      </c>
      <c r="J84" s="53" t="e">
        <f ca="1">IF(J82&lt;&gt;"","Completed","")</f>
        <v>#REF!</v>
      </c>
    </row>
    <row r="85" spans="1:10" ht="15.75" hidden="1" customHeight="1" x14ac:dyDescent="0.35">
      <c r="A85" s="91" t="s">
        <v>48</v>
      </c>
      <c r="B85" s="92"/>
      <c r="C85" s="44" t="s">
        <v>135</v>
      </c>
      <c r="D85" s="44" t="s">
        <v>81</v>
      </c>
      <c r="E85" s="92" t="s">
        <v>83</v>
      </c>
      <c r="F85" s="92"/>
      <c r="G85" s="92" t="s">
        <v>82</v>
      </c>
      <c r="H85" s="141"/>
      <c r="I85" s="14" t="s">
        <v>137</v>
      </c>
      <c r="J85" s="29" t="e">
        <f ca="1">H83*25%</f>
        <v>#REF!</v>
      </c>
    </row>
    <row r="86" spans="1:10" hidden="1" x14ac:dyDescent="0.35">
      <c r="A86" s="91" t="s">
        <v>124</v>
      </c>
      <c r="B86" s="92"/>
      <c r="C86" s="44" t="e">
        <f ca="1">J87</f>
        <v>#REF!</v>
      </c>
      <c r="D86" s="20" t="e">
        <f ca="1">((100/H83)*C86)/100</f>
        <v>#REF!</v>
      </c>
      <c r="E86" s="142" t="e">
        <f ca="1">(((C87/H83*10)+(40/(D83+F83+H83)*C88)+(7.5/(H83)*C89)+(7.5/(H83)*C90)+(10/H83*C91)+(10/H83*C92)+(5/H83*C93)+(5/H83*C94)+(5/H83*C95))/100)</f>
        <v>#REF!</v>
      </c>
      <c r="F86" s="143"/>
      <c r="G86" s="142" t="e">
        <f ca="1">((((C86/H83)*20)+((C87/H83)*25)+(30/(H83+F83+D83)*C88)+(5/H83*C89)+(5/H83*C90)+(5/H83*C91)+(5/H83*C92)+(0/H83*C93)+(0/H83*C94)+(5/H83*C95))/100)</f>
        <v>#REF!</v>
      </c>
      <c r="H86" s="173"/>
      <c r="I86" s="14" t="s">
        <v>98</v>
      </c>
      <c r="J86" s="30" t="e">
        <f ca="1">H83*50%</f>
        <v>#REF!</v>
      </c>
    </row>
    <row r="87" spans="1:10" hidden="1" x14ac:dyDescent="0.35">
      <c r="A87" s="91" t="s">
        <v>49</v>
      </c>
      <c r="B87" s="92"/>
      <c r="C87" s="55">
        <v>20</v>
      </c>
      <c r="D87" s="20" t="e">
        <f ca="1">((100/H83)*C87)/100</f>
        <v>#REF!</v>
      </c>
      <c r="E87" s="144"/>
      <c r="F87" s="145"/>
      <c r="G87" s="144"/>
      <c r="H87" s="174"/>
      <c r="I87" s="14" t="s">
        <v>99</v>
      </c>
      <c r="J87" s="30" t="e">
        <f ca="1">H83</f>
        <v>#REF!</v>
      </c>
    </row>
    <row r="88" spans="1:10" ht="15.75" hidden="1" customHeight="1" x14ac:dyDescent="0.35">
      <c r="A88" s="91" t="s">
        <v>125</v>
      </c>
      <c r="B88" s="92"/>
      <c r="C88" s="44">
        <v>0</v>
      </c>
      <c r="D88" s="20" t="e">
        <f ca="1">((100/(D83+F83+H83))*C88)/100</f>
        <v>#REF!</v>
      </c>
      <c r="E88" s="144"/>
      <c r="F88" s="145"/>
      <c r="G88" s="144"/>
      <c r="H88" s="174"/>
      <c r="I88" s="14" t="s">
        <v>100</v>
      </c>
      <c r="J88" s="31" t="e">
        <f ca="1">(IF(B83&gt;1,(H83/(B83+2)),H83/4))</f>
        <v>#REF!</v>
      </c>
    </row>
    <row r="89" spans="1:10" ht="15.75" hidden="1" customHeight="1" x14ac:dyDescent="0.35">
      <c r="A89" s="91" t="s">
        <v>132</v>
      </c>
      <c r="B89" s="92" t="s">
        <v>126</v>
      </c>
      <c r="C89" s="44">
        <v>0</v>
      </c>
      <c r="D89" s="20" t="e">
        <f ca="1">((100/H83)*C89)/100</f>
        <v>#REF!</v>
      </c>
      <c r="E89" s="144"/>
      <c r="F89" s="145"/>
      <c r="G89" s="144"/>
      <c r="H89" s="174"/>
      <c r="I89" s="14" t="s">
        <v>101</v>
      </c>
      <c r="J89" s="31" t="e">
        <f ca="1">(IF(B83&gt;1,(H83/(B83+2)+J88),H83/4+J88))</f>
        <v>#REF!</v>
      </c>
    </row>
    <row r="90" spans="1:10" ht="15.75" hidden="1" customHeight="1" x14ac:dyDescent="0.35">
      <c r="A90" s="91" t="s">
        <v>133</v>
      </c>
      <c r="B90" s="92" t="s">
        <v>126</v>
      </c>
      <c r="C90" s="44">
        <v>0</v>
      </c>
      <c r="D90" s="20" t="e">
        <f ca="1">((100/H83)*C90)/100</f>
        <v>#REF!</v>
      </c>
      <c r="E90" s="144"/>
      <c r="F90" s="145"/>
      <c r="G90" s="144"/>
      <c r="H90" s="174"/>
      <c r="I90" s="14" t="s">
        <v>142</v>
      </c>
      <c r="J90" s="31">
        <f>(IF(B83&gt;1,(H83/(B83+2)+J89),0))</f>
        <v>0</v>
      </c>
    </row>
    <row r="91" spans="1:10" ht="15" hidden="1" customHeight="1" x14ac:dyDescent="0.35">
      <c r="A91" s="91" t="s">
        <v>131</v>
      </c>
      <c r="B91" s="92" t="s">
        <v>128</v>
      </c>
      <c r="C91" s="44">
        <v>0</v>
      </c>
      <c r="D91" s="20" t="e">
        <f ca="1">((100/(H83))*C91)/100</f>
        <v>#REF!</v>
      </c>
      <c r="E91" s="144"/>
      <c r="F91" s="145"/>
      <c r="G91" s="144"/>
      <c r="H91" s="174"/>
      <c r="I91" s="14" t="s">
        <v>139</v>
      </c>
      <c r="J91" s="31">
        <f>(IF(B83&gt;2,(H83/(B83+2)+J90),0))</f>
        <v>0</v>
      </c>
    </row>
    <row r="92" spans="1:10" ht="15.75" hidden="1" customHeight="1" x14ac:dyDescent="0.35">
      <c r="A92" s="91" t="s">
        <v>127</v>
      </c>
      <c r="B92" s="92" t="s">
        <v>127</v>
      </c>
      <c r="C92" s="44">
        <v>0</v>
      </c>
      <c r="D92" s="20" t="e">
        <f ca="1">((100/H83)*C92)/100</f>
        <v>#REF!</v>
      </c>
      <c r="E92" s="144"/>
      <c r="F92" s="145"/>
      <c r="G92" s="144"/>
      <c r="H92" s="174"/>
      <c r="I92" s="14" t="s">
        <v>140</v>
      </c>
      <c r="J92" s="32">
        <f>(IF(B83&gt;3,(H83/(B83+2)+J91),0))</f>
        <v>0</v>
      </c>
    </row>
    <row r="93" spans="1:10" ht="15.75" hidden="1" customHeight="1" x14ac:dyDescent="0.35">
      <c r="A93" s="91" t="s">
        <v>134</v>
      </c>
      <c r="B93" s="92"/>
      <c r="C93" s="44">
        <v>0</v>
      </c>
      <c r="D93" s="20" t="e">
        <f ca="1">((100/H83)*C93)/100</f>
        <v>#REF!</v>
      </c>
      <c r="E93" s="144"/>
      <c r="F93" s="145"/>
      <c r="G93" s="144"/>
      <c r="H93" s="174"/>
      <c r="I93" s="14" t="s">
        <v>141</v>
      </c>
      <c r="J93" s="31">
        <f>(IF(B83&gt;4,(H83/(B83+2)+J92),0))</f>
        <v>0</v>
      </c>
    </row>
    <row r="94" spans="1:10" ht="15.75" hidden="1" customHeight="1" x14ac:dyDescent="0.35">
      <c r="A94" s="91" t="s">
        <v>129</v>
      </c>
      <c r="B94" s="92" t="s">
        <v>129</v>
      </c>
      <c r="C94" s="44">
        <v>0</v>
      </c>
      <c r="D94" s="20" t="e">
        <f ca="1">((100/(H83))*C94)/100</f>
        <v>#REF!</v>
      </c>
      <c r="E94" s="144"/>
      <c r="F94" s="145"/>
      <c r="G94" s="144"/>
      <c r="H94" s="174"/>
      <c r="I94" s="14" t="s">
        <v>143</v>
      </c>
      <c r="J94" s="31" t="e">
        <f ca="1">(IF(B83=1,(H83/(B83+3)+J89),IF(B83=0,(H83/4+J89),IF(B83&gt;1,0))))</f>
        <v>#REF!</v>
      </c>
    </row>
    <row r="95" spans="1:10" ht="16" hidden="1" thickBot="1" x14ac:dyDescent="0.4">
      <c r="A95" s="126" t="s">
        <v>130</v>
      </c>
      <c r="B95" s="127"/>
      <c r="C95" s="45">
        <v>0</v>
      </c>
      <c r="D95" s="21" t="e">
        <f ca="1">((100/(H83))*C95)/100</f>
        <v>#REF!</v>
      </c>
      <c r="E95" s="146"/>
      <c r="F95" s="147"/>
      <c r="G95" s="146"/>
      <c r="H95" s="175"/>
      <c r="I95" s="16" t="s">
        <v>102</v>
      </c>
      <c r="J95" s="33" t="e">
        <f ca="1">(IF(B83&gt;1.5,(H83/(B83+2)+J89+MAX(0,J90-J89)+MAX(0,J91-J90)+MAX(0,J92-J91)+MAX(0,J93-J92)+MAX(0,J94-J93)),IF(B83=1,(H83/(B83+3)+J94),IF(B83=0,H83/4+J94))))</f>
        <v>#REF!</v>
      </c>
    </row>
    <row r="96" spans="1:10" ht="15.75" hidden="1" customHeight="1" x14ac:dyDescent="0.35">
      <c r="A96" s="86" t="s">
        <v>136</v>
      </c>
      <c r="B96" s="87"/>
      <c r="C96" s="88" t="e">
        <f>#REF!</f>
        <v>#REF!</v>
      </c>
      <c r="D96" s="89"/>
      <c r="E96" s="89"/>
      <c r="F96" s="89"/>
      <c r="G96" s="89"/>
      <c r="H96" s="90"/>
      <c r="I96" s="50" t="e">
        <f ca="1">IF(D109=100%,"All work Completed. Possession granted to the Building.",IF(D108=100%,"All work Completed, Waiting for OC",I97&amp;""&amp;I98&amp;""&amp;J97&amp;""&amp;J96&amp;" "&amp;J98))</f>
        <v>#REF!</v>
      </c>
      <c r="J96" s="51" t="e">
        <f ca="1">(IF(C102=(D97+F97+H97),"",IF(C102&gt;0,", RCC upto "&amp;C102&amp;" Slab","")))&amp;(IF(C103=H97,"",IF(C103&gt;0,", Brickwork upto "&amp;C103&amp;" Floor","")))&amp;(IF(C104=H97,"",IF(C104&gt;0,", Internal Plaster upto "&amp;C104&amp;" Floor","")))&amp;(IF(C105=H97,"",IF(C105&gt;0,", External Plaster upto "&amp;C105&amp;" Floor","")))&amp;(IF(C106=H97,"",IF(C106&gt;0,", Flooring upto "&amp;C106&amp;" Floor","")))&amp;(IF(C107=H97,"",IF(C107&gt;0,", Painting upto "&amp;C107&amp;" Floor","")))&amp;(IF(C108=H97,"",IF(C108&gt;0,", Finishing upto "&amp;C108&amp;" Floor","")))&amp;(IF(C109=H97,"",IF(C109&gt;0,", Possession upto "&amp;C109&amp;" Floor","")))</f>
        <v>#REF!</v>
      </c>
    </row>
    <row r="97" spans="1:10" hidden="1" x14ac:dyDescent="0.35">
      <c r="A97" s="17" t="s">
        <v>138</v>
      </c>
      <c r="B97" s="54">
        <f>IF(AND(ISNUMBER(SEARCH("1B",C96))),1,IF(AND(ISNUMBER(SEARCH("2B",C96))),2,IF(AND(ISNUMBER(SEARCH("3B",C96))),3,IF(AND(ISNUMBER(SEARCH("4B",C96))),4,IF(ISNUMBER(SEARCH("5B",C96)),5,0)))))</f>
        <v>0</v>
      </c>
      <c r="C97" s="48" t="s">
        <v>70</v>
      </c>
      <c r="D97" s="48">
        <v>1</v>
      </c>
      <c r="E97" s="48" t="s">
        <v>69</v>
      </c>
      <c r="F97" s="15">
        <v>0</v>
      </c>
      <c r="G97" s="49" t="s">
        <v>78</v>
      </c>
      <c r="H97" s="18" t="e">
        <f ca="1">--TRIM(RIGHT(SUBSTITUTE(LEFT(C96,_xlfn.AGGREGATE(16,6,FIND({0,1,2,3,4,5,6,7,8,9},C96,ROW(INDIRECT("1:"&amp;LEN(C96)))),1))," ",REPT(" ",LEN(C96))),LEN(C96)))</f>
        <v>#REF!</v>
      </c>
      <c r="I97" s="52" t="e">
        <f ca="1">IF(D100=100%,"Excavation","")&amp;IF(D101=100%,", Plinth","")&amp;IF(D102=100%,", RCC Slab","")&amp;IF(D103=100%,", Brickwork","")&amp;IF(D104=100%,", Internal Plaster","")&amp;IF(D105=100%,", External Plaster","")&amp;IF(D106=100%,", Flooring","")&amp;IF(D107=100%,", Painting","")&amp;IF(D108=100%,", Building common Amenities","")</f>
        <v>#REF!</v>
      </c>
      <c r="J97" s="53" t="e">
        <f ca="1">(IF(C100=0,"Work not yet Started.",IF(D100=25%,"Piling work in process",IF(D100=50%,"Excavation work in process",IF(D100=100%,"","0")))))&amp;(IF(C101=0%,"",IF(C101=J102,", Footing work is process",IF(C101=J103,", Footing work Completed",IF(C101=J104,", 1st Basement Completed",IF(C101=J105,", 1st &amp; 2nd Basement Completed",IF(C101=J106,", 1st to 3rd Basement Completed",IF(C101=J107,", 1st to 4th Basement Completed",IF(C101=J108,", Plinth work is process",IF(C101=J109,"","0"))))))))))</f>
        <v>#REF!</v>
      </c>
    </row>
    <row r="98" spans="1:10" hidden="1" x14ac:dyDescent="0.35">
      <c r="A98" s="179" t="s">
        <v>88</v>
      </c>
      <c r="B98" s="158"/>
      <c r="C98" s="190" t="str">
        <f>(IF($G$53="NA",I96,"All work Completed. OC Received."))</f>
        <v>All work Completed. OC Received.</v>
      </c>
      <c r="D98" s="190"/>
      <c r="E98" s="190"/>
      <c r="F98" s="190"/>
      <c r="G98" s="190"/>
      <c r="H98" s="191"/>
      <c r="I98" s="52" t="e">
        <f ca="1">IF(I97&lt;&gt;""," Completed","")</f>
        <v>#REF!</v>
      </c>
      <c r="J98" s="53" t="e">
        <f ca="1">IF(J96&lt;&gt;"","Completed","")</f>
        <v>#REF!</v>
      </c>
    </row>
    <row r="99" spans="1:10" ht="15.75" hidden="1" customHeight="1" x14ac:dyDescent="0.35">
      <c r="A99" s="91" t="s">
        <v>48</v>
      </c>
      <c r="B99" s="92"/>
      <c r="C99" s="44" t="s">
        <v>135</v>
      </c>
      <c r="D99" s="44" t="s">
        <v>81</v>
      </c>
      <c r="E99" s="92" t="s">
        <v>83</v>
      </c>
      <c r="F99" s="92"/>
      <c r="G99" s="92" t="s">
        <v>82</v>
      </c>
      <c r="H99" s="141"/>
      <c r="I99" s="14" t="s">
        <v>137</v>
      </c>
      <c r="J99" s="29" t="e">
        <f ca="1">H97*25%</f>
        <v>#REF!</v>
      </c>
    </row>
    <row r="100" spans="1:10" hidden="1" x14ac:dyDescent="0.35">
      <c r="A100" s="91" t="s">
        <v>124</v>
      </c>
      <c r="B100" s="92"/>
      <c r="C100" s="44" t="e">
        <f ca="1">J101</f>
        <v>#REF!</v>
      </c>
      <c r="D100" s="20" t="e">
        <f ca="1">((100/H97)*C100)/100</f>
        <v>#REF!</v>
      </c>
      <c r="E100" s="142" t="e">
        <f ca="1">(((C101/H97*10)+(40/(D97+F97+H97)*C102)+(7.5/(H97)*C103)+(7.5/(H97)*C104)+(10/H97*C105)+(10/H97*C106)+(5/H97*C107)+(5/H97*C108)+(5/H97*C109))/100)</f>
        <v>#REF!</v>
      </c>
      <c r="F100" s="143"/>
      <c r="G100" s="142" t="e">
        <f ca="1">((((C100/H97)*20)+((C101/H97)*25)+(30/(H97+F97+D97)*C102)+(5/H97*C103)+(5/H97*C104)+(5/H97*C105)+(5/H97*C106)+(0/H97*C107)+(0/H97*C108)+(5/H97*C109))/100)</f>
        <v>#REF!</v>
      </c>
      <c r="H100" s="173"/>
      <c r="I100" s="14" t="s">
        <v>98</v>
      </c>
      <c r="J100" s="30" t="e">
        <f ca="1">H97*50%</f>
        <v>#REF!</v>
      </c>
    </row>
    <row r="101" spans="1:10" hidden="1" x14ac:dyDescent="0.35">
      <c r="A101" s="91" t="s">
        <v>49</v>
      </c>
      <c r="B101" s="92"/>
      <c r="C101" s="44" t="e">
        <f ca="1">J109</f>
        <v>#REF!</v>
      </c>
      <c r="D101" s="20" t="e">
        <f ca="1">((100/H97)*C101)/100</f>
        <v>#REF!</v>
      </c>
      <c r="E101" s="144"/>
      <c r="F101" s="145"/>
      <c r="G101" s="144"/>
      <c r="H101" s="174"/>
      <c r="I101" s="14" t="s">
        <v>99</v>
      </c>
      <c r="J101" s="30" t="e">
        <f ca="1">H97</f>
        <v>#REF!</v>
      </c>
    </row>
    <row r="102" spans="1:10" ht="15.75" hidden="1" customHeight="1" x14ac:dyDescent="0.35">
      <c r="A102" s="91" t="s">
        <v>125</v>
      </c>
      <c r="B102" s="92"/>
      <c r="C102" s="44" t="e">
        <f ca="1">D97+H97</f>
        <v>#REF!</v>
      </c>
      <c r="D102" s="20" t="e">
        <f ca="1">((100/(D97+F97+H97))*C102)/100</f>
        <v>#REF!</v>
      </c>
      <c r="E102" s="144"/>
      <c r="F102" s="145"/>
      <c r="G102" s="144"/>
      <c r="H102" s="174"/>
      <c r="I102" s="14" t="s">
        <v>100</v>
      </c>
      <c r="J102" s="31" t="e">
        <f ca="1">(IF(B97&gt;1,(H97/(B97+2)),H97/4))</f>
        <v>#REF!</v>
      </c>
    </row>
    <row r="103" spans="1:10" ht="15.75" hidden="1" customHeight="1" x14ac:dyDescent="0.35">
      <c r="A103" s="91" t="s">
        <v>132</v>
      </c>
      <c r="B103" s="92" t="s">
        <v>126</v>
      </c>
      <c r="C103" s="44">
        <v>0</v>
      </c>
      <c r="D103" s="20" t="e">
        <f ca="1">((100/H97)*C103)/100</f>
        <v>#REF!</v>
      </c>
      <c r="E103" s="144"/>
      <c r="F103" s="145"/>
      <c r="G103" s="144"/>
      <c r="H103" s="174"/>
      <c r="I103" s="14" t="s">
        <v>101</v>
      </c>
      <c r="J103" s="31" t="e">
        <f ca="1">(IF(B97&gt;1,(H97/(B97+2)+J102),H97/4+J102))</f>
        <v>#REF!</v>
      </c>
    </row>
    <row r="104" spans="1:10" ht="15.75" hidden="1" customHeight="1" x14ac:dyDescent="0.35">
      <c r="A104" s="91" t="s">
        <v>133</v>
      </c>
      <c r="B104" s="92" t="s">
        <v>126</v>
      </c>
      <c r="C104" s="44">
        <v>0</v>
      </c>
      <c r="D104" s="20" t="e">
        <f ca="1">((100/H97)*C104)/100</f>
        <v>#REF!</v>
      </c>
      <c r="E104" s="144"/>
      <c r="F104" s="145"/>
      <c r="G104" s="144"/>
      <c r="H104" s="174"/>
      <c r="I104" s="14" t="s">
        <v>142</v>
      </c>
      <c r="J104" s="31">
        <f>(IF(B97&gt;1,(H97/(B97+2)+J103),0))</f>
        <v>0</v>
      </c>
    </row>
    <row r="105" spans="1:10" ht="15" hidden="1" customHeight="1" x14ac:dyDescent="0.35">
      <c r="A105" s="91" t="s">
        <v>131</v>
      </c>
      <c r="B105" s="92" t="s">
        <v>128</v>
      </c>
      <c r="C105" s="44">
        <v>0</v>
      </c>
      <c r="D105" s="20" t="e">
        <f ca="1">((100/(H97))*C105)/100</f>
        <v>#REF!</v>
      </c>
      <c r="E105" s="144"/>
      <c r="F105" s="145"/>
      <c r="G105" s="144"/>
      <c r="H105" s="174"/>
      <c r="I105" s="14" t="s">
        <v>139</v>
      </c>
      <c r="J105" s="31">
        <f>(IF(B97&gt;2,(H97/(B97+2)+J104),0))</f>
        <v>0</v>
      </c>
    </row>
    <row r="106" spans="1:10" ht="15.75" hidden="1" customHeight="1" x14ac:dyDescent="0.35">
      <c r="A106" s="91" t="s">
        <v>127</v>
      </c>
      <c r="B106" s="92" t="s">
        <v>127</v>
      </c>
      <c r="C106" s="44">
        <v>0</v>
      </c>
      <c r="D106" s="20" t="e">
        <f ca="1">((100/H97)*C106)/100</f>
        <v>#REF!</v>
      </c>
      <c r="E106" s="144"/>
      <c r="F106" s="145"/>
      <c r="G106" s="144"/>
      <c r="H106" s="174"/>
      <c r="I106" s="14" t="s">
        <v>140</v>
      </c>
      <c r="J106" s="32">
        <f>(IF(B97&gt;3,(H97/(B97+2)+J105),0))</f>
        <v>0</v>
      </c>
    </row>
    <row r="107" spans="1:10" ht="15.75" hidden="1" customHeight="1" x14ac:dyDescent="0.35">
      <c r="A107" s="91" t="s">
        <v>134</v>
      </c>
      <c r="B107" s="92"/>
      <c r="C107" s="44">
        <v>0</v>
      </c>
      <c r="D107" s="20" t="e">
        <f ca="1">((100/H97)*C107)/100</f>
        <v>#REF!</v>
      </c>
      <c r="E107" s="144"/>
      <c r="F107" s="145"/>
      <c r="G107" s="144"/>
      <c r="H107" s="174"/>
      <c r="I107" s="14" t="s">
        <v>141</v>
      </c>
      <c r="J107" s="31">
        <f>(IF(B97&gt;4,(H97/(B97+2)+J106),0))</f>
        <v>0</v>
      </c>
    </row>
    <row r="108" spans="1:10" ht="15.75" hidden="1" customHeight="1" x14ac:dyDescent="0.35">
      <c r="A108" s="91" t="s">
        <v>129</v>
      </c>
      <c r="B108" s="92" t="s">
        <v>129</v>
      </c>
      <c r="C108" s="44">
        <v>0</v>
      </c>
      <c r="D108" s="20" t="e">
        <f ca="1">((100/(H97))*C108)/100</f>
        <v>#REF!</v>
      </c>
      <c r="E108" s="144"/>
      <c r="F108" s="145"/>
      <c r="G108" s="144"/>
      <c r="H108" s="174"/>
      <c r="I108" s="14" t="s">
        <v>143</v>
      </c>
      <c r="J108" s="31" t="e">
        <f ca="1">(IF(B97=1,(H97/(B97+3)+J103),IF(B97=0,(H97/4+J103),IF(B97&gt;1,0))))</f>
        <v>#REF!</v>
      </c>
    </row>
    <row r="109" spans="1:10" ht="16" hidden="1" thickBot="1" x14ac:dyDescent="0.4">
      <c r="A109" s="126" t="s">
        <v>130</v>
      </c>
      <c r="B109" s="127"/>
      <c r="C109" s="45">
        <v>0</v>
      </c>
      <c r="D109" s="21" t="e">
        <f ca="1">((100/(H97))*C109)/100</f>
        <v>#REF!</v>
      </c>
      <c r="E109" s="146"/>
      <c r="F109" s="147"/>
      <c r="G109" s="146"/>
      <c r="H109" s="175"/>
      <c r="I109" s="16" t="s">
        <v>102</v>
      </c>
      <c r="J109" s="33" t="e">
        <f ca="1">(IF(B97&gt;1.5,(H97/(B97+2)+J103+MAX(0,J104-J103)+MAX(0,J105-J104)+MAX(0,J106-J105)+MAX(0,J107-J106)+MAX(0,J108-J107)),IF(B97=1,(H97/(B97+3)+J108),IF(B97=0,H97/4+J108))))</f>
        <v>#REF!</v>
      </c>
    </row>
    <row r="110" spans="1:10" x14ac:dyDescent="0.35">
      <c r="A110" s="196" t="s">
        <v>152</v>
      </c>
      <c r="B110" s="196"/>
      <c r="C110" s="196"/>
      <c r="D110" s="196"/>
      <c r="E110" s="196"/>
      <c r="F110" s="197" t="s">
        <v>156</v>
      </c>
      <c r="G110" s="197"/>
      <c r="H110" s="197"/>
    </row>
    <row r="111" spans="1:10" x14ac:dyDescent="0.35">
      <c r="A111" s="77" t="s">
        <v>154</v>
      </c>
      <c r="B111" s="77"/>
      <c r="C111" s="77"/>
      <c r="D111" s="77"/>
      <c r="E111" s="77"/>
      <c r="F111" s="74">
        <v>6000</v>
      </c>
      <c r="G111" s="74"/>
      <c r="H111" s="74"/>
    </row>
    <row r="112" spans="1:10" x14ac:dyDescent="0.35">
      <c r="A112" s="77" t="s">
        <v>153</v>
      </c>
      <c r="B112" s="77"/>
      <c r="C112" s="77"/>
      <c r="D112" s="77"/>
      <c r="E112" s="77"/>
      <c r="F112" s="74">
        <v>10000</v>
      </c>
      <c r="G112" s="74"/>
      <c r="H112" s="74"/>
    </row>
    <row r="113" spans="1:8" hidden="1" x14ac:dyDescent="0.35">
      <c r="A113" s="77" t="s">
        <v>155</v>
      </c>
      <c r="B113" s="77"/>
      <c r="C113" s="77"/>
      <c r="D113" s="77"/>
      <c r="E113" s="77"/>
      <c r="F113" s="74"/>
      <c r="G113" s="74"/>
      <c r="H113" s="74"/>
    </row>
    <row r="114" spans="1:8" s="34" customFormat="1" hidden="1" x14ac:dyDescent="0.3">
      <c r="A114" s="77" t="s">
        <v>169</v>
      </c>
      <c r="B114" s="77"/>
      <c r="C114" s="77"/>
      <c r="D114" s="77"/>
      <c r="E114" s="77"/>
      <c r="F114" s="74"/>
      <c r="G114" s="74"/>
      <c r="H114" s="74"/>
    </row>
    <row r="115" spans="1:8" s="34" customFormat="1" hidden="1" x14ac:dyDescent="0.3">
      <c r="A115" s="77" t="s">
        <v>92</v>
      </c>
      <c r="B115" s="77"/>
      <c r="C115" s="77"/>
      <c r="D115" s="77"/>
      <c r="E115" s="77"/>
      <c r="F115" s="74"/>
      <c r="G115" s="74"/>
      <c r="H115" s="74"/>
    </row>
    <row r="116" spans="1:8" s="34" customFormat="1" hidden="1" x14ac:dyDescent="0.3">
      <c r="A116" s="77" t="s">
        <v>93</v>
      </c>
      <c r="B116" s="77"/>
      <c r="C116" s="77"/>
      <c r="D116" s="77"/>
      <c r="E116" s="77"/>
      <c r="F116" s="74"/>
      <c r="G116" s="74"/>
      <c r="H116" s="74"/>
    </row>
    <row r="117" spans="1:8" s="34" customFormat="1" hidden="1" x14ac:dyDescent="0.3">
      <c r="A117" s="77" t="s">
        <v>94</v>
      </c>
      <c r="B117" s="77"/>
      <c r="C117" s="77"/>
      <c r="D117" s="77"/>
      <c r="E117" s="77"/>
      <c r="F117" s="74"/>
      <c r="G117" s="74"/>
      <c r="H117" s="74"/>
    </row>
    <row r="118" spans="1:8" s="34" customFormat="1" hidden="1" x14ac:dyDescent="0.3">
      <c r="A118" s="77" t="s">
        <v>95</v>
      </c>
      <c r="B118" s="77"/>
      <c r="C118" s="77"/>
      <c r="D118" s="77"/>
      <c r="E118" s="77"/>
      <c r="F118" s="74"/>
      <c r="G118" s="74"/>
      <c r="H118" s="74"/>
    </row>
    <row r="119" spans="1:8" s="34" customFormat="1" hidden="1" x14ac:dyDescent="0.3">
      <c r="A119" s="77" t="s">
        <v>96</v>
      </c>
      <c r="B119" s="77"/>
      <c r="C119" s="77"/>
      <c r="D119" s="77"/>
      <c r="E119" s="77"/>
      <c r="F119" s="74"/>
      <c r="G119" s="74"/>
      <c r="H119" s="74"/>
    </row>
    <row r="120" spans="1:8" s="34" customFormat="1" hidden="1" x14ac:dyDescent="0.3">
      <c r="A120" s="77" t="s">
        <v>97</v>
      </c>
      <c r="B120" s="77"/>
      <c r="C120" s="77"/>
      <c r="D120" s="77"/>
      <c r="E120" s="77"/>
      <c r="F120" s="74"/>
      <c r="G120" s="74"/>
      <c r="H120" s="74"/>
    </row>
    <row r="121" spans="1:8" x14ac:dyDescent="0.35">
      <c r="A121" s="77" t="s">
        <v>50</v>
      </c>
      <c r="B121" s="77"/>
      <c r="C121" s="77"/>
      <c r="D121" s="77"/>
      <c r="E121" s="77"/>
      <c r="F121" s="154">
        <v>200000</v>
      </c>
      <c r="G121" s="154"/>
      <c r="H121" s="154"/>
    </row>
    <row r="122" spans="1:8" s="35" customFormat="1" x14ac:dyDescent="0.35">
      <c r="A122" s="155" t="s">
        <v>51</v>
      </c>
      <c r="B122" s="155"/>
      <c r="C122" s="155"/>
      <c r="D122" s="155"/>
      <c r="E122" s="155"/>
      <c r="F122" s="74">
        <f>F111*0.8</f>
        <v>4800</v>
      </c>
      <c r="G122" s="74"/>
      <c r="H122" s="74"/>
    </row>
    <row r="123" spans="1:8" s="36" customFormat="1" ht="15.75" customHeight="1" x14ac:dyDescent="0.35">
      <c r="A123" s="149" t="s">
        <v>73</v>
      </c>
      <c r="B123" s="149"/>
      <c r="C123" s="149"/>
      <c r="D123" s="149"/>
      <c r="E123" s="149"/>
      <c r="F123" s="149"/>
      <c r="G123" s="149"/>
      <c r="H123" s="149"/>
    </row>
    <row r="124" spans="1:8" s="36" customFormat="1" ht="15.75" customHeight="1" x14ac:dyDescent="0.35">
      <c r="A124" s="76" t="s">
        <v>52</v>
      </c>
      <c r="B124" s="76"/>
      <c r="C124" s="83" t="s">
        <v>76</v>
      </c>
      <c r="D124" s="83"/>
      <c r="E124" s="82" t="s">
        <v>53</v>
      </c>
      <c r="F124" s="82"/>
      <c r="G124" s="76" t="s">
        <v>54</v>
      </c>
      <c r="H124" s="76"/>
    </row>
    <row r="125" spans="1:8" s="36" customFormat="1" x14ac:dyDescent="0.35">
      <c r="A125" s="156" t="s">
        <v>260</v>
      </c>
      <c r="B125" s="156"/>
      <c r="C125" s="189">
        <f>COUNT(F139:F147)</f>
        <v>9</v>
      </c>
      <c r="D125" s="182"/>
      <c r="E125" s="124">
        <f>SUM(F139:F147)</f>
        <v>2936.2900319999999</v>
      </c>
      <c r="F125" s="125"/>
      <c r="G125" s="124">
        <f>SUM(H139:H147)</f>
        <v>4551.2495495999992</v>
      </c>
      <c r="H125" s="125"/>
    </row>
    <row r="126" spans="1:8" s="36" customFormat="1" x14ac:dyDescent="0.35">
      <c r="A126" s="149" t="s">
        <v>146</v>
      </c>
      <c r="B126" s="149"/>
      <c r="C126" s="201">
        <f t="shared" ref="C126:G126" si="0">SUM(C125)</f>
        <v>9</v>
      </c>
      <c r="D126" s="83"/>
      <c r="E126" s="150">
        <f t="shared" si="0"/>
        <v>2936.2900319999999</v>
      </c>
      <c r="F126" s="82"/>
      <c r="G126" s="76">
        <f t="shared" si="0"/>
        <v>4551.2495495999992</v>
      </c>
      <c r="H126" s="76"/>
    </row>
    <row r="127" spans="1:8" s="36" customFormat="1" x14ac:dyDescent="0.35">
      <c r="A127" s="149" t="s">
        <v>68</v>
      </c>
      <c r="B127" s="149"/>
      <c r="C127" s="149"/>
      <c r="D127" s="149"/>
      <c r="E127" s="149"/>
      <c r="F127" s="149"/>
      <c r="G127" s="149"/>
      <c r="H127" s="149"/>
    </row>
    <row r="128" spans="1:8" s="36" customFormat="1" ht="15.75" customHeight="1" x14ac:dyDescent="0.35">
      <c r="A128" s="76" t="s">
        <v>52</v>
      </c>
      <c r="B128" s="76"/>
      <c r="C128" s="83" t="s">
        <v>76</v>
      </c>
      <c r="D128" s="83"/>
      <c r="E128" s="82" t="s">
        <v>53</v>
      </c>
      <c r="F128" s="82"/>
      <c r="G128" s="76" t="s">
        <v>54</v>
      </c>
      <c r="H128" s="76"/>
    </row>
    <row r="129" spans="1:14" s="36" customFormat="1" x14ac:dyDescent="0.35">
      <c r="A129" s="156" t="s">
        <v>260</v>
      </c>
      <c r="B129" s="156"/>
      <c r="C129" s="182">
        <f>COUNT(F154:F157)+COUNT(F159:F162)*6</f>
        <v>28</v>
      </c>
      <c r="D129" s="182"/>
      <c r="E129" s="124">
        <f>SUM(F154:F157)+SUM(F159:F162)*6</f>
        <v>24729.774942599994</v>
      </c>
      <c r="F129" s="124"/>
      <c r="G129" s="124">
        <f>SUM(H154:H157)+SUM(H159:H162)*6</f>
        <v>37882.398843899995</v>
      </c>
      <c r="H129" s="124"/>
    </row>
    <row r="130" spans="1:14" s="36" customFormat="1" x14ac:dyDescent="0.35">
      <c r="A130" s="149" t="s">
        <v>146</v>
      </c>
      <c r="B130" s="149"/>
      <c r="C130" s="83">
        <f t="shared" ref="C130:G130" si="1">SUM(C129)</f>
        <v>28</v>
      </c>
      <c r="D130" s="83"/>
      <c r="E130" s="150">
        <f t="shared" si="1"/>
        <v>24729.774942599994</v>
      </c>
      <c r="F130" s="150"/>
      <c r="G130" s="76">
        <f t="shared" si="1"/>
        <v>37882.398843899995</v>
      </c>
      <c r="H130" s="76"/>
    </row>
    <row r="131" spans="1:14" s="36" customFormat="1" x14ac:dyDescent="0.35">
      <c r="A131" s="149" t="s">
        <v>162</v>
      </c>
      <c r="B131" s="149"/>
      <c r="C131" s="83">
        <f>C126+C130</f>
        <v>37</v>
      </c>
      <c r="D131" s="83"/>
      <c r="E131" s="150">
        <f>E126+E130</f>
        <v>27666.064974599994</v>
      </c>
      <c r="F131" s="150"/>
      <c r="G131" s="76">
        <f>G126+G130</f>
        <v>42433.648393499992</v>
      </c>
      <c r="H131" s="76"/>
    </row>
    <row r="132" spans="1:14" s="35" customFormat="1" x14ac:dyDescent="0.35">
      <c r="A132" s="148" t="s">
        <v>55</v>
      </c>
      <c r="B132" s="148"/>
      <c r="C132" s="148"/>
      <c r="D132" s="148"/>
      <c r="E132" s="148"/>
      <c r="F132" s="148"/>
      <c r="G132" s="148"/>
      <c r="H132" s="148"/>
    </row>
    <row r="133" spans="1:14" x14ac:dyDescent="0.35">
      <c r="A133" s="75" t="s">
        <v>257</v>
      </c>
      <c r="B133" s="75"/>
      <c r="C133" s="75"/>
      <c r="D133" s="75"/>
      <c r="E133" s="75"/>
      <c r="F133" s="75"/>
      <c r="G133" s="75"/>
      <c r="H133" s="75"/>
    </row>
    <row r="134" spans="1:14" ht="47.25" customHeight="1" x14ac:dyDescent="0.35">
      <c r="A134" s="120" t="s">
        <v>116</v>
      </c>
      <c r="B134" s="120" t="s">
        <v>170</v>
      </c>
      <c r="C134" s="120" t="s">
        <v>56</v>
      </c>
      <c r="D134" s="120" t="s">
        <v>226</v>
      </c>
      <c r="E134" s="184" t="s">
        <v>263</v>
      </c>
      <c r="F134" s="120" t="s">
        <v>57</v>
      </c>
      <c r="G134" s="184" t="s">
        <v>58</v>
      </c>
      <c r="H134" s="60" t="s">
        <v>145</v>
      </c>
    </row>
    <row r="135" spans="1:14" s="38" customFormat="1" x14ac:dyDescent="0.35">
      <c r="A135" s="121"/>
      <c r="B135" s="121"/>
      <c r="C135" s="121"/>
      <c r="D135" s="121"/>
      <c r="E135" s="185"/>
      <c r="F135" s="121"/>
      <c r="G135" s="185"/>
      <c r="H135" s="13">
        <v>0.55000000000000004</v>
      </c>
    </row>
    <row r="136" spans="1:14" s="66" customFormat="1" x14ac:dyDescent="0.35">
      <c r="A136" s="128" t="s">
        <v>259</v>
      </c>
      <c r="B136" s="129"/>
      <c r="C136" s="129"/>
      <c r="D136" s="129"/>
      <c r="E136" s="129"/>
      <c r="F136" s="129"/>
      <c r="G136" s="129"/>
      <c r="H136" s="130"/>
    </row>
    <row r="137" spans="1:14" s="66" customFormat="1" x14ac:dyDescent="0.35">
      <c r="A137" s="183" t="s">
        <v>260</v>
      </c>
      <c r="B137" s="183"/>
      <c r="C137" s="183"/>
      <c r="D137" s="183"/>
      <c r="E137" s="183"/>
      <c r="F137" s="183"/>
      <c r="G137" s="183"/>
      <c r="H137" s="183"/>
    </row>
    <row r="138" spans="1:14" s="38" customFormat="1" x14ac:dyDescent="0.35">
      <c r="A138" s="183" t="s">
        <v>261</v>
      </c>
      <c r="B138" s="183"/>
      <c r="C138" s="183"/>
      <c r="D138" s="183"/>
      <c r="E138" s="183"/>
      <c r="F138" s="183"/>
      <c r="G138" s="183"/>
      <c r="H138" s="183"/>
      <c r="J138" s="37"/>
    </row>
    <row r="139" spans="1:14" s="38" customFormat="1" ht="15.75" customHeight="1" x14ac:dyDescent="0.35">
      <c r="A139" s="78">
        <v>1</v>
      </c>
      <c r="B139" s="78"/>
      <c r="C139" s="67" t="s">
        <v>262</v>
      </c>
      <c r="D139" s="68">
        <f>(4.24*8.2)*10.764</f>
        <v>374.242752</v>
      </c>
      <c r="E139" s="68">
        <f>(4.24*1.2)*10.764</f>
        <v>54.767232</v>
      </c>
      <c r="F139" s="67">
        <f>D139+E139</f>
        <v>429.00998399999997</v>
      </c>
      <c r="G139" s="67">
        <v>0</v>
      </c>
      <c r="H139" s="67">
        <f>(D139+E139)*(($H$135)+1)</f>
        <v>664.96547520000001</v>
      </c>
      <c r="I139" s="37"/>
      <c r="L139" s="181"/>
      <c r="M139" s="181"/>
      <c r="N139" s="37"/>
    </row>
    <row r="140" spans="1:14" s="38" customFormat="1" ht="15.75" customHeight="1" x14ac:dyDescent="0.35">
      <c r="A140" s="78">
        <f t="shared" ref="A140:A147" si="2">A139+1</f>
        <v>2</v>
      </c>
      <c r="B140" s="78"/>
      <c r="C140" s="67" t="s">
        <v>262</v>
      </c>
      <c r="D140" s="68">
        <f>(4.48*8.2)*10.764</f>
        <v>395.42630399999996</v>
      </c>
      <c r="E140" s="68">
        <f>(4.48*1.2)*10.764</f>
        <v>57.867263999999999</v>
      </c>
      <c r="F140" s="67">
        <f t="shared" ref="F140:F142" si="3">D140+E140</f>
        <v>453.29356799999994</v>
      </c>
      <c r="G140" s="67">
        <v>0</v>
      </c>
      <c r="H140" s="67">
        <f t="shared" ref="H140:H142" si="4">(D140+E140)*(($H$135)+1)</f>
        <v>702.60503039999992</v>
      </c>
      <c r="I140" s="37"/>
      <c r="L140" s="181"/>
      <c r="M140" s="181"/>
      <c r="N140" s="37"/>
    </row>
    <row r="141" spans="1:14" s="38" customFormat="1" ht="15.75" customHeight="1" x14ac:dyDescent="0.35">
      <c r="A141" s="78">
        <f t="shared" si="2"/>
        <v>3</v>
      </c>
      <c r="B141" s="78"/>
      <c r="C141" s="67" t="s">
        <v>262</v>
      </c>
      <c r="D141" s="68">
        <f>(2.9*8.2)*10.764</f>
        <v>255.96791999999996</v>
      </c>
      <c r="E141" s="68">
        <f>(2.9*1.2)*10.764</f>
        <v>37.45872</v>
      </c>
      <c r="F141" s="67">
        <f t="shared" si="3"/>
        <v>293.42663999999996</v>
      </c>
      <c r="G141" s="67">
        <v>0</v>
      </c>
      <c r="H141" s="67">
        <f t="shared" si="4"/>
        <v>454.81129199999998</v>
      </c>
      <c r="I141" s="37"/>
      <c r="L141" s="181"/>
      <c r="M141" s="181"/>
      <c r="N141" s="37"/>
    </row>
    <row r="142" spans="1:14" s="38" customFormat="1" ht="15.75" customHeight="1" x14ac:dyDescent="0.35">
      <c r="A142" s="78">
        <f t="shared" si="2"/>
        <v>4</v>
      </c>
      <c r="B142" s="78"/>
      <c r="C142" s="67" t="s">
        <v>262</v>
      </c>
      <c r="D142" s="68">
        <f>(2.42*8.2)*10.764</f>
        <v>213.60081599999995</v>
      </c>
      <c r="E142" s="68">
        <f>(2.42*1.2)*10.764</f>
        <v>31.258655999999998</v>
      </c>
      <c r="F142" s="67">
        <f t="shared" si="3"/>
        <v>244.85947199999995</v>
      </c>
      <c r="G142" s="67">
        <v>0</v>
      </c>
      <c r="H142" s="67">
        <f t="shared" si="4"/>
        <v>379.53218159999994</v>
      </c>
      <c r="I142" s="37"/>
      <c r="L142" s="181"/>
      <c r="M142" s="181"/>
      <c r="N142" s="37"/>
    </row>
    <row r="143" spans="1:14" s="66" customFormat="1" ht="15.75" customHeight="1" x14ac:dyDescent="0.35">
      <c r="A143" s="78">
        <v>5</v>
      </c>
      <c r="B143" s="78"/>
      <c r="C143" s="67" t="s">
        <v>262</v>
      </c>
      <c r="D143" s="68">
        <f>(3.32*8.2)*10.764</f>
        <v>293.03913599999993</v>
      </c>
      <c r="E143" s="68">
        <f>(3.32*1.2)*10.764</f>
        <v>42.88377599999999</v>
      </c>
      <c r="F143" s="67">
        <f>D143+E143</f>
        <v>335.92291199999994</v>
      </c>
      <c r="G143" s="67">
        <v>0</v>
      </c>
      <c r="H143" s="67">
        <f>(D143+E143)*(($H$135)+1)</f>
        <v>520.68051359999993</v>
      </c>
      <c r="I143" s="37"/>
      <c r="L143" s="181"/>
      <c r="M143" s="181"/>
      <c r="N143" s="37"/>
    </row>
    <row r="144" spans="1:14" s="66" customFormat="1" ht="15.75" customHeight="1" x14ac:dyDescent="0.35">
      <c r="A144" s="78">
        <f t="shared" si="2"/>
        <v>6</v>
      </c>
      <c r="B144" s="78"/>
      <c r="C144" s="67" t="s">
        <v>262</v>
      </c>
      <c r="D144" s="68">
        <f>(3.32*8.2)*10.764</f>
        <v>293.03913599999993</v>
      </c>
      <c r="E144" s="68">
        <f>(3.32*1.2)*10.764</f>
        <v>42.88377599999999</v>
      </c>
      <c r="F144" s="67">
        <f t="shared" ref="F144:F146" si="5">D144+E144</f>
        <v>335.92291199999994</v>
      </c>
      <c r="G144" s="67">
        <v>0</v>
      </c>
      <c r="H144" s="67">
        <f t="shared" ref="H144:H146" si="6">(D144+E144)*(($H$135)+1)</f>
        <v>520.68051359999993</v>
      </c>
      <c r="I144" s="37"/>
      <c r="L144" s="181"/>
      <c r="M144" s="181"/>
      <c r="N144" s="37"/>
    </row>
    <row r="145" spans="1:20" s="66" customFormat="1" ht="15.75" customHeight="1" x14ac:dyDescent="0.35">
      <c r="A145" s="78">
        <f t="shared" si="2"/>
        <v>7</v>
      </c>
      <c r="B145" s="78"/>
      <c r="C145" s="67" t="s">
        <v>262</v>
      </c>
      <c r="D145" s="68">
        <f>(2.42*8.2)*10.764</f>
        <v>213.60081599999995</v>
      </c>
      <c r="E145" s="68">
        <f>(2.42*1.2)*10.764</f>
        <v>31.258655999999998</v>
      </c>
      <c r="F145" s="67">
        <f t="shared" si="5"/>
        <v>244.85947199999995</v>
      </c>
      <c r="G145" s="67">
        <v>0</v>
      </c>
      <c r="H145" s="67">
        <f t="shared" si="6"/>
        <v>379.53218159999994</v>
      </c>
      <c r="I145" s="37"/>
      <c r="L145" s="181"/>
      <c r="M145" s="181"/>
      <c r="N145" s="37"/>
    </row>
    <row r="146" spans="1:20" s="66" customFormat="1" ht="15.75" customHeight="1" x14ac:dyDescent="0.35">
      <c r="A146" s="78">
        <f t="shared" si="2"/>
        <v>8</v>
      </c>
      <c r="B146" s="78"/>
      <c r="C146" s="67" t="s">
        <v>262</v>
      </c>
      <c r="D146" s="68">
        <f>(2.9*8.2)*10.764</f>
        <v>255.96791999999996</v>
      </c>
      <c r="E146" s="68">
        <f>(2.9*1.2)*10.764</f>
        <v>37.45872</v>
      </c>
      <c r="F146" s="67">
        <f t="shared" si="5"/>
        <v>293.42663999999996</v>
      </c>
      <c r="G146" s="67">
        <v>0</v>
      </c>
      <c r="H146" s="67">
        <f t="shared" si="6"/>
        <v>454.81129199999998</v>
      </c>
      <c r="I146" s="37"/>
      <c r="L146" s="181"/>
      <c r="M146" s="181"/>
      <c r="N146" s="37"/>
    </row>
    <row r="147" spans="1:20" s="38" customFormat="1" x14ac:dyDescent="0.35">
      <c r="A147" s="78">
        <f t="shared" si="2"/>
        <v>9</v>
      </c>
      <c r="B147" s="78"/>
      <c r="C147" s="67" t="s">
        <v>262</v>
      </c>
      <c r="D147" s="68">
        <f>(3.02*8.2)*10.764</f>
        <v>266.55969599999997</v>
      </c>
      <c r="E147" s="68">
        <f>(3.02*1.2)*10.764</f>
        <v>39.008735999999992</v>
      </c>
      <c r="F147" s="67">
        <f t="shared" ref="F147" si="7">D147+E147</f>
        <v>305.56843199999997</v>
      </c>
      <c r="G147" s="67">
        <v>0</v>
      </c>
      <c r="H147" s="67">
        <f t="shared" ref="H147" si="8">(D147+E147)*(($H$135)+1)</f>
        <v>473.63106959999999</v>
      </c>
      <c r="I147" s="37"/>
      <c r="N147" s="37"/>
    </row>
    <row r="148" spans="1:20" s="66" customFormat="1" x14ac:dyDescent="0.35">
      <c r="A148" s="78"/>
      <c r="B148" s="78"/>
      <c r="C148" s="78"/>
      <c r="D148" s="78"/>
      <c r="E148" s="78"/>
      <c r="F148" s="78"/>
      <c r="G148" s="78"/>
      <c r="H148" s="78"/>
      <c r="I148" s="37"/>
      <c r="N148" s="37"/>
    </row>
    <row r="149" spans="1:20" ht="47.25" customHeight="1" x14ac:dyDescent="0.35">
      <c r="A149" s="202" t="s">
        <v>117</v>
      </c>
      <c r="B149" s="120" t="s">
        <v>171</v>
      </c>
      <c r="C149" s="120" t="s">
        <v>56</v>
      </c>
      <c r="D149" s="120" t="s">
        <v>226</v>
      </c>
      <c r="E149" s="122" t="s">
        <v>225</v>
      </c>
      <c r="F149" s="120" t="s">
        <v>57</v>
      </c>
      <c r="G149" s="184" t="s">
        <v>58</v>
      </c>
      <c r="H149" s="60" t="s">
        <v>145</v>
      </c>
      <c r="I149" s="37"/>
    </row>
    <row r="150" spans="1:20" s="38" customFormat="1" x14ac:dyDescent="0.35">
      <c r="A150" s="203"/>
      <c r="B150" s="121"/>
      <c r="C150" s="121"/>
      <c r="D150" s="121"/>
      <c r="E150" s="123"/>
      <c r="F150" s="121"/>
      <c r="G150" s="185"/>
      <c r="H150" s="13">
        <v>0.5</v>
      </c>
      <c r="I150" s="68">
        <v>10.763999999999999</v>
      </c>
    </row>
    <row r="151" spans="1:20" s="64" customFormat="1" ht="15.75" customHeight="1" x14ac:dyDescent="0.35">
      <c r="A151" s="128" t="s">
        <v>259</v>
      </c>
      <c r="B151" s="129"/>
      <c r="C151" s="129"/>
      <c r="D151" s="129"/>
      <c r="E151" s="129"/>
      <c r="F151" s="129"/>
      <c r="G151" s="129"/>
      <c r="H151" s="130"/>
      <c r="I151" s="37"/>
    </row>
    <row r="152" spans="1:20" s="38" customFormat="1" x14ac:dyDescent="0.35">
      <c r="A152" s="128" t="s">
        <v>260</v>
      </c>
      <c r="B152" s="129"/>
      <c r="C152" s="129"/>
      <c r="D152" s="129"/>
      <c r="E152" s="129"/>
      <c r="F152" s="129"/>
      <c r="G152" s="129"/>
      <c r="H152" s="130"/>
      <c r="J152" s="37"/>
    </row>
    <row r="153" spans="1:20" s="38" customFormat="1" ht="15.75" customHeight="1" x14ac:dyDescent="0.35">
      <c r="A153" s="128" t="s">
        <v>285</v>
      </c>
      <c r="B153" s="129"/>
      <c r="C153" s="129"/>
      <c r="D153" s="129"/>
      <c r="E153" s="129"/>
      <c r="F153" s="129"/>
      <c r="G153" s="129"/>
      <c r="H153" s="130"/>
      <c r="I153" s="37"/>
      <c r="L153" s="181"/>
      <c r="M153" s="181"/>
      <c r="N153" s="37"/>
    </row>
    <row r="154" spans="1:20" s="38" customFormat="1" ht="15.75" customHeight="1" x14ac:dyDescent="0.35">
      <c r="A154" s="118">
        <v>1</v>
      </c>
      <c r="B154" s="119"/>
      <c r="C154" s="43" t="s">
        <v>265</v>
      </c>
      <c r="D154" s="68">
        <f>(3.35*5.18+1.35*3.415+2.45*2.025+2.65*3.96+0.4*2.2+1.5*1+3.065*3.015+2.3*0.4+1.8*1+2.9*2.395+1.35*2.25+2.45*1.5+1.215*2.3+5.3*1)*10.764</f>
        <v>791.28289889999985</v>
      </c>
      <c r="E154" s="68">
        <f>((2.45*1.1+2.9*1.2+3.015*1.15)+1.2*(3.35+3.2+2.3))*10.764</f>
        <v>218.102859</v>
      </c>
      <c r="F154" s="43">
        <f>D154+E154</f>
        <v>1009.3857578999998</v>
      </c>
      <c r="G154" s="59">
        <v>0</v>
      </c>
      <c r="H154" s="59">
        <f>F154*(($H$150)+1)+(IF(G154&lt;101,G154,IF(G154&lt;201,G154/2,IF(G154&lt;=301,G154/3,G154/4))))</f>
        <v>1514.0786368499998</v>
      </c>
      <c r="I154" s="37"/>
      <c r="J154" s="38" t="s">
        <v>267</v>
      </c>
      <c r="L154" s="181">
        <v>4.0124999999999993</v>
      </c>
      <c r="M154" s="181"/>
      <c r="N154" s="37"/>
    </row>
    <row r="155" spans="1:20" s="38" customFormat="1" ht="15.75" customHeight="1" x14ac:dyDescent="0.35">
      <c r="A155" s="118">
        <f t="shared" ref="A155:A162" si="9">A154+1</f>
        <v>2</v>
      </c>
      <c r="B155" s="119"/>
      <c r="C155" s="65" t="s">
        <v>266</v>
      </c>
      <c r="D155" s="68">
        <f>(3.35*5.18+1.35*3.415+2.45*2.025+3.05*3.55+2.4*0.4+2.9*2.42+1.215*2.3+1.5*2.3+4.5*1)*10.764</f>
        <v>607.89151799999991</v>
      </c>
      <c r="E155" s="68">
        <f>((2.45*1.1+2.9*1.2)+1.2*(3.35+3.05))*10.764</f>
        <v>149.13522</v>
      </c>
      <c r="F155" s="59">
        <f t="shared" ref="F155" si="10">D155+E155</f>
        <v>757.02673799999991</v>
      </c>
      <c r="G155" s="59">
        <v>0</v>
      </c>
      <c r="H155" s="59">
        <f t="shared" ref="H155" si="11">F155*(($H$150)+1)+(IF(G155&lt;101,G155,IF(G155&lt;201,G155/2,IF(G155&lt;=301,G155/3,G155/4))))</f>
        <v>1135.5401069999998</v>
      </c>
      <c r="I155" s="37"/>
      <c r="L155" s="181">
        <f>0.75*(2.45+2.9)</f>
        <v>4.0124999999999993</v>
      </c>
      <c r="M155" s="181"/>
      <c r="N155" s="37"/>
    </row>
    <row r="156" spans="1:20" s="38" customFormat="1" ht="15.75" customHeight="1" x14ac:dyDescent="0.35">
      <c r="A156" s="118">
        <f t="shared" si="9"/>
        <v>3</v>
      </c>
      <c r="B156" s="119"/>
      <c r="C156" s="65" t="s">
        <v>266</v>
      </c>
      <c r="D156" s="68">
        <f>(3.35*5.18+1.35*3.415+2.45*2.025+3.05*3.55+2.4*0.4+2.9*2.42+1.215*2.3+1.5*2.3+4.5*1)*10.764</f>
        <v>607.89151799999991</v>
      </c>
      <c r="E156" s="68">
        <f>((2.45*1.1+2.9*1.2)+1.2*(3.35+3.05))*10.764</f>
        <v>149.13522</v>
      </c>
      <c r="F156" s="65">
        <f t="shared" ref="F156" si="12">D156+E156</f>
        <v>757.02673799999991</v>
      </c>
      <c r="G156" s="68">
        <f>(3.35*10.1+2.9*10+3.2*9.4+3.1*10.9)*10.764</f>
        <v>1363.8526200000001</v>
      </c>
      <c r="H156" s="65">
        <f>F156*(($H$150)+1)+(IF(G156&lt;101,G156,IF(G156&lt;201,G156/2,IF(G156&lt;=301,G156/3,G156/4))))</f>
        <v>1476.5032619999997</v>
      </c>
      <c r="I156" s="37">
        <f>138*10.764</f>
        <v>1485.432</v>
      </c>
      <c r="L156" s="181">
        <f>0.75*(2.45+2.9)</f>
        <v>4.0124999999999993</v>
      </c>
      <c r="M156" s="181"/>
      <c r="N156" s="37"/>
    </row>
    <row r="157" spans="1:20" s="38" customFormat="1" x14ac:dyDescent="0.35">
      <c r="A157" s="118">
        <f t="shared" si="9"/>
        <v>4</v>
      </c>
      <c r="B157" s="119"/>
      <c r="C157" s="65" t="s">
        <v>265</v>
      </c>
      <c r="D157" s="68">
        <f>(3.35*5.18+1.35*3.415+2.45*2.025+2.65*3.96+0.4*2.2+1.5*1+3.065*3.015+2.3*0.4+1.8*1+2.9*2.395+1.35*2.25+2.45*1.5+1.215*2.3+5.3*1)*10.764</f>
        <v>791.28289889999985</v>
      </c>
      <c r="E157" s="68">
        <f>((2.45*1.1+2.9*1.2+3.015*1.15)+1.2*(3.35+3.2+2.3))*10.764</f>
        <v>218.102859</v>
      </c>
      <c r="F157" s="65">
        <f>D157+E157</f>
        <v>1009.3857578999998</v>
      </c>
      <c r="G157" s="68">
        <f>(3.35*10.1+2.9*10+3.2*9.5+1.5*8.5+7.6*7.9)*10.764</f>
        <v>1787.0931</v>
      </c>
      <c r="H157" s="65">
        <f>F157*(($H$150)+1)+(IF(G157&lt;101,G157,IF(G157&lt;201,G157/2,IF(G157&lt;=301,G157/3,G157/4))))</f>
        <v>1960.8519118499999</v>
      </c>
      <c r="I157" s="37">
        <f>185*10.764</f>
        <v>1991.34</v>
      </c>
      <c r="L157" s="181">
        <f>0.75*(2.45+2.9)</f>
        <v>4.0124999999999993</v>
      </c>
      <c r="M157" s="181"/>
    </row>
    <row r="158" spans="1:20" s="38" customFormat="1" ht="15.75" customHeight="1" x14ac:dyDescent="0.35">
      <c r="A158" s="128" t="s">
        <v>264</v>
      </c>
      <c r="B158" s="129"/>
      <c r="C158" s="129"/>
      <c r="D158" s="129"/>
      <c r="E158" s="129"/>
      <c r="F158" s="129"/>
      <c r="G158" s="129"/>
      <c r="H158" s="130"/>
      <c r="I158" s="37"/>
      <c r="N158" s="37"/>
    </row>
    <row r="159" spans="1:20" s="38" customFormat="1" x14ac:dyDescent="0.35">
      <c r="A159" s="118">
        <v>1</v>
      </c>
      <c r="B159" s="119"/>
      <c r="C159" s="67" t="s">
        <v>265</v>
      </c>
      <c r="D159" s="68">
        <f>(3.35*5.18+1.35*3.415+2.45*2.025+2.65*3.96+0.4*2.2+1.5*1+3.065*3.015+2.3*0.4+1.8*1+2.9*2.395+1.35*2.25+2.45*1.5+1.215*2.3+5.3*1)*10.764</f>
        <v>791.28289889999985</v>
      </c>
      <c r="E159" s="68">
        <f>((2.45*1.1+2.9*1.2+3.015*1.15)+1.2*(3.35+3.2+2.3))*10.764</f>
        <v>218.102859</v>
      </c>
      <c r="F159" s="67">
        <f>D159+E159</f>
        <v>1009.3857578999998</v>
      </c>
      <c r="G159" s="67">
        <v>0</v>
      </c>
      <c r="H159" s="67">
        <f>F159*(($H$150)+1)+(IF(G159&lt;101,G159,IF(G159&lt;201,G159/2,IF(G159&lt;=301,G159/3,G159/4))))</f>
        <v>1514.0786368499998</v>
      </c>
      <c r="I159" s="37"/>
      <c r="N159" s="37"/>
      <c r="T159" s="22" t="s">
        <v>269</v>
      </c>
    </row>
    <row r="160" spans="1:20" s="38" customFormat="1" x14ac:dyDescent="0.35">
      <c r="A160" s="118">
        <f t="shared" si="9"/>
        <v>2</v>
      </c>
      <c r="B160" s="119"/>
      <c r="C160" s="67" t="s">
        <v>266</v>
      </c>
      <c r="D160" s="68">
        <f>(3.35*5.18+1.35*3.415+2.45*2.025+3.05*3.55+2.4*0.4+2.9*2.42+1.215*2.3+1.5*2.3+4.5*1)*10.764</f>
        <v>607.89151799999991</v>
      </c>
      <c r="E160" s="68">
        <f>((2.45*1.1+2.9*1.2)+1.2*(3.35+3.05))*10.764</f>
        <v>149.13522</v>
      </c>
      <c r="F160" s="67">
        <f t="shared" ref="F160:F161" si="13">D160+E160</f>
        <v>757.02673799999991</v>
      </c>
      <c r="G160" s="67">
        <v>0</v>
      </c>
      <c r="H160" s="67">
        <f t="shared" ref="H160:H161" si="14">F160*(($H$150)+1)+(IF(G160&lt;101,G160,IF(G160&lt;201,G160/2,IF(G160&lt;=301,G160/3,G160/4))))</f>
        <v>1135.5401069999998</v>
      </c>
      <c r="I160" s="37"/>
      <c r="N160" s="37"/>
    </row>
    <row r="161" spans="1:20" s="38" customFormat="1" x14ac:dyDescent="0.35">
      <c r="A161" s="118">
        <f t="shared" si="9"/>
        <v>3</v>
      </c>
      <c r="B161" s="119"/>
      <c r="C161" s="67" t="s">
        <v>266</v>
      </c>
      <c r="D161" s="68">
        <f>(3.35*5.18+1.35*3.415+2.45*2.025+3.05*3.55+2.4*0.4+2.9*2.42+1.215*2.3+1.5*2.3+4.5*1)*10.764</f>
        <v>607.89151799999991</v>
      </c>
      <c r="E161" s="68">
        <f>((2.45*1.1+2.9*1.2)+1.2*(3.35+3.05))*10.764</f>
        <v>149.13522</v>
      </c>
      <c r="F161" s="67">
        <f t="shared" si="13"/>
        <v>757.02673799999991</v>
      </c>
      <c r="G161" s="67">
        <v>0</v>
      </c>
      <c r="H161" s="67">
        <f t="shared" si="14"/>
        <v>1135.5401069999998</v>
      </c>
      <c r="I161" s="37"/>
      <c r="N161" s="37"/>
      <c r="T161" s="38" t="s">
        <v>270</v>
      </c>
    </row>
    <row r="162" spans="1:20" s="38" customFormat="1" x14ac:dyDescent="0.35">
      <c r="A162" s="118">
        <f t="shared" si="9"/>
        <v>4</v>
      </c>
      <c r="B162" s="119"/>
      <c r="C162" s="67" t="s">
        <v>265</v>
      </c>
      <c r="D162" s="68">
        <f>(3.35*5.18+1.35*3.415+2.45*2.025+2.65*3.96+0.4*2.2+1.5*1+3.065*3.015+2.3*0.4+1.8*1+2.9*2.395+1.35*2.25+2.45*1.5+1.215*2.3+5.3*1)*10.764</f>
        <v>791.28289889999985</v>
      </c>
      <c r="E162" s="68">
        <f>((2.45*1.1+2.9*1.2+3.015*1.15)+1.2*(3.35+3.2+2.3))*10.764</f>
        <v>218.102859</v>
      </c>
      <c r="F162" s="67">
        <f>D162+E162</f>
        <v>1009.3857578999998</v>
      </c>
      <c r="G162" s="67">
        <v>0</v>
      </c>
      <c r="H162" s="67">
        <f>F162*(($H$150)+1)+(IF(G162&lt;101,G162,IF(G162&lt;201,G162/2,IF(G162&lt;=301,G162/3,G162/4))))</f>
        <v>1514.0786368499998</v>
      </c>
      <c r="I162" s="37"/>
      <c r="N162" s="37"/>
    </row>
    <row r="163" spans="1:20" s="36" customFormat="1" x14ac:dyDescent="0.35">
      <c r="A163" s="140" t="s">
        <v>66</v>
      </c>
      <c r="B163" s="140"/>
      <c r="C163" s="140"/>
      <c r="D163" s="140"/>
      <c r="E163" s="140"/>
      <c r="F163" s="140"/>
      <c r="G163" s="140"/>
      <c r="H163" s="140"/>
    </row>
    <row r="164" spans="1:20" s="36" customFormat="1" x14ac:dyDescent="0.35">
      <c r="A164" s="47" t="s">
        <v>149</v>
      </c>
      <c r="B164" s="137" t="s">
        <v>268</v>
      </c>
      <c r="C164" s="138"/>
      <c r="D164" s="138"/>
      <c r="E164" s="138"/>
      <c r="F164" s="138"/>
      <c r="G164" s="138"/>
      <c r="H164" s="139"/>
    </row>
    <row r="165" spans="1:20" s="36" customFormat="1" x14ac:dyDescent="0.35">
      <c r="A165" s="47" t="s">
        <v>149</v>
      </c>
      <c r="B165" s="131" t="str">
        <f>(IF(H149="Saleable area Loading :","We have considered Saleable area of Flats as per our Calculation.","We considered Saleable area of Flat as per Builder area Sheet."))</f>
        <v>We have considered Saleable area of Flats as per our Calculation.</v>
      </c>
      <c r="C165" s="132"/>
      <c r="D165" s="132"/>
      <c r="E165" s="132"/>
      <c r="F165" s="132"/>
      <c r="G165" s="132"/>
      <c r="H165" s="133"/>
    </row>
    <row r="166" spans="1:20" s="36" customFormat="1" x14ac:dyDescent="0.35">
      <c r="A166" s="47" t="s">
        <v>149</v>
      </c>
      <c r="B166" s="131" t="str">
        <f>(IF(H134="Saleable area Loading :","We have considered Saleable area of Commercial as per our Calculation.","We considered Saleable area of Commercial as per Builder area Sheet."))</f>
        <v>We have considered Saleable area of Commercial as per our Calculation.</v>
      </c>
      <c r="C166" s="132"/>
      <c r="D166" s="132"/>
      <c r="E166" s="132"/>
      <c r="F166" s="132"/>
      <c r="G166" s="132"/>
      <c r="H166" s="133"/>
    </row>
    <row r="167" spans="1:20" s="36" customFormat="1" x14ac:dyDescent="0.35">
      <c r="A167" s="47" t="s">
        <v>149</v>
      </c>
      <c r="B167" s="134" t="s">
        <v>119</v>
      </c>
      <c r="C167" s="135"/>
      <c r="D167" s="135"/>
      <c r="E167" s="135"/>
      <c r="F167" s="135"/>
      <c r="G167" s="135"/>
      <c r="H167" s="136"/>
    </row>
    <row r="168" spans="1:20" s="36" customFormat="1" x14ac:dyDescent="0.35">
      <c r="A168" s="47" t="s">
        <v>149</v>
      </c>
      <c r="B168" s="134" t="s">
        <v>278</v>
      </c>
      <c r="C168" s="135"/>
      <c r="D168" s="135"/>
      <c r="E168" s="135"/>
      <c r="F168" s="135"/>
      <c r="G168" s="135"/>
      <c r="H168" s="136"/>
    </row>
    <row r="169" spans="1:20" s="36" customFormat="1" x14ac:dyDescent="0.35">
      <c r="A169" s="47" t="s">
        <v>149</v>
      </c>
      <c r="B169" s="134" t="s">
        <v>148</v>
      </c>
      <c r="C169" s="135"/>
      <c r="D169" s="135"/>
      <c r="E169" s="135"/>
      <c r="F169" s="135"/>
      <c r="G169" s="135"/>
      <c r="H169" s="136"/>
    </row>
    <row r="170" spans="1:20" s="36" customFormat="1" x14ac:dyDescent="0.35">
      <c r="A170" s="47" t="s">
        <v>149</v>
      </c>
      <c r="B170" s="134" t="s">
        <v>120</v>
      </c>
      <c r="C170" s="135"/>
      <c r="D170" s="135"/>
      <c r="E170" s="135"/>
      <c r="F170" s="135"/>
      <c r="G170" s="135"/>
      <c r="H170" s="136"/>
    </row>
    <row r="171" spans="1:20" s="36" customFormat="1" ht="36" customHeight="1" x14ac:dyDescent="0.35">
      <c r="A171" s="47" t="s">
        <v>149</v>
      </c>
      <c r="B171" s="134" t="s">
        <v>150</v>
      </c>
      <c r="C171" s="135"/>
      <c r="D171" s="135"/>
      <c r="E171" s="135"/>
      <c r="F171" s="135"/>
      <c r="G171" s="135"/>
      <c r="H171" s="136"/>
    </row>
    <row r="172" spans="1:20" s="36" customFormat="1" x14ac:dyDescent="0.35">
      <c r="A172" s="47" t="s">
        <v>149</v>
      </c>
      <c r="B172" s="134" t="s">
        <v>121</v>
      </c>
      <c r="C172" s="135"/>
      <c r="D172" s="135"/>
      <c r="E172" s="135"/>
      <c r="F172" s="135"/>
      <c r="G172" s="135"/>
      <c r="H172" s="136"/>
    </row>
    <row r="173" spans="1:20" ht="32.25" customHeight="1" x14ac:dyDescent="0.35">
      <c r="A173" s="56" t="s">
        <v>149</v>
      </c>
      <c r="B173" s="131" t="s">
        <v>286</v>
      </c>
      <c r="C173" s="132"/>
      <c r="D173" s="132"/>
      <c r="E173" s="132"/>
      <c r="F173" s="132"/>
      <c r="G173" s="132"/>
      <c r="H173" s="133"/>
    </row>
    <row r="174" spans="1:20" hidden="1" x14ac:dyDescent="0.35">
      <c r="A174" s="61" t="s">
        <v>149</v>
      </c>
      <c r="B174" s="198" t="s">
        <v>227</v>
      </c>
      <c r="C174" s="199"/>
      <c r="D174" s="199"/>
      <c r="E174" s="199"/>
      <c r="F174" s="199"/>
      <c r="G174" s="199"/>
      <c r="H174" s="200"/>
    </row>
    <row r="175" spans="1:20" ht="15.75" customHeight="1" x14ac:dyDescent="0.35">
      <c r="A175" s="99" t="s">
        <v>59</v>
      </c>
      <c r="B175" s="99"/>
      <c r="C175" s="99"/>
      <c r="D175" s="99"/>
      <c r="E175" s="99"/>
      <c r="F175" s="99"/>
      <c r="G175" s="99"/>
      <c r="H175" s="99"/>
    </row>
    <row r="176" spans="1:20" x14ac:dyDescent="0.35">
      <c r="A176" s="77" t="s">
        <v>60</v>
      </c>
      <c r="B176" s="77"/>
      <c r="C176" s="77"/>
      <c r="D176" s="77"/>
      <c r="E176" s="77"/>
      <c r="F176" s="77"/>
      <c r="G176" s="77"/>
      <c r="H176" s="77"/>
    </row>
    <row r="177" spans="1:8" x14ac:dyDescent="0.35">
      <c r="A177" s="117" t="s">
        <v>61</v>
      </c>
      <c r="B177" s="117"/>
      <c r="C177" s="117"/>
      <c r="D177" s="117"/>
      <c r="E177" s="117"/>
      <c r="F177" s="117"/>
      <c r="G177" s="117"/>
      <c r="H177" s="117"/>
    </row>
    <row r="178" spans="1:8" x14ac:dyDescent="0.35">
      <c r="A178" s="77" t="s">
        <v>62</v>
      </c>
      <c r="B178" s="77"/>
      <c r="C178" s="77"/>
      <c r="D178" s="77"/>
      <c r="E178" s="77"/>
      <c r="F178" s="77"/>
      <c r="G178" s="77"/>
      <c r="H178" s="77"/>
    </row>
    <row r="179" spans="1:8" x14ac:dyDescent="0.35">
      <c r="A179" s="77" t="s">
        <v>63</v>
      </c>
      <c r="B179" s="77"/>
      <c r="C179" s="77"/>
      <c r="D179" s="77"/>
      <c r="E179" s="77"/>
      <c r="F179" s="77"/>
      <c r="G179" s="77"/>
      <c r="H179" s="77"/>
    </row>
    <row r="180" spans="1:8" x14ac:dyDescent="0.35">
      <c r="A180" s="77" t="s">
        <v>122</v>
      </c>
      <c r="B180" s="77"/>
      <c r="C180" s="77"/>
      <c r="D180" s="77"/>
      <c r="E180" s="77"/>
      <c r="F180" s="77"/>
      <c r="G180" s="77"/>
      <c r="H180" s="77"/>
    </row>
    <row r="181" spans="1:8" x14ac:dyDescent="0.35">
      <c r="A181" s="84" t="s">
        <v>123</v>
      </c>
      <c r="B181" s="84"/>
      <c r="C181" s="84"/>
      <c r="D181" s="84"/>
      <c r="E181" s="84"/>
      <c r="F181" s="84"/>
      <c r="G181" s="84"/>
      <c r="H181" s="84"/>
    </row>
    <row r="182" spans="1:8" x14ac:dyDescent="0.35">
      <c r="A182" s="152" t="s">
        <v>75</v>
      </c>
      <c r="B182" s="152"/>
      <c r="C182" s="153" t="s">
        <v>290</v>
      </c>
      <c r="D182" s="153"/>
      <c r="E182" s="153" t="s">
        <v>103</v>
      </c>
      <c r="F182" s="153"/>
      <c r="G182" s="153" t="s">
        <v>287</v>
      </c>
      <c r="H182" s="153"/>
    </row>
    <row r="183" spans="1:8" x14ac:dyDescent="0.35">
      <c r="A183" s="151" t="s">
        <v>77</v>
      </c>
      <c r="B183" s="151"/>
      <c r="C183" s="151"/>
      <c r="D183" s="151"/>
      <c r="E183" s="151"/>
      <c r="F183" s="151"/>
      <c r="G183" s="151"/>
      <c r="H183" s="151"/>
    </row>
    <row r="184" spans="1:8" x14ac:dyDescent="0.35">
      <c r="A184" s="151"/>
      <c r="B184" s="151"/>
      <c r="C184" s="151"/>
      <c r="D184" s="151"/>
      <c r="E184" s="151"/>
      <c r="F184" s="151"/>
      <c r="G184" s="151"/>
      <c r="H184" s="151"/>
    </row>
    <row r="185" spans="1:8" x14ac:dyDescent="0.35">
      <c r="A185" s="151"/>
      <c r="B185" s="151"/>
      <c r="C185" s="151"/>
      <c r="D185" s="151"/>
      <c r="E185" s="151"/>
      <c r="F185" s="151"/>
      <c r="G185" s="151"/>
      <c r="H185" s="151"/>
    </row>
    <row r="186" spans="1:8" x14ac:dyDescent="0.35">
      <c r="A186" s="39" t="s">
        <v>64</v>
      </c>
      <c r="B186" s="40"/>
      <c r="C186" s="40"/>
      <c r="D186" s="39" t="str">
        <f>E8</f>
        <v>Tharwani Solitaire Phase I</v>
      </c>
      <c r="F186" s="40"/>
      <c r="G186" s="40"/>
      <c r="H186" s="40"/>
    </row>
    <row r="187" spans="1:8" ht="15" customHeight="1" x14ac:dyDescent="0.35">
      <c r="A187" s="40"/>
      <c r="B187" s="40"/>
      <c r="C187" s="40"/>
      <c r="D187" s="40"/>
      <c r="E187" s="40"/>
      <c r="F187" s="40"/>
      <c r="G187" s="40"/>
      <c r="H187" s="40"/>
    </row>
    <row r="188" spans="1:8" x14ac:dyDescent="0.35">
      <c r="A188" s="40"/>
      <c r="B188" s="40"/>
      <c r="C188" s="40"/>
      <c r="D188" s="40"/>
      <c r="E188" s="40"/>
      <c r="F188" s="40"/>
      <c r="G188" s="40"/>
      <c r="H188" s="40"/>
    </row>
    <row r="212" spans="11:11" x14ac:dyDescent="0.35">
      <c r="K212"/>
    </row>
    <row r="225" spans="1:1" x14ac:dyDescent="0.35">
      <c r="A225" s="42" t="s">
        <v>159</v>
      </c>
    </row>
    <row r="265" spans="1:1" x14ac:dyDescent="0.35">
      <c r="A265" s="42" t="s">
        <v>65</v>
      </c>
    </row>
  </sheetData>
  <mergeCells count="335">
    <mergeCell ref="A142:B142"/>
    <mergeCell ref="L143:M143"/>
    <mergeCell ref="A144:B144"/>
    <mergeCell ref="L144:M144"/>
    <mergeCell ref="A145:B145"/>
    <mergeCell ref="L145:M145"/>
    <mergeCell ref="A146:B146"/>
    <mergeCell ref="L146:M146"/>
    <mergeCell ref="L157:M157"/>
    <mergeCell ref="L156:M156"/>
    <mergeCell ref="L153:M153"/>
    <mergeCell ref="L154:M154"/>
    <mergeCell ref="L155:M155"/>
    <mergeCell ref="A149:A150"/>
    <mergeCell ref="A151:H151"/>
    <mergeCell ref="F115:H115"/>
    <mergeCell ref="B174:H174"/>
    <mergeCell ref="A115:E115"/>
    <mergeCell ref="A95:B95"/>
    <mergeCell ref="A100:B100"/>
    <mergeCell ref="A130:B130"/>
    <mergeCell ref="E130:F130"/>
    <mergeCell ref="C98:H98"/>
    <mergeCell ref="A99:B99"/>
    <mergeCell ref="A120:E120"/>
    <mergeCell ref="G130:H130"/>
    <mergeCell ref="A126:B126"/>
    <mergeCell ref="C126:D126"/>
    <mergeCell ref="E126:F126"/>
    <mergeCell ref="G126:H126"/>
    <mergeCell ref="B171:H171"/>
    <mergeCell ref="A162:B162"/>
    <mergeCell ref="A147:B147"/>
    <mergeCell ref="A148:H148"/>
    <mergeCell ref="A158:H158"/>
    <mergeCell ref="A136:H136"/>
    <mergeCell ref="A137:H137"/>
    <mergeCell ref="A143:B143"/>
    <mergeCell ref="A154:B154"/>
    <mergeCell ref="A114:E114"/>
    <mergeCell ref="A105:B105"/>
    <mergeCell ref="A107:B107"/>
    <mergeCell ref="A108:B108"/>
    <mergeCell ref="A113:E113"/>
    <mergeCell ref="A110:E110"/>
    <mergeCell ref="F114:H114"/>
    <mergeCell ref="G99:H99"/>
    <mergeCell ref="A98:B98"/>
    <mergeCell ref="F110:H110"/>
    <mergeCell ref="A39:B39"/>
    <mergeCell ref="C39:H39"/>
    <mergeCell ref="F134:F135"/>
    <mergeCell ref="C125:D125"/>
    <mergeCell ref="E125:F125"/>
    <mergeCell ref="B134:B135"/>
    <mergeCell ref="A134:A135"/>
    <mergeCell ref="C149:C150"/>
    <mergeCell ref="G149:G150"/>
    <mergeCell ref="G131:H131"/>
    <mergeCell ref="A78:B78"/>
    <mergeCell ref="C84:H84"/>
    <mergeCell ref="A44:D44"/>
    <mergeCell ref="A76:B76"/>
    <mergeCell ref="A63:C63"/>
    <mergeCell ref="D63:H63"/>
    <mergeCell ref="C70:H70"/>
    <mergeCell ref="A73:B73"/>
    <mergeCell ref="A48:B48"/>
    <mergeCell ref="C48:H48"/>
    <mergeCell ref="A101:B101"/>
    <mergeCell ref="A102:B102"/>
    <mergeCell ref="G86:H95"/>
    <mergeCell ref="A87:B87"/>
    <mergeCell ref="I64:M64"/>
    <mergeCell ref="A153:H153"/>
    <mergeCell ref="A38:B38"/>
    <mergeCell ref="C38:H38"/>
    <mergeCell ref="A45:D45"/>
    <mergeCell ref="L142:M142"/>
    <mergeCell ref="L141:M141"/>
    <mergeCell ref="L140:M140"/>
    <mergeCell ref="L139:M139"/>
    <mergeCell ref="A79:B79"/>
    <mergeCell ref="C129:D129"/>
    <mergeCell ref="E129:F129"/>
    <mergeCell ref="G129:H129"/>
    <mergeCell ref="A111:E111"/>
    <mergeCell ref="A96:B96"/>
    <mergeCell ref="C96:H96"/>
    <mergeCell ref="A138:H138"/>
    <mergeCell ref="E134:E135"/>
    <mergeCell ref="A86:B86"/>
    <mergeCell ref="A46:D46"/>
    <mergeCell ref="A47:H47"/>
    <mergeCell ref="D59:H59"/>
    <mergeCell ref="A59:C59"/>
    <mergeCell ref="G134:G135"/>
    <mergeCell ref="A37:H37"/>
    <mergeCell ref="A36:B36"/>
    <mergeCell ref="C36:E36"/>
    <mergeCell ref="G100:H109"/>
    <mergeCell ref="A41:D41"/>
    <mergeCell ref="E41:H41"/>
    <mergeCell ref="A40:H40"/>
    <mergeCell ref="A61:C61"/>
    <mergeCell ref="A62:C62"/>
    <mergeCell ref="D61:H61"/>
    <mergeCell ref="E72:F81"/>
    <mergeCell ref="G72:H81"/>
    <mergeCell ref="A80:B80"/>
    <mergeCell ref="A81:B81"/>
    <mergeCell ref="D62:H62"/>
    <mergeCell ref="A43:D43"/>
    <mergeCell ref="E43:H43"/>
    <mergeCell ref="E44:H44"/>
    <mergeCell ref="E45:H45"/>
    <mergeCell ref="A85:B85"/>
    <mergeCell ref="E46:H46"/>
    <mergeCell ref="A71:B71"/>
    <mergeCell ref="A74:B74"/>
    <mergeCell ref="A84:B84"/>
    <mergeCell ref="F36:H36"/>
    <mergeCell ref="E26:H26"/>
    <mergeCell ref="A28:D28"/>
    <mergeCell ref="E28:H28"/>
    <mergeCell ref="A25:D25"/>
    <mergeCell ref="E25:H25"/>
    <mergeCell ref="A29:D29"/>
    <mergeCell ref="E29:H29"/>
    <mergeCell ref="A26:D26"/>
    <mergeCell ref="A35:B35"/>
    <mergeCell ref="C35:E35"/>
    <mergeCell ref="A30:D30"/>
    <mergeCell ref="E30:H30"/>
    <mergeCell ref="A31:D31"/>
    <mergeCell ref="E31:H31"/>
    <mergeCell ref="A27:D27"/>
    <mergeCell ref="E27:H27"/>
    <mergeCell ref="C32:E32"/>
    <mergeCell ref="F35:H35"/>
    <mergeCell ref="F32:H32"/>
    <mergeCell ref="A33:B33"/>
    <mergeCell ref="A32:B32"/>
    <mergeCell ref="C33:E33"/>
    <mergeCell ref="A34:B34"/>
    <mergeCell ref="C34:E34"/>
    <mergeCell ref="A24:D24"/>
    <mergeCell ref="E24:H24"/>
    <mergeCell ref="A18:B18"/>
    <mergeCell ref="C18:D18"/>
    <mergeCell ref="E18:F18"/>
    <mergeCell ref="G18:H18"/>
    <mergeCell ref="A19:B19"/>
    <mergeCell ref="C19:D19"/>
    <mergeCell ref="E19:F19"/>
    <mergeCell ref="G19:H19"/>
    <mergeCell ref="A20:B20"/>
    <mergeCell ref="C20:D20"/>
    <mergeCell ref="E20:F20"/>
    <mergeCell ref="G20:H20"/>
    <mergeCell ref="A21:B21"/>
    <mergeCell ref="C21:D21"/>
    <mergeCell ref="E21:F21"/>
    <mergeCell ref="G21:H21"/>
    <mergeCell ref="F33:H33"/>
    <mergeCell ref="F34:H34"/>
    <mergeCell ref="E13:H13"/>
    <mergeCell ref="A14:D14"/>
    <mergeCell ref="A10:D10"/>
    <mergeCell ref="E10:H10"/>
    <mergeCell ref="A22:D23"/>
    <mergeCell ref="E22:H23"/>
    <mergeCell ref="E14:H14"/>
    <mergeCell ref="A15:B15"/>
    <mergeCell ref="C15:H15"/>
    <mergeCell ref="C16:H16"/>
    <mergeCell ref="A17:B17"/>
    <mergeCell ref="C17:H17"/>
    <mergeCell ref="A12:D12"/>
    <mergeCell ref="E12:H12"/>
    <mergeCell ref="A11:D11"/>
    <mergeCell ref="E11:H11"/>
    <mergeCell ref="A16:B16"/>
    <mergeCell ref="A13:D13"/>
    <mergeCell ref="A1:H1"/>
    <mergeCell ref="A2:H2"/>
    <mergeCell ref="A3:D3"/>
    <mergeCell ref="E3:H3"/>
    <mergeCell ref="A4:D4"/>
    <mergeCell ref="A8:D8"/>
    <mergeCell ref="E8:H8"/>
    <mergeCell ref="A9:D9"/>
    <mergeCell ref="E9:H9"/>
    <mergeCell ref="E4:H4"/>
    <mergeCell ref="A5:D5"/>
    <mergeCell ref="E5:H5"/>
    <mergeCell ref="A6:D6"/>
    <mergeCell ref="E6:H6"/>
    <mergeCell ref="A7:D7"/>
    <mergeCell ref="E7:H7"/>
    <mergeCell ref="A75:B75"/>
    <mergeCell ref="E71:F71"/>
    <mergeCell ref="A64:C64"/>
    <mergeCell ref="D64:H64"/>
    <mergeCell ref="A67:C67"/>
    <mergeCell ref="D67:H67"/>
    <mergeCell ref="A65:C65"/>
    <mergeCell ref="D66:H66"/>
    <mergeCell ref="A72:B72"/>
    <mergeCell ref="G71:H71"/>
    <mergeCell ref="A70:B70"/>
    <mergeCell ref="A68:B68"/>
    <mergeCell ref="C68:H68"/>
    <mergeCell ref="A183:H185"/>
    <mergeCell ref="A182:B182"/>
    <mergeCell ref="E182:F182"/>
    <mergeCell ref="C182:D182"/>
    <mergeCell ref="G182:H182"/>
    <mergeCell ref="A123:H123"/>
    <mergeCell ref="A121:E121"/>
    <mergeCell ref="F121:H121"/>
    <mergeCell ref="A122:E122"/>
    <mergeCell ref="F122:H122"/>
    <mergeCell ref="A129:B129"/>
    <mergeCell ref="A125:B125"/>
    <mergeCell ref="A178:H178"/>
    <mergeCell ref="A127:H127"/>
    <mergeCell ref="A181:H181"/>
    <mergeCell ref="A179:H179"/>
    <mergeCell ref="A175:H175"/>
    <mergeCell ref="G128:H128"/>
    <mergeCell ref="C134:C135"/>
    <mergeCell ref="B149:B150"/>
    <mergeCell ref="A176:H176"/>
    <mergeCell ref="C131:D131"/>
    <mergeCell ref="A160:B160"/>
    <mergeCell ref="A161:B161"/>
    <mergeCell ref="A141:B141"/>
    <mergeCell ref="E85:F85"/>
    <mergeCell ref="G85:H85"/>
    <mergeCell ref="A116:E116"/>
    <mergeCell ref="F116:H116"/>
    <mergeCell ref="A118:E118"/>
    <mergeCell ref="F113:H113"/>
    <mergeCell ref="A117:E117"/>
    <mergeCell ref="A103:B103"/>
    <mergeCell ref="A104:B104"/>
    <mergeCell ref="E86:F95"/>
    <mergeCell ref="A93:B93"/>
    <mergeCell ref="A94:B94"/>
    <mergeCell ref="E99:F99"/>
    <mergeCell ref="E100:F109"/>
    <mergeCell ref="E128:F128"/>
    <mergeCell ref="A132:H132"/>
    <mergeCell ref="A131:B131"/>
    <mergeCell ref="E131:F131"/>
    <mergeCell ref="A88:B88"/>
    <mergeCell ref="A89:B89"/>
    <mergeCell ref="F112:H112"/>
    <mergeCell ref="A112:E112"/>
    <mergeCell ref="D134:D135"/>
    <mergeCell ref="B172:H172"/>
    <mergeCell ref="B170:H170"/>
    <mergeCell ref="B166:H166"/>
    <mergeCell ref="B164:H164"/>
    <mergeCell ref="B165:H165"/>
    <mergeCell ref="B167:H167"/>
    <mergeCell ref="B168:H168"/>
    <mergeCell ref="A163:H163"/>
    <mergeCell ref="A155:B155"/>
    <mergeCell ref="A156:B156"/>
    <mergeCell ref="B169:H169"/>
    <mergeCell ref="A60:C60"/>
    <mergeCell ref="D60:H60"/>
    <mergeCell ref="C50:E50"/>
    <mergeCell ref="A180:H180"/>
    <mergeCell ref="A177:H177"/>
    <mergeCell ref="A159:B159"/>
    <mergeCell ref="A128:B128"/>
    <mergeCell ref="D149:D150"/>
    <mergeCell ref="E149:E150"/>
    <mergeCell ref="A90:B90"/>
    <mergeCell ref="A91:B91"/>
    <mergeCell ref="A92:B92"/>
    <mergeCell ref="A106:B106"/>
    <mergeCell ref="F111:H111"/>
    <mergeCell ref="G125:H125"/>
    <mergeCell ref="A109:B109"/>
    <mergeCell ref="F117:H117"/>
    <mergeCell ref="C124:D124"/>
    <mergeCell ref="C130:D130"/>
    <mergeCell ref="A152:H152"/>
    <mergeCell ref="A139:B139"/>
    <mergeCell ref="B173:H173"/>
    <mergeCell ref="A157:B157"/>
    <mergeCell ref="F149:F150"/>
    <mergeCell ref="A50:B50"/>
    <mergeCell ref="A56:H56"/>
    <mergeCell ref="A57:C57"/>
    <mergeCell ref="A58:C58"/>
    <mergeCell ref="D58:H58"/>
    <mergeCell ref="G53:H53"/>
    <mergeCell ref="C52:H52"/>
    <mergeCell ref="C51:E51"/>
    <mergeCell ref="G50:H50"/>
    <mergeCell ref="A51:B52"/>
    <mergeCell ref="A53:B54"/>
    <mergeCell ref="C54:H54"/>
    <mergeCell ref="A55:B55"/>
    <mergeCell ref="C55:E55"/>
    <mergeCell ref="G55:H55"/>
    <mergeCell ref="I14:P14"/>
    <mergeCell ref="F120:H120"/>
    <mergeCell ref="F118:H118"/>
    <mergeCell ref="A133:H133"/>
    <mergeCell ref="G124:H124"/>
    <mergeCell ref="A119:E119"/>
    <mergeCell ref="A140:B140"/>
    <mergeCell ref="C53:E53"/>
    <mergeCell ref="D57:H57"/>
    <mergeCell ref="F119:H119"/>
    <mergeCell ref="E124:F124"/>
    <mergeCell ref="A124:B124"/>
    <mergeCell ref="C128:D128"/>
    <mergeCell ref="D65:H65"/>
    <mergeCell ref="A66:C66"/>
    <mergeCell ref="E42:H42"/>
    <mergeCell ref="A42:D42"/>
    <mergeCell ref="A82:B82"/>
    <mergeCell ref="C82:H82"/>
    <mergeCell ref="A77:B77"/>
    <mergeCell ref="A49:B49"/>
    <mergeCell ref="C49:E49"/>
    <mergeCell ref="G49:H49"/>
    <mergeCell ref="G51:H51"/>
  </mergeCells>
  <dataValidations count="12">
    <dataValidation type="list" allowBlank="1" showInputMessage="1" showErrorMessage="1" sqref="E4:H4">
      <formula1>"Axis Goregaon,Axis Thane,Axis Badlapur,Axis Sanpada, PNB Thane,IBHF Vashi,IBHF Thane,IBHF Andheri"</formula1>
    </dataValidation>
    <dataValidation type="list" allowBlank="1" showInputMessage="1" showErrorMessage="1" sqref="A16:B16">
      <formula1>"CTS No,Survey No,Plot No,Gut No,FP No,"</formula1>
    </dataValidation>
    <dataValidation type="list" allowBlank="1" showInputMessage="1" showErrorMessage="1" sqref="G19:H19">
      <formula1>$S$12:$W$12</formula1>
    </dataValidation>
    <dataValidation type="list" allowBlank="1" showInputMessage="1" showErrorMessage="1" sqref="E134:E135">
      <formula1>"Attached Loft area,Attached Otla area,Attached Mezzanine area"</formula1>
    </dataValidation>
    <dataValidation type="list" allowBlank="1" showInputMessage="1" showErrorMessage="1" sqref="G182:H182">
      <formula1>"Kunal Kadam,Pranita Mhatre,Shruti Fule,Pooja Kawale,Mansee Mohite,Anjali Kamble, Hitakshi Mhatre, Sachin Sawant"</formula1>
    </dataValidation>
    <dataValidation type="list" allowBlank="1" showInputMessage="1" showErrorMessage="1" sqref="F110:H110">
      <formula1>"On Saleable Area,On Builtup Area,On Carpet Area,On Plot Area"</formula1>
    </dataValidation>
    <dataValidation type="list" allowBlank="1" showInputMessage="1" showErrorMessage="1" sqref="F121:H121">
      <formula1>"100000,150000,200000,250000,300000,350000,400000,500000,600000,700000,800000,900000,1000000,1200000,1400000,1500000"</formula1>
    </dataValidation>
    <dataValidation type="list" allowBlank="1" showInputMessage="1" showErrorMessage="1" sqref="B134:B135">
      <formula1>"Shop No. (Sale Plan),Sale / Rehab,Sale / Mhada"</formula1>
    </dataValidation>
    <dataValidation type="list" allowBlank="1" showInputMessage="1" showErrorMessage="1" sqref="B149:B150">
      <formula1>"Flat No. (Sale Plan),Sale / Rehab,Sale / Mhada"</formula1>
    </dataValidation>
    <dataValidation type="list" allowBlank="1" showInputMessage="1" showErrorMessage="1" sqref="C20:D20">
      <formula1>OFFSET($S$12,1,MATCH($G19,$S$12:$W$12,0)-1,15,1)</formula1>
    </dataValidation>
    <dataValidation type="list" allowBlank="1" showInputMessage="1" showErrorMessage="1" sqref="Y12">
      <formula1>$D$4:$H$4</formula1>
    </dataValidation>
    <dataValidation type="list" allowBlank="1" showInputMessage="1" showErrorMessage="1" sqref="E149:E150">
      <formula1>"Fungible area,Balcony Area,Chajja Area,Cornice Area,AP Area,WS Area"</formula1>
    </dataValidation>
  </dataValidations>
  <hyperlinks>
    <hyperlink ref="C39" r:id="rId1"/>
    <hyperlink ref="I64" r:id="rId2"/>
  </hyperlinks>
  <printOptions horizontalCentered="1"/>
  <pageMargins left="0.39370078740157483" right="0.39370078740157483" top="0.82677165354330717" bottom="0.78740157480314965" header="0.15748031496062992" footer="0.19685039370078741"/>
  <pageSetup paperSize="2" fitToHeight="0" orientation="portrait" r:id="rId3"/>
  <headerFooter>
    <oddHeader>&amp;C&amp;G</oddHeader>
    <oddFooter>&amp;L&amp;"Times New Roman,Bold"&amp;12Ref No: &amp;F&amp;C&amp;G&amp;R&amp;"Times New Roman,Bold"&amp;12&amp;P</oddFooter>
  </headerFooter>
  <rowBreaks count="4" manualBreakCount="4">
    <brk id="67" max="16383" man="1"/>
    <brk id="185" max="7" man="1"/>
    <brk id="224" max="7" man="1"/>
    <brk id="264" max="7" man="1"/>
  </rowBreaks>
  <drawing r:id="rId4"/>
  <legacyDrawing r:id="rId5"/>
  <legacyDrawingHF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I16"/>
  <sheetViews>
    <sheetView zoomScale="85" zoomScaleNormal="85" workbookViewId="0">
      <selection activeCell="K3" sqref="K3"/>
    </sheetView>
  </sheetViews>
  <sheetFormatPr defaultColWidth="8.7265625" defaultRowHeight="14.5" x14ac:dyDescent="0.35"/>
  <cols>
    <col min="1" max="1" width="8.7265625" style="1"/>
    <col min="2" max="2" width="22.1796875" style="1" customWidth="1"/>
    <col min="3" max="3" width="37" style="1" customWidth="1"/>
    <col min="4" max="5" width="11.453125" style="1" customWidth="1"/>
    <col min="6" max="6" width="14" style="1" customWidth="1"/>
    <col min="7" max="7" width="20" style="1" customWidth="1"/>
    <col min="8" max="8" width="16.453125" style="1" customWidth="1"/>
    <col min="9" max="16384" width="8.7265625" style="1"/>
  </cols>
  <sheetData>
    <row r="1" spans="1:9" ht="15" customHeight="1" x14ac:dyDescent="0.35"/>
    <row r="2" spans="1:9" ht="15" customHeight="1" x14ac:dyDescent="0.35">
      <c r="A2" s="2"/>
      <c r="B2" s="2"/>
      <c r="C2" s="2"/>
      <c r="D2" s="2"/>
      <c r="E2" s="2"/>
      <c r="F2" s="2"/>
      <c r="G2" s="2"/>
      <c r="H2" s="2"/>
    </row>
    <row r="3" spans="1:9" ht="15.75" customHeight="1" x14ac:dyDescent="0.35">
      <c r="A3" s="2"/>
      <c r="B3" s="204" t="s">
        <v>104</v>
      </c>
      <c r="C3" s="204"/>
      <c r="D3" s="204"/>
      <c r="E3" s="204"/>
      <c r="F3" s="204"/>
      <c r="G3" s="204"/>
      <c r="H3" s="204"/>
    </row>
    <row r="4" spans="1:9" x14ac:dyDescent="0.35">
      <c r="A4" s="2"/>
      <c r="B4" s="3" t="s">
        <v>105</v>
      </c>
      <c r="C4" s="3" t="s">
        <v>106</v>
      </c>
      <c r="D4" s="3" t="s">
        <v>67</v>
      </c>
      <c r="E4" s="3" t="s">
        <v>107</v>
      </c>
      <c r="F4" s="3" t="s">
        <v>113</v>
      </c>
      <c r="G4" s="3" t="s">
        <v>114</v>
      </c>
      <c r="H4" s="3" t="s">
        <v>108</v>
      </c>
    </row>
    <row r="5" spans="1:9" ht="15" customHeight="1" x14ac:dyDescent="0.35">
      <c r="A5" s="2"/>
      <c r="B5" s="5" t="s">
        <v>109</v>
      </c>
      <c r="C5" s="6"/>
      <c r="D5" s="5"/>
      <c r="E5" s="5"/>
      <c r="F5" s="7">
        <f>E5*1.6</f>
        <v>0</v>
      </c>
      <c r="G5" s="7" t="e">
        <f>H5/F5</f>
        <v>#DIV/0!</v>
      </c>
      <c r="H5" s="8"/>
    </row>
    <row r="6" spans="1:9" x14ac:dyDescent="0.35">
      <c r="A6" s="2"/>
      <c r="B6" s="5" t="s">
        <v>109</v>
      </c>
      <c r="C6" s="9"/>
      <c r="D6" s="5"/>
      <c r="E6" s="5"/>
      <c r="F6" s="7">
        <f t="shared" ref="F6:F11" si="0">E6*1.6</f>
        <v>0</v>
      </c>
      <c r="G6" s="7" t="e">
        <f t="shared" ref="G6:G11" si="1">H6/F6</f>
        <v>#DIV/0!</v>
      </c>
      <c r="H6" s="8"/>
    </row>
    <row r="7" spans="1:9" ht="15" customHeight="1" x14ac:dyDescent="0.35">
      <c r="A7" s="2"/>
      <c r="B7" s="5" t="s">
        <v>109</v>
      </c>
      <c r="C7" s="6"/>
      <c r="D7" s="5"/>
      <c r="E7" s="5"/>
      <c r="F7" s="7">
        <f t="shared" si="0"/>
        <v>0</v>
      </c>
      <c r="G7" s="7" t="e">
        <f t="shared" si="1"/>
        <v>#DIV/0!</v>
      </c>
      <c r="H7" s="8"/>
    </row>
    <row r="8" spans="1:9" x14ac:dyDescent="0.35">
      <c r="A8" s="2"/>
      <c r="B8" s="5" t="s">
        <v>109</v>
      </c>
      <c r="C8" s="9"/>
      <c r="D8" s="5"/>
      <c r="E8" s="5"/>
      <c r="F8" s="7">
        <f t="shared" si="0"/>
        <v>0</v>
      </c>
      <c r="G8" s="7" t="e">
        <f t="shared" si="1"/>
        <v>#DIV/0!</v>
      </c>
      <c r="H8" s="8"/>
    </row>
    <row r="9" spans="1:9" ht="15" customHeight="1" x14ac:dyDescent="0.35">
      <c r="A9" s="2"/>
      <c r="B9" s="5" t="s">
        <v>109</v>
      </c>
      <c r="C9" s="9"/>
      <c r="D9" s="5"/>
      <c r="E9" s="5"/>
      <c r="F9" s="7">
        <f t="shared" si="0"/>
        <v>0</v>
      </c>
      <c r="G9" s="7" t="e">
        <f t="shared" si="1"/>
        <v>#DIV/0!</v>
      </c>
      <c r="H9" s="8"/>
    </row>
    <row r="10" spans="1:9" ht="15" customHeight="1" x14ac:dyDescent="0.35">
      <c r="A10" s="2"/>
      <c r="B10" s="5" t="s">
        <v>110</v>
      </c>
      <c r="C10" s="6"/>
      <c r="D10" s="5"/>
      <c r="E10" s="5"/>
      <c r="F10" s="7">
        <f t="shared" si="0"/>
        <v>0</v>
      </c>
      <c r="G10" s="7" t="e">
        <f t="shared" si="1"/>
        <v>#DIV/0!</v>
      </c>
      <c r="H10" s="8"/>
    </row>
    <row r="11" spans="1:9" ht="15" customHeight="1" x14ac:dyDescent="0.35">
      <c r="A11" s="2"/>
      <c r="B11" s="5" t="s">
        <v>110</v>
      </c>
      <c r="C11" s="6"/>
      <c r="D11" s="5"/>
      <c r="E11" s="5"/>
      <c r="F11" s="7">
        <f t="shared" si="0"/>
        <v>0</v>
      </c>
      <c r="G11" s="7" t="e">
        <f t="shared" si="1"/>
        <v>#DIV/0!</v>
      </c>
      <c r="H11" s="8"/>
    </row>
    <row r="12" spans="1:9" ht="15" customHeight="1" x14ac:dyDescent="0.35">
      <c r="A12" s="2"/>
      <c r="B12" s="10" t="s">
        <v>111</v>
      </c>
      <c r="C12" s="5"/>
      <c r="D12" s="5"/>
      <c r="E12" s="5"/>
      <c r="F12" s="5"/>
      <c r="G12" s="11" t="e">
        <f>AVERAGE(G5:G11)</f>
        <v>#DIV/0!</v>
      </c>
      <c r="H12" s="5"/>
    </row>
    <row r="13" spans="1:9" ht="15" customHeight="1" x14ac:dyDescent="0.35">
      <c r="B13" s="10" t="s">
        <v>112</v>
      </c>
      <c r="C13" s="5"/>
      <c r="D13" s="5"/>
      <c r="E13" s="5"/>
      <c r="F13" s="12"/>
      <c r="G13" s="10"/>
      <c r="H13" s="10"/>
      <c r="I13" s="4"/>
    </row>
    <row r="14" spans="1:9" ht="15" customHeight="1" x14ac:dyDescent="0.35"/>
    <row r="15" spans="1:9" ht="15" customHeight="1" x14ac:dyDescent="0.35"/>
    <row r="16" spans="1:9" ht="15" customHeight="1" x14ac:dyDescent="0.35"/>
  </sheetData>
  <mergeCells count="1">
    <mergeCell ref="B3:H3"/>
  </mergeCells>
  <pageMargins left="0.7" right="0.7" top="0.75" bottom="0.75" header="0.3" footer="0.3"/>
  <pageSetup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B3:K30"/>
  <sheetViews>
    <sheetView zoomScale="130" zoomScaleNormal="130" workbookViewId="0">
      <selection activeCell="C3" sqref="C3:K18"/>
    </sheetView>
  </sheetViews>
  <sheetFormatPr defaultRowHeight="14.5" x14ac:dyDescent="0.35"/>
  <cols>
    <col min="4" max="4" width="11" bestFit="1" customWidth="1"/>
    <col min="5" max="5" width="10.453125" bestFit="1" customWidth="1"/>
    <col min="8" max="8" width="10.54296875" bestFit="1" customWidth="1"/>
  </cols>
  <sheetData>
    <row r="3" spans="2:11" x14ac:dyDescent="0.35">
      <c r="J3">
        <v>1</v>
      </c>
      <c r="K3">
        <v>2</v>
      </c>
    </row>
    <row r="4" spans="2:11" x14ac:dyDescent="0.35">
      <c r="B4" s="57"/>
      <c r="C4" s="57" t="s">
        <v>12</v>
      </c>
      <c r="D4" s="58" t="s">
        <v>172</v>
      </c>
      <c r="E4" s="58" t="s">
        <v>182</v>
      </c>
      <c r="F4" s="58" t="s">
        <v>167</v>
      </c>
      <c r="G4" s="58" t="s">
        <v>187</v>
      </c>
      <c r="H4" s="58" t="s">
        <v>205</v>
      </c>
      <c r="J4" t="s">
        <v>187</v>
      </c>
      <c r="K4" t="s">
        <v>203</v>
      </c>
    </row>
    <row r="5" spans="2:11" x14ac:dyDescent="0.35">
      <c r="B5" s="57"/>
      <c r="C5" s="57"/>
      <c r="D5" s="58" t="s">
        <v>173</v>
      </c>
      <c r="E5" s="58" t="s">
        <v>180</v>
      </c>
      <c r="F5" s="58" t="s">
        <v>202</v>
      </c>
      <c r="G5" s="58" t="s">
        <v>188</v>
      </c>
      <c r="H5" s="58" t="s">
        <v>206</v>
      </c>
    </row>
    <row r="6" spans="2:11" x14ac:dyDescent="0.35">
      <c r="B6" s="57"/>
      <c r="C6" s="57"/>
      <c r="D6" s="58" t="s">
        <v>174</v>
      </c>
      <c r="E6" s="58" t="s">
        <v>181</v>
      </c>
      <c r="F6" s="58" t="s">
        <v>203</v>
      </c>
      <c r="G6" s="58" t="s">
        <v>189</v>
      </c>
      <c r="H6" s="58" t="s">
        <v>219</v>
      </c>
    </row>
    <row r="7" spans="2:11" x14ac:dyDescent="0.35">
      <c r="B7" s="57"/>
      <c r="C7" s="57"/>
      <c r="D7" s="58" t="s">
        <v>175</v>
      </c>
      <c r="E7" s="58" t="s">
        <v>183</v>
      </c>
      <c r="F7" s="58" t="s">
        <v>204</v>
      </c>
      <c r="G7" s="58" t="s">
        <v>190</v>
      </c>
      <c r="H7" s="58" t="s">
        <v>207</v>
      </c>
    </row>
    <row r="8" spans="2:11" x14ac:dyDescent="0.35">
      <c r="B8" s="57"/>
      <c r="C8" s="57"/>
      <c r="D8" s="58" t="s">
        <v>176</v>
      </c>
      <c r="E8" s="58" t="s">
        <v>184</v>
      </c>
      <c r="F8" s="58"/>
      <c r="G8" s="58" t="s">
        <v>191</v>
      </c>
      <c r="H8" s="58" t="s">
        <v>208</v>
      </c>
    </row>
    <row r="9" spans="2:11" x14ac:dyDescent="0.35">
      <c r="B9" s="57"/>
      <c r="C9" s="57"/>
      <c r="D9" s="58" t="s">
        <v>177</v>
      </c>
      <c r="E9" s="58" t="s">
        <v>182</v>
      </c>
      <c r="F9" s="58"/>
      <c r="G9" s="58" t="s">
        <v>192</v>
      </c>
      <c r="H9" s="58" t="s">
        <v>209</v>
      </c>
    </row>
    <row r="10" spans="2:11" x14ac:dyDescent="0.35">
      <c r="B10" s="57"/>
      <c r="C10" s="57"/>
      <c r="D10" s="58" t="s">
        <v>178</v>
      </c>
      <c r="E10" s="58" t="s">
        <v>185</v>
      </c>
      <c r="F10" s="58"/>
      <c r="G10" s="58" t="s">
        <v>193</v>
      </c>
      <c r="H10" s="58" t="s">
        <v>210</v>
      </c>
    </row>
    <row r="11" spans="2:11" x14ac:dyDescent="0.35">
      <c r="B11" s="57"/>
      <c r="C11" s="57"/>
      <c r="D11" s="58" t="s">
        <v>179</v>
      </c>
      <c r="E11" s="58" t="s">
        <v>186</v>
      </c>
      <c r="F11" s="58"/>
      <c r="G11" s="58" t="s">
        <v>194</v>
      </c>
      <c r="H11" s="58" t="s">
        <v>211</v>
      </c>
    </row>
    <row r="12" spans="2:11" x14ac:dyDescent="0.35">
      <c r="B12" s="57"/>
      <c r="C12" s="57"/>
      <c r="D12" s="58"/>
      <c r="E12" s="58"/>
      <c r="F12" s="58"/>
      <c r="G12" s="58" t="s">
        <v>195</v>
      </c>
      <c r="H12" s="58" t="s">
        <v>212</v>
      </c>
    </row>
    <row r="13" spans="2:11" x14ac:dyDescent="0.35">
      <c r="B13" s="57"/>
      <c r="C13" s="57"/>
      <c r="D13" s="58"/>
      <c r="E13" s="58"/>
      <c r="F13" s="58"/>
      <c r="G13" s="58" t="s">
        <v>196</v>
      </c>
      <c r="H13" s="58" t="s">
        <v>213</v>
      </c>
    </row>
    <row r="14" spans="2:11" x14ac:dyDescent="0.35">
      <c r="B14" s="57"/>
      <c r="C14" s="57"/>
      <c r="D14" s="58"/>
      <c r="E14" s="58"/>
      <c r="F14" s="58"/>
      <c r="G14" s="58" t="s">
        <v>197</v>
      </c>
      <c r="H14" s="58" t="s">
        <v>214</v>
      </c>
    </row>
    <row r="15" spans="2:11" x14ac:dyDescent="0.35">
      <c r="B15" s="57"/>
      <c r="C15" s="57"/>
      <c r="D15" s="58"/>
      <c r="E15" s="58"/>
      <c r="F15" s="58"/>
      <c r="G15" s="58" t="s">
        <v>198</v>
      </c>
      <c r="H15" s="58" t="s">
        <v>215</v>
      </c>
    </row>
    <row r="16" spans="2:11" x14ac:dyDescent="0.35">
      <c r="B16" s="57"/>
      <c r="C16" s="57"/>
      <c r="D16" s="58"/>
      <c r="E16" s="58"/>
      <c r="F16" s="58"/>
      <c r="G16" s="58" t="s">
        <v>199</v>
      </c>
      <c r="H16" s="58" t="s">
        <v>216</v>
      </c>
    </row>
    <row r="17" spans="2:8" x14ac:dyDescent="0.35">
      <c r="B17" s="57"/>
      <c r="C17" s="57"/>
      <c r="D17" s="58"/>
      <c r="E17" s="58"/>
      <c r="F17" s="58"/>
      <c r="G17" s="58" t="s">
        <v>200</v>
      </c>
      <c r="H17" s="58" t="s">
        <v>217</v>
      </c>
    </row>
    <row r="18" spans="2:8" x14ac:dyDescent="0.35">
      <c r="B18" s="57"/>
      <c r="C18" s="57"/>
      <c r="D18" s="58"/>
      <c r="E18" s="58"/>
      <c r="F18" s="58"/>
      <c r="G18" s="58" t="s">
        <v>201</v>
      </c>
      <c r="H18" s="58" t="s">
        <v>218</v>
      </c>
    </row>
    <row r="24" spans="2:8" x14ac:dyDescent="0.35">
      <c r="C24" t="s">
        <v>165</v>
      </c>
    </row>
    <row r="25" spans="2:8" x14ac:dyDescent="0.35">
      <c r="C25" t="s">
        <v>220</v>
      </c>
    </row>
    <row r="26" spans="2:8" x14ac:dyDescent="0.35">
      <c r="C26" t="s">
        <v>221</v>
      </c>
    </row>
    <row r="27" spans="2:8" x14ac:dyDescent="0.35">
      <c r="C27" t="s">
        <v>222</v>
      </c>
    </row>
    <row r="28" spans="2:8" x14ac:dyDescent="0.35">
      <c r="C28" t="s">
        <v>223</v>
      </c>
    </row>
    <row r="29" spans="2:8" x14ac:dyDescent="0.35">
      <c r="C29" t="s">
        <v>224</v>
      </c>
    </row>
    <row r="30" spans="2:8" x14ac:dyDescent="0.35">
      <c r="C30" t="s">
        <v>165</v>
      </c>
    </row>
  </sheetData>
  <dataValidations count="2">
    <dataValidation type="list" allowBlank="1" showInputMessage="1" showErrorMessage="1" sqref="J4">
      <formula1>$D$4:$H$4</formula1>
    </dataValidation>
    <dataValidation type="list" allowBlank="1" showInputMessage="1" showErrorMessage="1" sqref="K4">
      <formula1>OFFSET($D$4,1,MATCH($J4,$D$4:$H$4,0)-1,15,1)</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Report</vt:lpstr>
      <vt:lpstr>valuation</vt:lpstr>
      <vt:lpstr>Research</vt:lpstr>
      <vt:lpstr>Report!Print_Area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Hp Elitebook 840 G6</cp:lastModifiedBy>
  <cp:lastPrinted>2025-07-31T13:09:23Z</cp:lastPrinted>
  <dcterms:created xsi:type="dcterms:W3CDTF">2019-07-16T09:29:46Z</dcterms:created>
  <dcterms:modified xsi:type="dcterms:W3CDTF">2025-07-31T13:09:56Z</dcterms:modified>
</cp:coreProperties>
</file>