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D:\VSJCV\Making\AXIS\2025-26\Axis\APF Old\July 2025\31-07-2025\"/>
    </mc:Choice>
  </mc:AlternateContent>
  <bookViews>
    <workbookView xWindow="0" yWindow="0" windowWidth="19200" windowHeight="6930" tabRatio="725"/>
  </bookViews>
  <sheets>
    <sheet name="Report" sheetId="1" r:id="rId1"/>
    <sheet name="valuation" sheetId="5" r:id="rId2"/>
    <sheet name="Note" sheetId="4" r:id="rId3"/>
  </sheets>
  <definedNames>
    <definedName name="_xlnm.Print_Area" localSheetId="0">Report!$A$1:$H$374</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G51" i="1" l="1"/>
  <c r="J203" i="1" l="1"/>
  <c r="D203" i="1"/>
  <c r="F203" i="1" s="1"/>
  <c r="D208" i="1"/>
  <c r="F208" i="1" s="1"/>
  <c r="I208" i="1" s="1"/>
  <c r="D207" i="1"/>
  <c r="F207" i="1" s="1"/>
  <c r="I207" i="1" s="1"/>
  <c r="D206" i="1"/>
  <c r="F206" i="1" s="1"/>
  <c r="I206" i="1" s="1"/>
  <c r="D205" i="1"/>
  <c r="F205" i="1" s="1"/>
  <c r="I205" i="1" s="1"/>
  <c r="D204" i="1"/>
  <c r="F204" i="1" s="1"/>
  <c r="I204" i="1" s="1"/>
  <c r="A204" i="1"/>
  <c r="A205" i="1" s="1"/>
  <c r="A206" i="1" s="1"/>
  <c r="A207" i="1" s="1"/>
  <c r="A208" i="1" s="1"/>
  <c r="G203" i="1"/>
  <c r="C91" i="1"/>
  <c r="C73" i="1"/>
  <c r="D257" i="1"/>
  <c r="D256" i="1"/>
  <c r="D255" i="1"/>
  <c r="D254" i="1"/>
  <c r="D252" i="1"/>
  <c r="D251" i="1"/>
  <c r="D250" i="1"/>
  <c r="D249" i="1"/>
  <c r="D245" i="1"/>
  <c r="D244" i="1"/>
  <c r="D243" i="1"/>
  <c r="D242" i="1"/>
  <c r="D240" i="1"/>
  <c r="D239" i="1"/>
  <c r="D238" i="1"/>
  <c r="D237" i="1"/>
  <c r="D233" i="1"/>
  <c r="D232" i="1"/>
  <c r="D230" i="1"/>
  <c r="D229" i="1"/>
  <c r="D228" i="1"/>
  <c r="D226" i="1"/>
  <c r="D225" i="1"/>
  <c r="D224" i="1"/>
  <c r="D223" i="1"/>
  <c r="D222" i="1"/>
  <c r="D221" i="1"/>
  <c r="I203" i="1" l="1"/>
  <c r="G182" i="1"/>
  <c r="C182" i="1"/>
  <c r="E182" i="1"/>
  <c r="A183" i="1"/>
  <c r="A186" i="1"/>
  <c r="A185" i="1"/>
  <c r="A184" i="1"/>
  <c r="D214" i="1" l="1"/>
  <c r="F214" i="1" s="1"/>
  <c r="D215" i="1"/>
  <c r="F215" i="1" s="1"/>
  <c r="D216" i="1"/>
  <c r="F216" i="1" s="1"/>
  <c r="D213" i="1"/>
  <c r="G213" i="1"/>
  <c r="F255" i="1"/>
  <c r="F254" i="1"/>
  <c r="F252" i="1"/>
  <c r="F251" i="1"/>
  <c r="F250" i="1"/>
  <c r="F257" i="1"/>
  <c r="F256" i="1"/>
  <c r="G254" i="1"/>
  <c r="G249" i="1"/>
  <c r="F213" i="1" l="1"/>
  <c r="C186" i="1"/>
  <c r="E186" i="1"/>
  <c r="E184" i="1"/>
  <c r="C184" i="1"/>
  <c r="F249" i="1"/>
  <c r="G185" i="1" s="1"/>
  <c r="C185" i="1"/>
  <c r="E185" i="1"/>
  <c r="F233" i="1"/>
  <c r="F226" i="1"/>
  <c r="I226" i="1" s="1"/>
  <c r="F225" i="1"/>
  <c r="I225" i="1" s="1"/>
  <c r="B3" i="4"/>
  <c r="C147" i="1"/>
  <c r="J158" i="1"/>
  <c r="J157" i="1"/>
  <c r="J156" i="1"/>
  <c r="J155" i="1"/>
  <c r="C133" i="1"/>
  <c r="J144" i="1"/>
  <c r="J143" i="1"/>
  <c r="J142" i="1"/>
  <c r="J141" i="1"/>
  <c r="C119" i="1"/>
  <c r="J130" i="1"/>
  <c r="J129" i="1"/>
  <c r="J128" i="1"/>
  <c r="J127" i="1"/>
  <c r="H120" i="1"/>
  <c r="G186" i="1" l="1"/>
  <c r="I213" i="1"/>
  <c r="C183" i="1"/>
  <c r="C187" i="1" s="1"/>
  <c r="E183" i="1"/>
  <c r="E187" i="1" s="1"/>
  <c r="D125" i="1"/>
  <c r="J123" i="1"/>
  <c r="J125" i="1"/>
  <c r="J126" i="1" s="1"/>
  <c r="J131" i="1" s="1"/>
  <c r="J132" i="1" s="1"/>
  <c r="C124" i="1" s="1"/>
  <c r="D131" i="1"/>
  <c r="D127" i="1"/>
  <c r="D132" i="1"/>
  <c r="D130" i="1"/>
  <c r="D128" i="1"/>
  <c r="D126" i="1"/>
  <c r="J124" i="1"/>
  <c r="C123" i="1" s="1"/>
  <c r="D123" i="1" s="1"/>
  <c r="J122" i="1"/>
  <c r="D129" i="1"/>
  <c r="E27" i="1"/>
  <c r="E123" i="1" l="1"/>
  <c r="I119" i="1" s="1"/>
  <c r="C121" i="1" s="1"/>
  <c r="D124" i="1"/>
  <c r="G123" i="1"/>
  <c r="F222" i="1"/>
  <c r="I222" i="1" s="1"/>
  <c r="F223" i="1"/>
  <c r="I223" i="1" s="1"/>
  <c r="F224" i="1"/>
  <c r="I224" i="1" s="1"/>
  <c r="F221" i="1"/>
  <c r="A222" i="1"/>
  <c r="A223" i="1" s="1"/>
  <c r="A224" i="1" s="1"/>
  <c r="A225" i="1" s="1"/>
  <c r="A226" i="1" s="1"/>
  <c r="G221" i="1"/>
  <c r="I221" i="1" l="1"/>
  <c r="F174" i="1"/>
  <c r="F194" i="1" l="1"/>
  <c r="F195" i="1"/>
  <c r="F196" i="1"/>
  <c r="F193" i="1"/>
  <c r="B260" i="1" l="1"/>
  <c r="C13" i="1" l="1"/>
  <c r="F245" i="1" l="1"/>
  <c r="F244" i="1"/>
  <c r="F243" i="1"/>
  <c r="F242" i="1"/>
  <c r="F240" i="1"/>
  <c r="F239" i="1"/>
  <c r="F238" i="1"/>
  <c r="F237" i="1"/>
  <c r="F232" i="1"/>
  <c r="F229" i="1"/>
  <c r="F228" i="1"/>
  <c r="F230" i="1"/>
  <c r="G184" i="1" l="1"/>
  <c r="G183" i="1"/>
  <c r="G187" i="1" s="1"/>
  <c r="B261" i="1"/>
  <c r="F11" i="5" l="1"/>
  <c r="G11" i="5" s="1"/>
  <c r="F10" i="5"/>
  <c r="G10" i="5" s="1"/>
  <c r="F9" i="5"/>
  <c r="G9" i="5" s="1"/>
  <c r="F8" i="5"/>
  <c r="G8" i="5" s="1"/>
  <c r="F7" i="5"/>
  <c r="G7" i="5" s="1"/>
  <c r="F6" i="5"/>
  <c r="G6" i="5" s="1"/>
  <c r="F5" i="5"/>
  <c r="G5" i="5" s="1"/>
  <c r="G12" i="5" s="1"/>
  <c r="D289" i="1"/>
  <c r="G242" i="1"/>
  <c r="G237" i="1"/>
  <c r="G228" i="1"/>
  <c r="A229" i="1"/>
  <c r="A230" i="1" s="1"/>
  <c r="A231" i="1" s="1"/>
  <c r="A232" i="1" s="1"/>
  <c r="A233" i="1" s="1"/>
  <c r="A194" i="1"/>
  <c r="A195" i="1" s="1"/>
  <c r="A196" i="1" s="1"/>
  <c r="G193" i="1"/>
  <c r="G194" i="1" s="1"/>
  <c r="G195" i="1" s="1"/>
  <c r="G196" i="1" s="1"/>
  <c r="J116" i="1"/>
  <c r="J115" i="1"/>
  <c r="J114" i="1"/>
  <c r="J113" i="1"/>
  <c r="C105" i="1"/>
  <c r="J102" i="1"/>
  <c r="J101" i="1"/>
  <c r="J100" i="1"/>
  <c r="J99" i="1"/>
  <c r="C89" i="1"/>
  <c r="J86" i="1"/>
  <c r="J85" i="1"/>
  <c r="J84" i="1"/>
  <c r="J83" i="1"/>
  <c r="D57" i="1"/>
  <c r="G47" i="1"/>
  <c r="C47" i="1"/>
  <c r="E40" i="1"/>
  <c r="E41" i="1" s="1"/>
  <c r="E24" i="1"/>
  <c r="E22" i="1"/>
  <c r="E7" i="1"/>
  <c r="E3" i="1"/>
  <c r="D66" i="1" s="1"/>
  <c r="H90" i="1"/>
  <c r="H106" i="1"/>
  <c r="H74" i="1"/>
  <c r="D102" i="1" l="1"/>
  <c r="D103" i="1"/>
  <c r="D104" i="1"/>
  <c r="D98" i="1"/>
  <c r="D99" i="1"/>
  <c r="D100" i="1"/>
  <c r="D101" i="1"/>
  <c r="C97" i="1"/>
  <c r="D97" i="1" s="1"/>
  <c r="D88" i="1"/>
  <c r="D86" i="1"/>
  <c r="D85" i="1"/>
  <c r="D84" i="1"/>
  <c r="D82" i="1"/>
  <c r="C81" i="1"/>
  <c r="D81" i="1" s="1"/>
  <c r="D87" i="1"/>
  <c r="D83" i="1"/>
  <c r="J79" i="1"/>
  <c r="J80" i="1"/>
  <c r="C79" i="1" s="1"/>
  <c r="J78" i="1"/>
  <c r="J81" i="1"/>
  <c r="J82" i="1" s="1"/>
  <c r="J87" i="1" s="1"/>
  <c r="J88" i="1" s="1"/>
  <c r="C80" i="1" s="1"/>
  <c r="C111" i="1"/>
  <c r="D111" i="1" s="1"/>
  <c r="J109" i="1"/>
  <c r="D118" i="1"/>
  <c r="D116" i="1"/>
  <c r="D114" i="1"/>
  <c r="D112" i="1"/>
  <c r="J110" i="1"/>
  <c r="C109" i="1" s="1"/>
  <c r="D109" i="1" s="1"/>
  <c r="J108" i="1"/>
  <c r="J111" i="1"/>
  <c r="J112" i="1" s="1"/>
  <c r="J117" i="1" s="1"/>
  <c r="J118" i="1" s="1"/>
  <c r="C110" i="1" s="1"/>
  <c r="D117" i="1"/>
  <c r="D115" i="1"/>
  <c r="D113" i="1"/>
  <c r="J97" i="1"/>
  <c r="J98" i="1" s="1"/>
  <c r="J103" i="1" s="1"/>
  <c r="J104" i="1" s="1"/>
  <c r="C96" i="1" s="1"/>
  <c r="J95" i="1"/>
  <c r="J96" i="1"/>
  <c r="C95" i="1" s="1"/>
  <c r="J94" i="1"/>
  <c r="E79" i="1" l="1"/>
  <c r="D80" i="1"/>
  <c r="G79" i="1"/>
  <c r="D71" i="1" s="1"/>
  <c r="D79" i="1"/>
  <c r="E95" i="1"/>
  <c r="D96" i="1"/>
  <c r="G95" i="1"/>
  <c r="D95" i="1"/>
  <c r="E109" i="1"/>
  <c r="I105" i="1" s="1"/>
  <c r="D110" i="1"/>
  <c r="G109" i="1"/>
  <c r="H148" i="1"/>
  <c r="H134" i="1"/>
  <c r="J153" i="1" l="1"/>
  <c r="D159" i="1"/>
  <c r="D157" i="1"/>
  <c r="D155" i="1"/>
  <c r="D153" i="1"/>
  <c r="J151" i="1"/>
  <c r="D160" i="1"/>
  <c r="D158" i="1"/>
  <c r="D156" i="1"/>
  <c r="D154" i="1"/>
  <c r="J152" i="1"/>
  <c r="C151" i="1" s="1"/>
  <c r="J150" i="1"/>
  <c r="D139" i="1"/>
  <c r="J137" i="1"/>
  <c r="D146" i="1"/>
  <c r="D144" i="1"/>
  <c r="D142" i="1"/>
  <c r="D140" i="1"/>
  <c r="J138" i="1"/>
  <c r="C137" i="1" s="1"/>
  <c r="J136" i="1"/>
  <c r="J139" i="1"/>
  <c r="D145" i="1"/>
  <c r="D143" i="1"/>
  <c r="D141" i="1"/>
  <c r="I73" i="1"/>
  <c r="C75" i="1" s="1"/>
  <c r="I89" i="1"/>
  <c r="F72" i="1"/>
  <c r="D72" i="1"/>
  <c r="J154" i="1" l="1"/>
  <c r="J159" i="1" s="1"/>
  <c r="J160" i="1" s="1"/>
  <c r="D151" i="1"/>
  <c r="J140" i="1"/>
  <c r="J145" i="1" s="1"/>
  <c r="J146" i="1" s="1"/>
  <c r="C138" i="1" s="1"/>
  <c r="E137" i="1" s="1"/>
  <c r="D137" i="1"/>
  <c r="D138" i="1" l="1"/>
  <c r="C152" i="1"/>
  <c r="E151" i="1" s="1"/>
  <c r="I147" i="1" s="1"/>
  <c r="C149" i="1" s="1"/>
  <c r="I133" i="1"/>
  <c r="C135" i="1" s="1"/>
  <c r="G137" i="1"/>
  <c r="G151" i="1" l="1"/>
  <c r="D152" i="1"/>
</calcChain>
</file>

<file path=xl/sharedStrings.xml><?xml version="1.0" encoding="utf-8"?>
<sst xmlns="http://schemas.openxmlformats.org/spreadsheetml/2006/main" count="545" uniqueCount="254">
  <si>
    <t xml:space="preserve">Valuation Report </t>
  </si>
  <si>
    <t>Date:</t>
  </si>
  <si>
    <t>CPC Name:</t>
  </si>
  <si>
    <t>Date Of Property Visit</t>
  </si>
  <si>
    <t>Name of the builder group</t>
  </si>
  <si>
    <t>Name of the builder company</t>
  </si>
  <si>
    <t>Name of the Project</t>
  </si>
  <si>
    <t>Name / No of the Building</t>
  </si>
  <si>
    <t>Docouments Provided</t>
  </si>
  <si>
    <t>RERA No.</t>
  </si>
  <si>
    <t xml:space="preserve">Project location details       </t>
  </si>
  <si>
    <t>Road</t>
  </si>
  <si>
    <t>District</t>
  </si>
  <si>
    <t>City</t>
  </si>
  <si>
    <t>Pin Code</t>
  </si>
  <si>
    <t xml:space="preserve">Distance from city centre: </t>
  </si>
  <si>
    <t>all available at  1 to 2 km.</t>
  </si>
  <si>
    <t>Does property have Electricity / Water / Drainage Connection</t>
  </si>
  <si>
    <t>Yes</t>
  </si>
  <si>
    <t>Class of locality</t>
  </si>
  <si>
    <t>Nature of land with topographical condtion</t>
  </si>
  <si>
    <t>Plane</t>
  </si>
  <si>
    <t xml:space="preserve">Nature of the locality </t>
  </si>
  <si>
    <t>Quality of infrastructure in vicinity</t>
  </si>
  <si>
    <t>Good</t>
  </si>
  <si>
    <t>East</t>
  </si>
  <si>
    <t>West</t>
  </si>
  <si>
    <t>South</t>
  </si>
  <si>
    <t>North</t>
  </si>
  <si>
    <t>As per deed</t>
  </si>
  <si>
    <t>NA</t>
  </si>
  <si>
    <t>At site</t>
  </si>
  <si>
    <t>Does the boundaries at site match, as mentioned in the Docoumentation: NA</t>
  </si>
  <si>
    <t>Latitude</t>
  </si>
  <si>
    <t>Longitude</t>
  </si>
  <si>
    <t xml:space="preserve">Approved usage of the Property:                                                                                                                                             </t>
  </si>
  <si>
    <t>No</t>
  </si>
  <si>
    <t>Area Statement Details :</t>
  </si>
  <si>
    <t>Total land area of the project in Sq. Mt.</t>
  </si>
  <si>
    <t>Permissible FSI</t>
  </si>
  <si>
    <t>Permissible TDR/Paid FSI</t>
  </si>
  <si>
    <t>Total FSI availaible for the project</t>
  </si>
  <si>
    <t>Total number of Buildings</t>
  </si>
  <si>
    <t xml:space="preserve">Approval Detail : Plan approval </t>
  </si>
  <si>
    <t xml:space="preserve">Layout Approval No     </t>
  </si>
  <si>
    <t>Dated</t>
  </si>
  <si>
    <t xml:space="preserve">Approved Floor plan No.  </t>
  </si>
  <si>
    <t xml:space="preserve">O. Certificate No.: </t>
  </si>
  <si>
    <t>Expected Completion</t>
  </si>
  <si>
    <t>Building wise Construction details</t>
  </si>
  <si>
    <t>Approved no of units</t>
  </si>
  <si>
    <t>Approved no of Floors</t>
  </si>
  <si>
    <t>Type of Work</t>
  </si>
  <si>
    <t>Plinth</t>
  </si>
  <si>
    <t xml:space="preserve">Recommended rate of Parking </t>
  </si>
  <si>
    <t>Distressed valuation of the Property</t>
  </si>
  <si>
    <t>Building &amp; Wing</t>
  </si>
  <si>
    <t>Total Carpet Area</t>
  </si>
  <si>
    <t>Total Saleable Area</t>
  </si>
  <si>
    <t>Building details Floor Wise</t>
  </si>
  <si>
    <t xml:space="preserve">Details of Flats in Building   </t>
  </si>
  <si>
    <t>Description</t>
  </si>
  <si>
    <t>Gross Carpet area</t>
  </si>
  <si>
    <t>Attached Terrace area</t>
  </si>
  <si>
    <t>Floor</t>
  </si>
  <si>
    <t>Undertaking :</t>
  </si>
  <si>
    <t>1) We have personally visited the property &amp; identified the same based on the documents provided.</t>
  </si>
  <si>
    <t>2) I/We have no direct or Indirect Interest in the property being valued</t>
  </si>
  <si>
    <t>3) The information furnished above is true and correct to my/our knowledge.</t>
  </si>
  <si>
    <t>4) Legal title of the property is not verified by us.</t>
  </si>
  <si>
    <t xml:space="preserve">PHOTOGRAPHS OF PROPERTY : 
</t>
  </si>
  <si>
    <t>Google Map :</t>
  </si>
  <si>
    <t xml:space="preserve">Remarks:  </t>
  </si>
  <si>
    <t>Flat</t>
  </si>
  <si>
    <t>Residential Area Details :</t>
  </si>
  <si>
    <t>Podium</t>
  </si>
  <si>
    <t>Ground</t>
  </si>
  <si>
    <t>Locality/Village</t>
  </si>
  <si>
    <t>Taluka</t>
  </si>
  <si>
    <r>
      <t xml:space="preserve">Proposed Amenities :                                                                                                                                                                                                                      </t>
    </r>
    <r>
      <rPr>
        <sz val="12"/>
        <rFont val="Times New Roman"/>
        <family val="1"/>
      </rPr>
      <t xml:space="preserve">   </t>
    </r>
    <r>
      <rPr>
        <b/>
        <sz val="12"/>
        <rFont val="Times New Roman"/>
        <family val="1"/>
      </rPr>
      <t xml:space="preserve">                                               </t>
    </r>
  </si>
  <si>
    <t>Commercial Area Details :</t>
  </si>
  <si>
    <t>Accessibility to the Project from the City: (Proximity to civic amenities like school, hospital, market, etc.)</t>
  </si>
  <si>
    <t>Inspected By :</t>
  </si>
  <si>
    <t>No. of Units</t>
  </si>
  <si>
    <t>Authorized Signatory
Name &amp; Seal of the agency</t>
  </si>
  <si>
    <t>Floors</t>
  </si>
  <si>
    <t>Type of Structure</t>
  </si>
  <si>
    <t>RCC Frame Structure</t>
  </si>
  <si>
    <t>Complition %</t>
  </si>
  <si>
    <t>Disbursement %</t>
  </si>
  <si>
    <t>Progress %</t>
  </si>
  <si>
    <t xml:space="preserve">Material laying at Site: </t>
  </si>
  <si>
    <t>Projected life of the structure</t>
  </si>
  <si>
    <t xml:space="preserve">Quality of construction: </t>
  </si>
  <si>
    <t>Proposed no of Floors</t>
  </si>
  <si>
    <t xml:space="preserve">Stage of construction: </t>
  </si>
  <si>
    <t>Approved area of building (Sq.Mt)</t>
  </si>
  <si>
    <t>Total Approved Builtup area of the project (Sq.Mt)</t>
  </si>
  <si>
    <t>Restrictive Covenants in regard to Land Use</t>
  </si>
  <si>
    <t>Boundries</t>
  </si>
  <si>
    <t>Development Charges</t>
  </si>
  <si>
    <t>Gas Connection Charges</t>
  </si>
  <si>
    <t>Water, Electricity, Drainages, Sewerage Connection</t>
  </si>
  <si>
    <t>Society Formation Charges</t>
  </si>
  <si>
    <t>Advance Maintenance Charges</t>
  </si>
  <si>
    <t>Excavation in process</t>
  </si>
  <si>
    <t>Excavation Completed</t>
  </si>
  <si>
    <t>Footing in Process</t>
  </si>
  <si>
    <t>Footing Completed</t>
  </si>
  <si>
    <t>Plinth completed</t>
  </si>
  <si>
    <t>All work Completed. OC Received.</t>
  </si>
  <si>
    <t>Report By :</t>
  </si>
  <si>
    <t>Market Research Data</t>
  </si>
  <si>
    <t>Source</t>
  </si>
  <si>
    <t>Distance from proposed property</t>
  </si>
  <si>
    <t>Net Carpet</t>
  </si>
  <si>
    <t>Market Value</t>
  </si>
  <si>
    <t>Magic Brick</t>
  </si>
  <si>
    <t>99 Acres</t>
  </si>
  <si>
    <t>Average</t>
  </si>
  <si>
    <t xml:space="preserve">Valuation Adopted </t>
  </si>
  <si>
    <t>Saleable Area</t>
  </si>
  <si>
    <t>Rate on Saleable</t>
  </si>
  <si>
    <t xml:space="preserve">Wheather the construction is as per approved Building plan : </t>
  </si>
  <si>
    <t>Ground Floor</t>
  </si>
  <si>
    <t>Shop No.
(Sale Plan)</t>
  </si>
  <si>
    <r>
      <t xml:space="preserve">Shop No.
</t>
    </r>
    <r>
      <rPr>
        <b/>
        <sz val="11"/>
        <color rgb="FF000000"/>
        <rFont val="Times New Roman"/>
        <family val="1"/>
      </rPr>
      <t>(Approved Plan)</t>
    </r>
  </si>
  <si>
    <r>
      <t xml:space="preserve">Flat No.
</t>
    </r>
    <r>
      <rPr>
        <b/>
        <sz val="11"/>
        <color rgb="FF000000"/>
        <rFont val="Times New Roman"/>
        <family val="1"/>
      </rPr>
      <t>(Approved Plan)</t>
    </r>
  </si>
  <si>
    <t>Flat No.
(Sale Plan)</t>
  </si>
  <si>
    <t>Contact Details ( Name &amp; Contact No.)</t>
  </si>
  <si>
    <t>Nearby Landmark</t>
  </si>
  <si>
    <t>We considered Carpet area as per Approved Plan.</t>
  </si>
  <si>
    <t>We have considered rate by verifying it from market inquire.</t>
  </si>
  <si>
    <t>Car parking is subjected to authentic documentation.</t>
  </si>
  <si>
    <t>5) Gross carpet area =  Net Carpet area + Fungible area.</t>
  </si>
  <si>
    <t>6) Fungible Area= Enclosed Balcony + Flower Bed + Covered Balcony + Service Slab + Duct + Chajja + Wheather Shed area.</t>
  </si>
  <si>
    <t>Excavation</t>
  </si>
  <si>
    <t>RCC (Including podiums)</t>
  </si>
  <si>
    <t>Brickwork &amp; Internal Plaster</t>
  </si>
  <si>
    <t>Flooring &amp; Fitting</t>
  </si>
  <si>
    <t>External Plaster &amp; Plumbing</t>
  </si>
  <si>
    <t>Building Common Amenities</t>
  </si>
  <si>
    <t>Possession</t>
  </si>
  <si>
    <t>Ext. Plaster &amp; Plumbing</t>
  </si>
  <si>
    <t>Brickwork</t>
  </si>
  <si>
    <t>Internal Plaster</t>
  </si>
  <si>
    <t>Painting &amp; Wooden</t>
  </si>
  <si>
    <t>Slab/Floor</t>
  </si>
  <si>
    <t>Construction details:</t>
  </si>
  <si>
    <t>Piling Work in process</t>
  </si>
  <si>
    <t>Basement</t>
  </si>
  <si>
    <t>Basement 2</t>
  </si>
  <si>
    <t>Basement 3</t>
  </si>
  <si>
    <t>Basement 4</t>
  </si>
  <si>
    <t>Basement 1</t>
  </si>
  <si>
    <t>Plinth in process</t>
  </si>
  <si>
    <t xml:space="preserve">Violations Observed if any : </t>
  </si>
  <si>
    <t>Saleable area Loading :</t>
  </si>
  <si>
    <t>Total</t>
  </si>
  <si>
    <t>Name of Municipal Corporation/Authority</t>
  </si>
  <si>
    <t>We have considered proposed No. of Floor for Stage Calculation.</t>
  </si>
  <si>
    <t>*</t>
  </si>
  <si>
    <t>Recommended rate should be considered as all inclusive rate if other charges are not mentioned. (Excluding GST &amp; other government Taxes)</t>
  </si>
  <si>
    <t xml:space="preserve">Commencement-CC No
Valid Up to: </t>
  </si>
  <si>
    <t>Attached Loft area</t>
  </si>
  <si>
    <t xml:space="preserve">Recommended Rates of the Property : </t>
  </si>
  <si>
    <t>Floor Rise Rate</t>
  </si>
  <si>
    <t>Recommended rate of the Shop Per Sq. Ft.</t>
  </si>
  <si>
    <t>Recommended rate of the Flat Per Sq. Ft.</t>
  </si>
  <si>
    <t>Recommended rate of the Office Per Sq. Ft.</t>
  </si>
  <si>
    <t>On Saleable Area</t>
  </si>
  <si>
    <t>Legal Charges</t>
  </si>
  <si>
    <t>Axis Sanpada</t>
  </si>
  <si>
    <t>Mr.Anil Hardasmal Tharwani</t>
  </si>
  <si>
    <t>Pratik Kulkarni - 9920222642</t>
  </si>
  <si>
    <t>P51700004565 - Tharwani Solitaire Phase II
P51700005135 - Tharwani Solitaire Phase III 
P51700030172 - Tharwani Solitaire Phase IV</t>
  </si>
  <si>
    <t>Approved Plans, CC, Sale Plans</t>
  </si>
  <si>
    <t>Survey No</t>
  </si>
  <si>
    <t>8/1, 8/2, 12/1-12/7, 13/1, 13/2, 14/1-14/4</t>
  </si>
  <si>
    <t>Maharal Khurd</t>
  </si>
  <si>
    <t>Kalyan</t>
  </si>
  <si>
    <t>Thane</t>
  </si>
  <si>
    <t>Tharwani Solitaire Wing B</t>
  </si>
  <si>
    <t>Regency Avana</t>
  </si>
  <si>
    <t>Konark Meadows</t>
  </si>
  <si>
    <t>Internal Road</t>
  </si>
  <si>
    <t>2.4 KM from Shahad Railway Station</t>
  </si>
  <si>
    <t>Shahad</t>
  </si>
  <si>
    <t>BS/Sudharit/BP/Muje Maharal/T.kalyan/SS thane/1215</t>
  </si>
  <si>
    <t>BSP/BP/Muje Maharal/T.Kalyan/SS Thane/1215</t>
  </si>
  <si>
    <t>Phase II = Mahsul/Kaksh-1/T-7/Muje Maharal
Approved upto : B-3, C-1, C-2, C-3, B-4, B-5, G-1 = Gr/St + 1st to 7th Floor</t>
  </si>
  <si>
    <t>Phase III = Mahsul/Kaksh-1/T-7/Muje Maharal
Approved upto : G-2 = Gr/St + 1st to 7th Floor</t>
  </si>
  <si>
    <t>Phase IV = Topaz (H) = Gr/St + P + 1st to 15th Floor</t>
  </si>
  <si>
    <t>Phase IV = Spinel (I) = Gr/St + P + 1st to 15th Floor</t>
  </si>
  <si>
    <t>Phase IV = Vivanite (J) = Gr/St + P + 1st to 15th Floor</t>
  </si>
  <si>
    <t>Ground Floor for Parking</t>
  </si>
  <si>
    <t>2BHK</t>
  </si>
  <si>
    <t>3BHK</t>
  </si>
  <si>
    <t>1st to 6th, 8th to 11th, 13th to 15th Floor for Residential</t>
  </si>
  <si>
    <t>7th &amp; 12th Floor (Part Refuge Floor)</t>
  </si>
  <si>
    <t>4BHK</t>
  </si>
  <si>
    <t>Refuge Area</t>
  </si>
  <si>
    <t>1st to 8th Floor</t>
  </si>
  <si>
    <t>Opal (E1)</t>
  </si>
  <si>
    <t>12 Buildings</t>
  </si>
  <si>
    <t>Phase II = Danburite C3, Emerald B5, Fluorite B4, Garnet C2, Ivory G1, Jade C1, Kyanite B3 = Gr/St + 1st to 7th Floor
Phase III = Hiddenite (G2) = Gr/st + 1st to 7th Floor
Phase III = Opal (E1) = Gr/St + 1st to 8th Floor
Phase IV = Topaz (H), Spinel (I), Vivanite (J) = Gr/St + P + 1st to 15th Floor</t>
  </si>
  <si>
    <t>Phase II = Danburite C3, Emerald B5, Fluorite B4, Garnet C2, Ivory G1, Jade C1, Kyanite B3 = Gr/St + 1st to 7th Floor</t>
  </si>
  <si>
    <t>All work Completed. Wait for OC</t>
  </si>
  <si>
    <t>We considered Gross carpet area = Net carpet + Enclose balcony + A.P Area</t>
  </si>
  <si>
    <t>Phase IV</t>
  </si>
  <si>
    <t>Topaz (Wing H)</t>
  </si>
  <si>
    <t>Spinel (Wing I)</t>
  </si>
  <si>
    <t>Vivanite (Wing J)</t>
  </si>
  <si>
    <t>Phase III</t>
  </si>
  <si>
    <t>Phase - III = Wing E1 = Gr/St + 1st to 8th Floor
Phase - IV =Wing H, Wing I &amp; Wing J = Gr/st + P + 1st to 15th Floor</t>
  </si>
  <si>
    <t>Tharwani Solitaire Phase II, III, IV</t>
  </si>
  <si>
    <t>We have received approved plans of Following Buildings which are under construction : 
Phase III = Opal - E1 &amp; Phase IV = Topaz - H, Spinel - I, Vivianite - J</t>
  </si>
  <si>
    <t>Town Planner Thane</t>
  </si>
  <si>
    <t>Phase VI - Under Construction</t>
  </si>
  <si>
    <t xml:space="preserve">1.Vitrified tiles flooring 2. Granite Kitchen Platform  3. Decorative Enternace  etc. 
</t>
  </si>
  <si>
    <t>Phase II</t>
  </si>
  <si>
    <t>Danburite Wing C3</t>
  </si>
  <si>
    <t>Ground Floor for Commercial</t>
  </si>
  <si>
    <t>1st to 7th Floor for Residential</t>
  </si>
  <si>
    <t>Phase II - Danburite C3</t>
  </si>
  <si>
    <t>Phase II = Danburite C3 = Flats - 42
Phase III = Opal (E1) = Flats - 32
Phase IV = Topaz (H), Spinel (I), Vivanite (J) = Flats - 208</t>
  </si>
  <si>
    <t>Provide approved Ground floor plan of Phase II = Danburite C3 wing.</t>
  </si>
  <si>
    <t>We have Not received approved plans of following Buildings which are already completed : Phase II = Emerald B5, Fluorite B4, Garnet C2, Ivory G1, Jade C1, Kyanite B3
Phase III = Hiddenite - G2</t>
  </si>
  <si>
    <t>BSP/BP/Muje Maharal/T.Kalyan/SS Thane/609</t>
  </si>
  <si>
    <t xml:space="preserve">Approved Floor plan No.
Phase II = Danburite C3  </t>
  </si>
  <si>
    <t xml:space="preserve">Phase -Phase II = Danburite C3 = Gr/St + 1st to 7th Floor
</t>
  </si>
  <si>
    <t>As per approved floor plan of C3 wing is mentioned as typical floor G + 7th floor
but during our site visit, we have observed that the ground floor is for commercial and parking. 
So we have not considered Ground Floor for Area Calculation and have drafted area for 1st to 7th floor</t>
  </si>
  <si>
    <t>We have updated approved floor plan &amp; CC of Phase II = Danburite C3 wing on (03/01/2023).</t>
  </si>
  <si>
    <t>Office No. 1031, Wing J, Akshar Business Park, Plot No. 03 Sector 25, Near APMC Market, Vashi, Navi Mumbai, Maharashtra 400703 TEL: 022-46090378/79/80                                                                                             E mail : vsjcapf@gmail.com. Web site : www.vsjadon.com</t>
  </si>
  <si>
    <t>Location Link</t>
  </si>
  <si>
    <t>https://goo.gl/maps/hx7Zchd82zjpjH3g7?coh=178572&amp;entry=tt</t>
  </si>
  <si>
    <t>All work completed. OC Received.</t>
  </si>
  <si>
    <t>Phase III = Mahsul/Kaksh-1/T-7/Mharal/Kalyan/Part OC
Approved upto : E-1 = Gr/St + 1st to 8th Floor</t>
  </si>
  <si>
    <t>On Site, we meet Miss Simran - 7770026077.</t>
  </si>
  <si>
    <t>We have updated OC from Rera for Phase III (Opal - E1) (On 30/05/2023).</t>
  </si>
  <si>
    <t>Phase II = Danburite C3, Emerald B5, Fluorite B4, Garnet C2, Ivory G1, Jade C1, Kyanite B3
Phase III = Hiddenite G2, Opal E1
Phase IV = Topaz H, Spinel I, Vivianite J</t>
  </si>
  <si>
    <t>Phase III = Hiddenite (G2) = Gr/st + 1st to 7th Floor
Phase III = Opal (E1) = Gr/St + 1st to 8th Floor</t>
  </si>
  <si>
    <t>5200 to 6000 &amp; OC</t>
  </si>
  <si>
    <t xml:space="preserve">Rushikesh </t>
  </si>
  <si>
    <t>Verbal</t>
  </si>
  <si>
    <t>Other Charges</t>
  </si>
  <si>
    <t>by Rushikesh</t>
  </si>
  <si>
    <t>Pooja</t>
  </si>
  <si>
    <t>As per RERA - Completed = (Phase = II)
Completed = (Phase = III)
30/07/2025 (Phase =IV)</t>
  </si>
  <si>
    <t>Phase IV (Spinel - I)</t>
  </si>
  <si>
    <t>Phase II = All work Completed. OC Received.
Phase III (Opal - E1) = All work completed. OC Received.
Phase IV (Topaz - H) = Finishing work is in process.
Phase IV (Spinel - I, Vivianite - J) = Construction work is in process at the time of Visit.</t>
  </si>
  <si>
    <t>On site we met Miss. Simran : 7770026077.</t>
  </si>
  <si>
    <t>Krishna Kambali</t>
  </si>
  <si>
    <t>As per RERA, completion period of project Tharwani Solitaire Phase IV is expired on 30/07/2025 but still project is under construction.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</si>
</sst>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 #,##0.00_ ;_ * \-#,##0.00_ ;_ * &quot;-&quot;??_ ;_ @_ "/>
    <numFmt numFmtId="164" formatCode="0.0"/>
    <numFmt numFmtId="165" formatCode="_(* #,##0.00_);_(* \(#,##0.00\);_(* &quot;-&quot;??_);_(@_)"/>
    <numFmt numFmtId="166" formatCode="_(* #,##0_);_(* \(#,##0\);_(* &quot;-&quot;??_);_(@_)"/>
    <numFmt numFmtId="167" formatCode="_ * #,##0_ ;_ * \-#,##0_ ;_ * &quot;-&quot;??_ ;_ @_ "/>
  </numFmts>
  <fonts count="26" x14ac:knownFonts="1">
    <font>
      <sz val="11"/>
      <color rgb="FF000000"/>
      <name val="Calibri"/>
      <family val="2"/>
    </font>
    <font>
      <sz val="11"/>
      <color theme="1"/>
      <name val="Calibri"/>
      <family val="2"/>
      <scheme val="minor"/>
    </font>
    <font>
      <sz val="11"/>
      <color theme="1"/>
      <name val="Calibri"/>
      <family val="2"/>
      <scheme val="minor"/>
    </font>
    <font>
      <sz val="11"/>
      <color theme="1"/>
      <name val="Calibri"/>
      <family val="2"/>
      <scheme val="minor"/>
    </font>
    <font>
      <b/>
      <sz val="11"/>
      <color indexed="8"/>
      <name val="Times New Roman"/>
      <family val="1"/>
    </font>
    <font>
      <sz val="11"/>
      <color indexed="8"/>
      <name val="Calibri"/>
      <family val="2"/>
    </font>
    <font>
      <sz val="12"/>
      <color indexed="8"/>
      <name val="Times New Roman"/>
      <family val="1"/>
    </font>
    <font>
      <sz val="12"/>
      <color theme="1"/>
      <name val="Times New Roman"/>
      <family val="1"/>
    </font>
    <font>
      <b/>
      <sz val="12"/>
      <color indexed="8"/>
      <name val="Times New Roman"/>
      <family val="1"/>
    </font>
    <font>
      <b/>
      <sz val="11"/>
      <color theme="1"/>
      <name val="Calibri"/>
      <family val="2"/>
      <scheme val="minor"/>
    </font>
    <font>
      <b/>
      <sz val="12"/>
      <color theme="1"/>
      <name val="Times New Roman"/>
      <family val="1"/>
    </font>
    <font>
      <b/>
      <sz val="11.5"/>
      <color indexed="8"/>
      <name val="Times New Roman"/>
      <family val="1"/>
    </font>
    <font>
      <sz val="12"/>
      <name val="Times New Roman"/>
      <family val="1"/>
    </font>
    <font>
      <b/>
      <sz val="12"/>
      <name val="Times New Roman"/>
      <family val="1"/>
    </font>
    <font>
      <sz val="11"/>
      <name val="Times New Roman"/>
      <family val="1"/>
    </font>
    <font>
      <sz val="12"/>
      <color rgb="FFFF0000"/>
      <name val="Times New Roman"/>
      <family val="1"/>
    </font>
    <font>
      <sz val="11"/>
      <color theme="1"/>
      <name val="Times New Roman"/>
      <family val="1"/>
    </font>
    <font>
      <sz val="11"/>
      <color rgb="FF000000"/>
      <name val="Times New Roman"/>
      <family val="1"/>
    </font>
    <font>
      <sz val="11"/>
      <color rgb="FFFF0000"/>
      <name val="Calibri"/>
      <family val="2"/>
      <scheme val="minor"/>
    </font>
    <font>
      <sz val="11"/>
      <color rgb="FFFF0000"/>
      <name val="Calibri"/>
      <family val="2"/>
    </font>
    <font>
      <sz val="10"/>
      <name val="Arial"/>
      <family val="2"/>
    </font>
    <font>
      <sz val="11"/>
      <color rgb="FF000000"/>
      <name val="Calibri"/>
      <family val="2"/>
    </font>
    <font>
      <b/>
      <sz val="11"/>
      <color rgb="FF000000"/>
      <name val="Times New Roman"/>
      <family val="1"/>
    </font>
    <font>
      <sz val="10"/>
      <color theme="1"/>
      <name val="Times New Roman"/>
      <family val="1"/>
    </font>
    <font>
      <u/>
      <sz val="11"/>
      <color theme="10"/>
      <name val="Calibri"/>
      <family val="2"/>
    </font>
    <font>
      <b/>
      <sz val="12"/>
      <color rgb="FFFF0000"/>
      <name val="Times New Roman"/>
      <family val="1"/>
    </font>
  </fonts>
  <fills count="3">
    <fill>
      <patternFill patternType="none"/>
    </fill>
    <fill>
      <patternFill patternType="gray125"/>
    </fill>
    <fill>
      <patternFill patternType="solid">
        <fgColor rgb="FFFFFF0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style="medium">
        <color indexed="64"/>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s>
  <cellStyleXfs count="11">
    <xf numFmtId="0" fontId="0" fillId="0" borderId="0"/>
    <xf numFmtId="0" fontId="3" fillId="0" borderId="0"/>
    <xf numFmtId="0" fontId="5" fillId="0" borderId="0"/>
    <xf numFmtId="0" fontId="2" fillId="0" borderId="0"/>
    <xf numFmtId="0" fontId="5" fillId="0" borderId="0"/>
    <xf numFmtId="0" fontId="1" fillId="0" borderId="0"/>
    <xf numFmtId="165" fontId="5" fillId="0" borderId="0" applyFont="0" applyFill="0" applyBorder="0" applyAlignment="0" applyProtection="0"/>
    <xf numFmtId="0" fontId="20" fillId="0" borderId="0"/>
    <xf numFmtId="9" fontId="21" fillId="0" borderId="0" applyFont="0" applyFill="0" applyBorder="0" applyAlignment="0" applyProtection="0"/>
    <xf numFmtId="43" fontId="21" fillId="0" borderId="0" applyFont="0" applyFill="0" applyBorder="0" applyAlignment="0" applyProtection="0"/>
    <xf numFmtId="0" fontId="24" fillId="0" borderId="0" applyNumberFormat="0" applyFill="0" applyBorder="0" applyAlignment="0" applyProtection="0"/>
  </cellStyleXfs>
  <cellXfs count="220">
    <xf numFmtId="0" fontId="0" fillId="0" borderId="0" xfId="0"/>
    <xf numFmtId="0" fontId="5" fillId="0" borderId="0" xfId="4"/>
    <xf numFmtId="0" fontId="1" fillId="0" borderId="0" xfId="5"/>
    <xf numFmtId="0" fontId="9" fillId="0" borderId="1" xfId="5" applyFont="1" applyBorder="1" applyAlignment="1">
      <alignment horizontal="center" vertical="top" wrapText="1"/>
    </xf>
    <xf numFmtId="0" fontId="19" fillId="0" borderId="0" xfId="4" applyFont="1"/>
    <xf numFmtId="0" fontId="1" fillId="0" borderId="1" xfId="5" applyBorder="1" applyAlignment="1">
      <alignment horizontal="center" vertical="center"/>
    </xf>
    <xf numFmtId="0" fontId="1" fillId="0" borderId="1" xfId="5" applyBorder="1" applyAlignment="1">
      <alignment horizontal="left" vertical="center"/>
    </xf>
    <xf numFmtId="1" fontId="1" fillId="0" borderId="1" xfId="5" applyNumberFormat="1" applyBorder="1" applyAlignment="1">
      <alignment horizontal="center" vertical="center"/>
    </xf>
    <xf numFmtId="166" fontId="1" fillId="0" borderId="1" xfId="6" applyNumberFormat="1" applyFont="1" applyBorder="1" applyAlignment="1">
      <alignment horizontal="right" vertical="center"/>
    </xf>
    <xf numFmtId="0" fontId="1" fillId="0" borderId="1" xfId="5" applyBorder="1" applyAlignment="1">
      <alignment horizontal="left" vertical="center" wrapText="1"/>
    </xf>
    <xf numFmtId="0" fontId="9" fillId="0" borderId="1" xfId="5" applyFont="1" applyBorder="1" applyAlignment="1">
      <alignment horizontal="center" vertical="center"/>
    </xf>
    <xf numFmtId="1" fontId="18" fillId="0" borderId="1" xfId="5" applyNumberFormat="1" applyFont="1" applyBorder="1" applyAlignment="1">
      <alignment horizontal="center" vertical="center"/>
    </xf>
    <xf numFmtId="0" fontId="5" fillId="0" borderId="1" xfId="4" applyBorder="1" applyAlignment="1">
      <alignment horizontal="center" vertical="center"/>
    </xf>
    <xf numFmtId="0" fontId="7" fillId="0" borderId="0" xfId="1" applyFont="1"/>
    <xf numFmtId="0" fontId="15" fillId="0" borderId="0" xfId="1" applyFont="1"/>
    <xf numFmtId="0" fontId="12" fillId="0" borderId="1" xfId="1" applyFont="1" applyBorder="1" applyAlignment="1" applyProtection="1">
      <alignment vertical="top" wrapText="1"/>
      <protection locked="0"/>
    </xf>
    <xf numFmtId="0" fontId="12" fillId="0" borderId="0" xfId="1" applyFont="1"/>
    <xf numFmtId="0" fontId="13" fillId="0" borderId="1" xfId="1" applyFont="1" applyBorder="1" applyAlignment="1" applyProtection="1">
      <alignment vertical="top"/>
      <protection locked="0"/>
    </xf>
    <xf numFmtId="1" fontId="7" fillId="0" borderId="0" xfId="1" applyNumberFormat="1" applyFont="1"/>
    <xf numFmtId="14" fontId="7" fillId="0" borderId="0" xfId="1" applyNumberFormat="1" applyFont="1"/>
    <xf numFmtId="0" fontId="7" fillId="0" borderId="0" xfId="1" applyFont="1" applyProtection="1">
      <protection hidden="1"/>
    </xf>
    <xf numFmtId="0" fontId="23" fillId="0" borderId="0" xfId="1" applyFont="1"/>
    <xf numFmtId="0" fontId="7" fillId="0" borderId="8" xfId="1" applyFont="1" applyBorder="1" applyProtection="1">
      <protection hidden="1"/>
    </xf>
    <xf numFmtId="0" fontId="7" fillId="0" borderId="9" xfId="1" applyFont="1" applyBorder="1" applyProtection="1">
      <protection hidden="1"/>
    </xf>
    <xf numFmtId="0" fontId="12" fillId="0" borderId="4" xfId="1" applyFont="1" applyBorder="1" applyAlignment="1" applyProtection="1">
      <alignment horizontal="center" vertical="top"/>
      <protection locked="0"/>
    </xf>
    <xf numFmtId="0" fontId="12" fillId="0" borderId="1" xfId="1" applyFont="1" applyBorder="1" applyAlignment="1" applyProtection="1">
      <alignment horizontal="center" vertical="top"/>
      <protection locked="0"/>
    </xf>
    <xf numFmtId="0" fontId="12" fillId="0" borderId="5" xfId="1" applyFont="1" applyBorder="1" applyAlignment="1" applyProtection="1">
      <alignment horizontal="center" vertical="top"/>
      <protection locked="0"/>
    </xf>
    <xf numFmtId="0" fontId="7" fillId="0" borderId="10" xfId="1" applyFont="1" applyBorder="1" applyProtection="1">
      <protection hidden="1"/>
    </xf>
    <xf numFmtId="0" fontId="17" fillId="0" borderId="0" xfId="0" applyFont="1" applyProtection="1">
      <protection hidden="1"/>
    </xf>
    <xf numFmtId="0" fontId="7" fillId="0" borderId="10" xfId="1" applyFont="1" applyBorder="1"/>
    <xf numFmtId="0" fontId="17" fillId="0" borderId="10" xfId="0" applyFont="1" applyBorder="1" applyProtection="1">
      <protection hidden="1"/>
    </xf>
    <xf numFmtId="1" fontId="0" fillId="0" borderId="10" xfId="0" applyNumberFormat="1" applyBorder="1"/>
    <xf numFmtId="1" fontId="0" fillId="0" borderId="10" xfId="0" applyNumberFormat="1" applyBorder="1" applyAlignment="1">
      <alignment horizontal="right"/>
    </xf>
    <xf numFmtId="0" fontId="17" fillId="0" borderId="11" xfId="0" applyFont="1" applyBorder="1" applyProtection="1">
      <protection hidden="1"/>
    </xf>
    <xf numFmtId="1" fontId="0" fillId="0" borderId="12" xfId="0" applyNumberFormat="1" applyBorder="1"/>
    <xf numFmtId="0" fontId="16" fillId="0" borderId="0" xfId="1" applyFont="1"/>
    <xf numFmtId="0" fontId="6" fillId="0" borderId="0" xfId="2" applyFont="1"/>
    <xf numFmtId="0" fontId="7" fillId="0" borderId="0" xfId="0" applyFont="1" applyAlignment="1">
      <alignment horizontal="center" vertical="center"/>
    </xf>
    <xf numFmtId="1" fontId="8" fillId="0" borderId="3" xfId="1" applyNumberFormat="1" applyFont="1" applyBorder="1" applyAlignment="1" applyProtection="1">
      <alignment horizontal="center" vertical="top" wrapText="1"/>
      <protection locked="0"/>
    </xf>
    <xf numFmtId="9" fontId="8" fillId="0" borderId="16" xfId="8" applyFont="1" applyFill="1" applyBorder="1" applyAlignment="1" applyProtection="1">
      <alignment horizontal="center" vertical="top" wrapText="1"/>
      <protection locked="0"/>
    </xf>
    <xf numFmtId="0" fontId="7" fillId="0" borderId="0" xfId="1" applyFont="1" applyAlignment="1">
      <alignment horizontal="center" vertical="center"/>
    </xf>
    <xf numFmtId="1" fontId="7" fillId="0" borderId="0" xfId="1" applyNumberFormat="1" applyFont="1" applyAlignment="1">
      <alignment horizontal="center" vertical="center"/>
    </xf>
    <xf numFmtId="1" fontId="6" fillId="0" borderId="1" xfId="1"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0" fontId="8" fillId="0" borderId="0" xfId="1" applyFont="1" applyAlignment="1" applyProtection="1">
      <alignment vertical="top"/>
      <protection locked="0"/>
    </xf>
    <xf numFmtId="0" fontId="8" fillId="0" borderId="0" xfId="1" applyFont="1" applyAlignment="1" applyProtection="1">
      <alignment vertical="top" wrapText="1"/>
      <protection locked="0"/>
    </xf>
    <xf numFmtId="0" fontId="7" fillId="0" borderId="0" xfId="1" applyFont="1" applyProtection="1">
      <protection locked="0"/>
    </xf>
    <xf numFmtId="0" fontId="10" fillId="0" borderId="0" xfId="1" applyFont="1" applyProtection="1">
      <protection locked="0"/>
    </xf>
    <xf numFmtId="0" fontId="12" fillId="0" borderId="1" xfId="1" applyFont="1" applyBorder="1" applyAlignment="1" applyProtection="1">
      <alignment horizontal="center" vertical="top" wrapText="1"/>
      <protection locked="0"/>
    </xf>
    <xf numFmtId="9" fontId="12" fillId="0" borderId="1" xfId="8" applyFont="1" applyFill="1" applyBorder="1" applyAlignment="1" applyProtection="1">
      <alignment horizontal="center" vertical="top" wrapText="1"/>
      <protection locked="0"/>
    </xf>
    <xf numFmtId="1" fontId="12" fillId="0" borderId="1" xfId="1" applyNumberFormat="1" applyFont="1" applyBorder="1" applyAlignment="1" applyProtection="1">
      <alignment horizontal="center" vertical="top" wrapText="1"/>
      <protection locked="0"/>
    </xf>
    <xf numFmtId="0" fontId="12" fillId="0" borderId="16" xfId="1" applyFont="1" applyBorder="1" applyAlignment="1" applyProtection="1">
      <alignment horizontal="center" vertical="top" wrapText="1"/>
      <protection locked="0"/>
    </xf>
    <xf numFmtId="0" fontId="7" fillId="0" borderId="0" xfId="1" applyFont="1" applyAlignment="1" applyProtection="1">
      <alignment horizontal="center" vertical="center"/>
      <protection hidden="1"/>
    </xf>
    <xf numFmtId="0" fontId="7" fillId="0" borderId="10" xfId="1" applyFont="1" applyBorder="1" applyAlignment="1" applyProtection="1">
      <alignment horizontal="center" vertical="center"/>
      <protection hidden="1"/>
    </xf>
    <xf numFmtId="1" fontId="6" fillId="0" borderId="1" xfId="0" applyNumberFormat="1" applyFont="1" applyBorder="1" applyAlignment="1" applyProtection="1">
      <alignment horizontal="center" vertical="center" wrapText="1"/>
      <protection locked="0"/>
    </xf>
    <xf numFmtId="0" fontId="7" fillId="2" borderId="0" xfId="1" applyFont="1" applyFill="1"/>
    <xf numFmtId="14" fontId="7" fillId="2" borderId="0" xfId="1" applyNumberFormat="1" applyFont="1" applyFill="1"/>
    <xf numFmtId="1" fontId="6" fillId="0" borderId="1" xfId="0" applyNumberFormat="1" applyFont="1" applyBorder="1" applyAlignment="1" applyProtection="1">
      <alignment horizontal="center" vertical="center" wrapText="1"/>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12" fillId="0" borderId="3" xfId="1" applyFont="1" applyBorder="1" applyAlignment="1" applyProtection="1">
      <alignment horizontal="center" vertical="top" wrapText="1"/>
      <protection locked="0"/>
    </xf>
    <xf numFmtId="9" fontId="12" fillId="0" borderId="3" xfId="8" applyFont="1" applyFill="1" applyBorder="1" applyAlignment="1" applyProtection="1">
      <alignment horizontal="center" vertical="top" wrapText="1"/>
      <protection locked="0"/>
    </xf>
    <xf numFmtId="1" fontId="6" fillId="0" borderId="1" xfId="0"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wrapText="1"/>
      <protection locked="0"/>
    </xf>
    <xf numFmtId="1" fontId="6" fillId="0" borderId="1" xfId="1" applyNumberFormat="1" applyFont="1" applyBorder="1" applyAlignment="1" applyProtection="1">
      <alignment horizontal="center" vertical="center" wrapText="1"/>
      <protection locked="0"/>
    </xf>
    <xf numFmtId="0" fontId="12" fillId="0" borderId="1" xfId="1" applyFont="1" applyBorder="1" applyAlignment="1" applyProtection="1">
      <alignment horizontal="center" vertical="top"/>
      <protection locked="0"/>
    </xf>
    <xf numFmtId="0" fontId="12" fillId="0" borderId="3" xfId="1" applyFont="1" applyBorder="1" applyAlignment="1" applyProtection="1">
      <alignment horizontal="center" vertical="top" wrapText="1"/>
      <protection locked="0"/>
    </xf>
    <xf numFmtId="1" fontId="13" fillId="0" borderId="6" xfId="0" applyNumberFormat="1" applyFont="1" applyBorder="1" applyAlignment="1" applyProtection="1">
      <alignment vertical="top" wrapText="1"/>
      <protection locked="0"/>
    </xf>
    <xf numFmtId="1" fontId="13" fillId="0" borderId="21" xfId="0" applyNumberFormat="1" applyFont="1" applyBorder="1" applyAlignment="1" applyProtection="1">
      <alignment vertical="top" wrapText="1"/>
      <protection locked="0"/>
    </xf>
    <xf numFmtId="1" fontId="13" fillId="0" borderId="7" xfId="0" applyNumberFormat="1" applyFont="1" applyBorder="1" applyAlignment="1" applyProtection="1">
      <alignment vertical="top" wrapText="1"/>
      <protection locked="0"/>
    </xf>
    <xf numFmtId="0" fontId="6" fillId="0" borderId="6" xfId="1" applyFont="1" applyBorder="1" applyAlignment="1" applyProtection="1">
      <alignment horizontal="left" vertical="top" wrapText="1"/>
      <protection locked="0"/>
    </xf>
    <xf numFmtId="0" fontId="6" fillId="0" borderId="7" xfId="1" applyFont="1" applyBorder="1" applyAlignment="1" applyProtection="1">
      <alignment horizontal="left" vertical="top" wrapText="1"/>
      <protection locked="0"/>
    </xf>
    <xf numFmtId="0" fontId="12" fillId="0" borderId="6" xfId="1" applyFont="1" applyBorder="1" applyAlignment="1" applyProtection="1">
      <alignment horizontal="left" vertical="top" wrapText="1"/>
      <protection locked="0"/>
    </xf>
    <xf numFmtId="0" fontId="12" fillId="0" borderId="21" xfId="1" applyFont="1" applyBorder="1" applyAlignment="1" applyProtection="1">
      <alignment horizontal="left" vertical="top" wrapText="1"/>
      <protection locked="0"/>
    </xf>
    <xf numFmtId="0" fontId="12" fillId="0" borderId="7" xfId="1" applyFont="1" applyBorder="1" applyAlignment="1" applyProtection="1">
      <alignment horizontal="left" vertical="top" wrapText="1"/>
      <protection locked="0"/>
    </xf>
    <xf numFmtId="14" fontId="12" fillId="0" borderId="6" xfId="1" applyNumberFormat="1" applyFont="1" applyBorder="1" applyAlignment="1" applyProtection="1">
      <alignment horizontal="left" vertical="top" wrapText="1"/>
      <protection locked="0"/>
    </xf>
    <xf numFmtId="0" fontId="6" fillId="0" borderId="17" xfId="1" applyFont="1" applyBorder="1" applyAlignment="1" applyProtection="1">
      <alignment horizontal="left" vertical="top" wrapText="1"/>
      <protection locked="0"/>
    </xf>
    <xf numFmtId="0" fontId="6" fillId="0" borderId="18" xfId="1" applyFont="1" applyBorder="1" applyAlignment="1" applyProtection="1">
      <alignment horizontal="left" vertical="top" wrapText="1"/>
      <protection locked="0"/>
    </xf>
    <xf numFmtId="0" fontId="6" fillId="0" borderId="19" xfId="1" applyFont="1" applyBorder="1" applyAlignment="1" applyProtection="1">
      <alignment horizontal="left" vertical="top" wrapText="1"/>
      <protection locked="0"/>
    </xf>
    <xf numFmtId="0" fontId="6" fillId="0" borderId="20" xfId="1" applyFont="1" applyBorder="1" applyAlignment="1" applyProtection="1">
      <alignment horizontal="left" vertical="top" wrapText="1"/>
      <protection locked="0"/>
    </xf>
    <xf numFmtId="0" fontId="6" fillId="0" borderId="21" xfId="1" applyFont="1" applyBorder="1" applyAlignment="1" applyProtection="1">
      <alignment horizontal="left" vertical="top" wrapText="1"/>
      <protection locked="0"/>
    </xf>
    <xf numFmtId="1" fontId="6" fillId="0" borderId="6" xfId="1" applyNumberFormat="1" applyFont="1" applyBorder="1" applyAlignment="1" applyProtection="1">
      <alignment horizontal="center" vertical="center" wrapText="1"/>
      <protection locked="0"/>
    </xf>
    <xf numFmtId="1" fontId="6" fillId="0" borderId="7" xfId="1" applyNumberFormat="1" applyFont="1" applyBorder="1" applyAlignment="1" applyProtection="1">
      <alignment horizontal="center" vertical="center" wrapText="1"/>
      <protection locked="0"/>
    </xf>
    <xf numFmtId="167" fontId="12" fillId="0" borderId="1" xfId="9" applyNumberFormat="1" applyFont="1" applyFill="1" applyBorder="1" applyAlignment="1" applyProtection="1">
      <alignment horizontal="left" vertical="top"/>
      <protection locked="0"/>
    </xf>
    <xf numFmtId="0" fontId="8" fillId="0" borderId="1" xfId="1" applyFont="1" applyBorder="1" applyAlignment="1" applyProtection="1">
      <alignment horizontal="center" vertical="top"/>
      <protection locked="0"/>
    </xf>
    <xf numFmtId="1" fontId="7" fillId="0" borderId="1" xfId="0" applyNumberFormat="1" applyFont="1" applyBorder="1" applyAlignment="1" applyProtection="1">
      <alignment horizontal="center" vertical="top" wrapText="1"/>
      <protection locked="0"/>
    </xf>
    <xf numFmtId="1" fontId="6" fillId="0" borderId="1" xfId="0" applyNumberFormat="1" applyFont="1" applyBorder="1" applyAlignment="1" applyProtection="1">
      <alignment horizontal="center" vertical="center" wrapText="1"/>
      <protection locked="0"/>
    </xf>
    <xf numFmtId="0" fontId="7" fillId="0" borderId="1" xfId="0" applyFont="1" applyBorder="1" applyAlignment="1" applyProtection="1">
      <alignment horizontal="center" vertical="center"/>
      <protection locked="0"/>
    </xf>
    <xf numFmtId="0" fontId="10" fillId="0" borderId="1" xfId="0" applyFont="1" applyBorder="1" applyAlignment="1" applyProtection="1">
      <alignment horizontal="center" vertical="center"/>
      <protection locked="0"/>
    </xf>
    <xf numFmtId="0" fontId="7" fillId="0" borderId="0" xfId="1" applyFont="1" applyAlignment="1">
      <alignment horizontal="center" vertical="center"/>
    </xf>
    <xf numFmtId="0" fontId="6" fillId="0" borderId="1" xfId="1" applyFont="1" applyBorder="1" applyAlignment="1" applyProtection="1">
      <alignment horizontal="left" vertical="top" wrapText="1"/>
      <protection locked="0"/>
    </xf>
    <xf numFmtId="0" fontId="13" fillId="0" borderId="1" xfId="1" applyFont="1" applyBorder="1" applyAlignment="1" applyProtection="1">
      <alignment horizontal="left" vertical="top" wrapText="1"/>
      <protection locked="0"/>
    </xf>
    <xf numFmtId="0" fontId="13" fillId="0" borderId="5" xfId="1" applyFont="1" applyBorder="1" applyAlignment="1" applyProtection="1">
      <alignment horizontal="left" vertical="top" wrapText="1"/>
      <protection locked="0"/>
    </xf>
    <xf numFmtId="0" fontId="12" fillId="0" borderId="4" xfId="1" applyFont="1" applyBorder="1" applyAlignment="1" applyProtection="1">
      <alignment horizontal="center" vertical="top" wrapText="1"/>
      <protection locked="0"/>
    </xf>
    <xf numFmtId="0" fontId="12" fillId="0" borderId="1" xfId="1" applyFont="1" applyBorder="1" applyAlignment="1" applyProtection="1">
      <alignment horizontal="center" vertical="top" wrapText="1"/>
      <protection locked="0"/>
    </xf>
    <xf numFmtId="0" fontId="6" fillId="0" borderId="1" xfId="1" applyFont="1" applyBorder="1" applyAlignment="1" applyProtection="1">
      <alignment horizontal="left" vertical="top"/>
      <protection locked="0"/>
    </xf>
    <xf numFmtId="0" fontId="12" fillId="0" borderId="19" xfId="1" applyFont="1" applyBorder="1" applyAlignment="1" applyProtection="1">
      <alignment horizontal="left" vertical="top"/>
      <protection locked="0"/>
    </xf>
    <xf numFmtId="0" fontId="12" fillId="0" borderId="2" xfId="1" applyFont="1" applyBorder="1" applyAlignment="1" applyProtection="1">
      <alignment horizontal="left" vertical="top"/>
      <protection locked="0"/>
    </xf>
    <xf numFmtId="0" fontId="12" fillId="0" borderId="20" xfId="1" applyFont="1" applyBorder="1" applyAlignment="1" applyProtection="1">
      <alignment horizontal="left" vertical="top"/>
      <protection locked="0"/>
    </xf>
    <xf numFmtId="0" fontId="12" fillId="0" borderId="17" xfId="1" applyFont="1" applyBorder="1" applyAlignment="1" applyProtection="1">
      <alignment horizontal="left" vertical="top"/>
      <protection locked="0"/>
    </xf>
    <xf numFmtId="0" fontId="12" fillId="0" borderId="24" xfId="1" applyFont="1" applyBorder="1" applyAlignment="1" applyProtection="1">
      <alignment horizontal="left" vertical="top"/>
      <protection locked="0"/>
    </xf>
    <xf numFmtId="0" fontId="12" fillId="0" borderId="18" xfId="1" applyFont="1" applyBorder="1" applyAlignment="1" applyProtection="1">
      <alignment horizontal="left" vertical="top"/>
      <protection locked="0"/>
    </xf>
    <xf numFmtId="0" fontId="13" fillId="0" borderId="1" xfId="1" applyFont="1" applyBorder="1" applyAlignment="1" applyProtection="1">
      <alignment horizontal="left" vertical="top"/>
      <protection locked="0"/>
    </xf>
    <xf numFmtId="9" fontId="12" fillId="0" borderId="1" xfId="8" applyFont="1" applyFill="1" applyBorder="1" applyAlignment="1" applyProtection="1">
      <alignment horizontal="center" vertical="center" wrapText="1"/>
      <protection locked="0"/>
    </xf>
    <xf numFmtId="0" fontId="12" fillId="0" borderId="17" xfId="1" applyFont="1" applyBorder="1" applyAlignment="1" applyProtection="1">
      <alignment horizontal="left" vertical="top" wrapText="1"/>
      <protection locked="0"/>
    </xf>
    <xf numFmtId="0" fontId="12" fillId="0" borderId="24" xfId="1" applyFont="1" applyBorder="1" applyAlignment="1" applyProtection="1">
      <alignment horizontal="left" vertical="top" wrapText="1"/>
      <protection locked="0"/>
    </xf>
    <xf numFmtId="0" fontId="12" fillId="0" borderId="25" xfId="1" applyFont="1" applyBorder="1" applyAlignment="1" applyProtection="1">
      <alignment horizontal="left" vertical="top" wrapText="1"/>
      <protection locked="0"/>
    </xf>
    <xf numFmtId="0" fontId="12" fillId="0" borderId="26" xfId="1" applyFont="1" applyBorder="1" applyAlignment="1" applyProtection="1">
      <alignment horizontal="left" vertical="top"/>
      <protection locked="0"/>
    </xf>
    <xf numFmtId="0" fontId="13" fillId="0" borderId="6" xfId="1" applyFont="1" applyBorder="1" applyAlignment="1" applyProtection="1">
      <alignment horizontal="left" vertical="top" wrapText="1"/>
      <protection locked="0"/>
    </xf>
    <xf numFmtId="0" fontId="13" fillId="0" borderId="7" xfId="1" applyFont="1" applyBorder="1" applyAlignment="1" applyProtection="1">
      <alignment horizontal="left" vertical="top" wrapText="1"/>
      <protection locked="0"/>
    </xf>
    <xf numFmtId="0" fontId="13" fillId="0" borderId="21" xfId="1" applyFont="1" applyBorder="1" applyAlignment="1" applyProtection="1">
      <alignment horizontal="left" vertical="top" wrapText="1"/>
      <protection locked="0"/>
    </xf>
    <xf numFmtId="0" fontId="12" fillId="0" borderId="5" xfId="1" applyFont="1" applyBorder="1" applyAlignment="1" applyProtection="1">
      <alignment horizontal="center" vertical="top" wrapText="1"/>
      <protection locked="0"/>
    </xf>
    <xf numFmtId="0" fontId="13" fillId="0" borderId="22" xfId="1" applyFont="1" applyBorder="1" applyAlignment="1" applyProtection="1">
      <alignment horizontal="left" vertical="top" wrapText="1"/>
      <protection locked="0"/>
    </xf>
    <xf numFmtId="0" fontId="13" fillId="0" borderId="15" xfId="1" applyFont="1" applyBorder="1" applyAlignment="1" applyProtection="1">
      <alignment horizontal="left" vertical="top" wrapText="1"/>
      <protection locked="0"/>
    </xf>
    <xf numFmtId="0" fontId="13" fillId="0" borderId="13" xfId="1" applyFont="1" applyBorder="1" applyAlignment="1" applyProtection="1">
      <alignment horizontal="left" vertical="top" wrapText="1"/>
      <protection locked="0"/>
    </xf>
    <xf numFmtId="0" fontId="13" fillId="0" borderId="14" xfId="1" applyFont="1" applyBorder="1" applyAlignment="1" applyProtection="1">
      <alignment horizontal="left" vertical="top" wrapText="1"/>
      <protection locked="0"/>
    </xf>
    <xf numFmtId="0" fontId="13" fillId="0" borderId="23" xfId="1" applyFont="1" applyBorder="1" applyAlignment="1" applyProtection="1">
      <alignment horizontal="left" vertical="top" wrapText="1"/>
      <protection locked="0"/>
    </xf>
    <xf numFmtId="9" fontId="12" fillId="0" borderId="17" xfId="8" applyFont="1" applyFill="1" applyBorder="1" applyAlignment="1" applyProtection="1">
      <alignment horizontal="center" vertical="center" wrapText="1"/>
      <protection locked="0"/>
    </xf>
    <xf numFmtId="9" fontId="12" fillId="0" borderId="18" xfId="8" applyFont="1" applyFill="1" applyBorder="1" applyAlignment="1" applyProtection="1">
      <alignment horizontal="center" vertical="center" wrapText="1"/>
      <protection locked="0"/>
    </xf>
    <xf numFmtId="9" fontId="12" fillId="0" borderId="25" xfId="8" applyFont="1" applyFill="1" applyBorder="1" applyAlignment="1" applyProtection="1">
      <alignment horizontal="center" vertical="center" wrapText="1"/>
      <protection locked="0"/>
    </xf>
    <xf numFmtId="9" fontId="12" fillId="0" borderId="26" xfId="8" applyFont="1" applyFill="1" applyBorder="1" applyAlignment="1" applyProtection="1">
      <alignment horizontal="center" vertical="center" wrapText="1"/>
      <protection locked="0"/>
    </xf>
    <xf numFmtId="0" fontId="13" fillId="0" borderId="4" xfId="1" applyFont="1" applyBorder="1" applyAlignment="1" applyProtection="1">
      <alignment horizontal="left" vertical="top"/>
      <protection locked="0"/>
    </xf>
    <xf numFmtId="1" fontId="13" fillId="0" borderId="1" xfId="1" applyNumberFormat="1" applyFont="1" applyBorder="1" applyAlignment="1" applyProtection="1">
      <alignment horizontal="left" vertical="top" wrapText="1"/>
      <protection locked="0"/>
    </xf>
    <xf numFmtId="9" fontId="12" fillId="0" borderId="27" xfId="8" applyFont="1" applyFill="1" applyBorder="1" applyAlignment="1" applyProtection="1">
      <alignment horizontal="center" vertical="center" wrapText="1"/>
      <protection locked="0"/>
    </xf>
    <xf numFmtId="9" fontId="12" fillId="0" borderId="10" xfId="8" applyFont="1" applyFill="1" applyBorder="1" applyAlignment="1" applyProtection="1">
      <alignment horizontal="center" vertical="center" wrapText="1"/>
      <protection locked="0"/>
    </xf>
    <xf numFmtId="0" fontId="8" fillId="0" borderId="16" xfId="1" applyFont="1" applyBorder="1" applyAlignment="1" applyProtection="1">
      <alignment horizontal="left" vertical="top"/>
      <protection locked="0"/>
    </xf>
    <xf numFmtId="0" fontId="8" fillId="0" borderId="16" xfId="1" applyFont="1" applyBorder="1" applyAlignment="1" applyProtection="1">
      <alignment horizontal="center" vertical="top"/>
      <protection locked="0"/>
    </xf>
    <xf numFmtId="1" fontId="8" fillId="0" borderId="1" xfId="0" applyNumberFormat="1" applyFont="1" applyBorder="1" applyAlignment="1" applyProtection="1">
      <alignment horizontal="center" vertical="top" wrapText="1"/>
      <protection locked="0"/>
    </xf>
    <xf numFmtId="0" fontId="7" fillId="0" borderId="1" xfId="0" applyFont="1" applyBorder="1" applyAlignment="1" applyProtection="1">
      <alignment horizontal="center" vertical="top" wrapText="1"/>
      <protection locked="0"/>
    </xf>
    <xf numFmtId="167" fontId="13" fillId="0" borderId="1" xfId="9" applyNumberFormat="1" applyFont="1" applyFill="1" applyBorder="1" applyAlignment="1" applyProtection="1">
      <alignment horizontal="left" vertical="top"/>
      <protection locked="0"/>
    </xf>
    <xf numFmtId="1" fontId="6" fillId="0" borderId="1" xfId="0" applyNumberFormat="1" applyFont="1" applyBorder="1" applyAlignment="1" applyProtection="1">
      <alignment horizontal="center" vertical="top" wrapText="1"/>
      <protection locked="0"/>
    </xf>
    <xf numFmtId="1" fontId="6" fillId="0" borderId="17" xfId="1" applyNumberFormat="1" applyFont="1" applyBorder="1" applyAlignment="1" applyProtection="1">
      <alignment horizontal="center" vertical="center" wrapText="1"/>
      <protection locked="0"/>
    </xf>
    <xf numFmtId="1" fontId="6" fillId="0" borderId="18" xfId="1" applyNumberFormat="1" applyFont="1" applyBorder="1" applyAlignment="1" applyProtection="1">
      <alignment horizontal="center" vertical="center" wrapText="1"/>
      <protection locked="0"/>
    </xf>
    <xf numFmtId="1" fontId="6" fillId="0" borderId="25" xfId="1" applyNumberFormat="1" applyFont="1" applyBorder="1" applyAlignment="1" applyProtection="1">
      <alignment horizontal="center" vertical="center" wrapText="1"/>
      <protection locked="0"/>
    </xf>
    <xf numFmtId="1" fontId="6" fillId="0" borderId="26" xfId="1" applyNumberFormat="1" applyFont="1" applyBorder="1" applyAlignment="1" applyProtection="1">
      <alignment horizontal="center" vertical="center" wrapText="1"/>
      <protection locked="0"/>
    </xf>
    <xf numFmtId="1" fontId="6" fillId="0" borderId="19" xfId="1" applyNumberFormat="1" applyFont="1" applyBorder="1" applyAlignment="1" applyProtection="1">
      <alignment horizontal="center" vertical="center" wrapText="1"/>
      <protection locked="0"/>
    </xf>
    <xf numFmtId="1" fontId="6" fillId="0" borderId="20" xfId="1" applyNumberFormat="1" applyFont="1" applyBorder="1" applyAlignment="1" applyProtection="1">
      <alignment horizontal="center" vertical="center" wrapText="1"/>
      <protection locked="0"/>
    </xf>
    <xf numFmtId="0" fontId="10" fillId="0" borderId="1" xfId="0" applyFont="1" applyBorder="1" applyAlignment="1" applyProtection="1">
      <alignment horizontal="center" vertical="top" wrapText="1"/>
      <protection locked="0"/>
    </xf>
    <xf numFmtId="1" fontId="8" fillId="0" borderId="3" xfId="1" applyNumberFormat="1" applyFont="1" applyBorder="1" applyAlignment="1" applyProtection="1">
      <alignment horizontal="center" vertical="top" wrapText="1"/>
      <protection locked="0"/>
    </xf>
    <xf numFmtId="1" fontId="8" fillId="0" borderId="16" xfId="1" applyNumberFormat="1" applyFont="1" applyBorder="1" applyAlignment="1" applyProtection="1">
      <alignment horizontal="center" vertical="top" wrapText="1"/>
      <protection locked="0"/>
    </xf>
    <xf numFmtId="1" fontId="8" fillId="0" borderId="6" xfId="1" applyNumberFormat="1" applyFont="1" applyBorder="1" applyAlignment="1" applyProtection="1">
      <alignment horizontal="center" vertical="center" wrapText="1"/>
      <protection locked="0"/>
    </xf>
    <xf numFmtId="1" fontId="8" fillId="0" borderId="21" xfId="1" applyNumberFormat="1" applyFont="1" applyBorder="1" applyAlignment="1" applyProtection="1">
      <alignment horizontal="center" vertical="center" wrapText="1"/>
      <protection locked="0"/>
    </xf>
    <xf numFmtId="1" fontId="8" fillId="0" borderId="7" xfId="1" applyNumberFormat="1" applyFont="1" applyBorder="1" applyAlignment="1" applyProtection="1">
      <alignment horizontal="center" vertical="center" wrapText="1"/>
      <protection locked="0"/>
    </xf>
    <xf numFmtId="1" fontId="10" fillId="0" borderId="1" xfId="0" applyNumberFormat="1" applyFont="1" applyBorder="1" applyAlignment="1" applyProtection="1">
      <alignment horizontal="center" vertical="top" wrapText="1"/>
      <protection locked="0"/>
    </xf>
    <xf numFmtId="1" fontId="8" fillId="0" borderId="1" xfId="0" applyNumberFormat="1" applyFont="1" applyBorder="1" applyAlignment="1" applyProtection="1">
      <alignment horizontal="center" vertical="center" wrapText="1"/>
      <protection locked="0"/>
    </xf>
    <xf numFmtId="1" fontId="4" fillId="0" borderId="3" xfId="1" applyNumberFormat="1" applyFont="1" applyBorder="1" applyAlignment="1" applyProtection="1">
      <alignment horizontal="center" vertical="top" wrapText="1"/>
      <protection locked="0"/>
    </xf>
    <xf numFmtId="1" fontId="4" fillId="0" borderId="16" xfId="1" applyNumberFormat="1" applyFont="1" applyBorder="1" applyAlignment="1" applyProtection="1">
      <alignment horizontal="center" vertical="top" wrapText="1"/>
      <protection locked="0"/>
    </xf>
    <xf numFmtId="1" fontId="6" fillId="0" borderId="1" xfId="1" applyNumberFormat="1" applyFont="1" applyBorder="1" applyAlignment="1" applyProtection="1">
      <alignment horizontal="center" vertical="center" wrapText="1"/>
      <protection locked="0"/>
    </xf>
    <xf numFmtId="0" fontId="13" fillId="0" borderId="1" xfId="1" applyFont="1" applyBorder="1" applyAlignment="1" applyProtection="1">
      <alignment horizontal="center" vertical="top" wrapText="1"/>
      <protection locked="0"/>
    </xf>
    <xf numFmtId="0" fontId="14" fillId="0" borderId="1" xfId="1" applyFont="1" applyBorder="1" applyAlignment="1" applyProtection="1">
      <alignment horizontal="center" vertical="top" wrapText="1"/>
      <protection locked="0"/>
    </xf>
    <xf numFmtId="1" fontId="8" fillId="0" borderId="1" xfId="0" applyNumberFormat="1" applyFont="1" applyBorder="1" applyAlignment="1" applyProtection="1">
      <alignment horizontal="left" vertical="top" wrapText="1"/>
      <protection locked="0"/>
    </xf>
    <xf numFmtId="1" fontId="13" fillId="0" borderId="1" xfId="0" applyNumberFormat="1" applyFont="1" applyBorder="1" applyAlignment="1" applyProtection="1">
      <alignment vertical="top" wrapText="1"/>
      <protection locked="0"/>
    </xf>
    <xf numFmtId="0" fontId="6" fillId="0" borderId="1" xfId="1" applyFont="1" applyBorder="1" applyAlignment="1" applyProtection="1">
      <alignment vertical="top"/>
      <protection locked="0"/>
    </xf>
    <xf numFmtId="1" fontId="8" fillId="0" borderId="1" xfId="0" applyNumberFormat="1" applyFont="1" applyBorder="1" applyAlignment="1" applyProtection="1">
      <alignment vertical="top" wrapText="1"/>
      <protection locked="0"/>
    </xf>
    <xf numFmtId="0" fontId="8" fillId="0" borderId="1" xfId="1" applyFont="1" applyBorder="1" applyAlignment="1" applyProtection="1">
      <alignment vertical="top"/>
      <protection locked="0"/>
    </xf>
    <xf numFmtId="0" fontId="12" fillId="0" borderId="16" xfId="1" applyFont="1" applyBorder="1" applyAlignment="1" applyProtection="1">
      <alignment horizontal="center" vertical="top" wrapText="1"/>
      <protection locked="0"/>
    </xf>
    <xf numFmtId="0" fontId="12" fillId="0" borderId="32" xfId="1" applyFont="1" applyBorder="1" applyAlignment="1" applyProtection="1">
      <alignment horizontal="center" vertical="top" wrapText="1"/>
      <protection locked="0"/>
    </xf>
    <xf numFmtId="0" fontId="12" fillId="0" borderId="31" xfId="1" applyFont="1" applyBorder="1" applyAlignment="1" applyProtection="1">
      <alignment horizontal="center" vertical="top" wrapText="1"/>
      <protection locked="0"/>
    </xf>
    <xf numFmtId="0" fontId="6" fillId="0" borderId="3" xfId="1" applyFont="1" applyBorder="1" applyAlignment="1" applyProtection="1">
      <alignment horizontal="left" vertical="top" wrapText="1"/>
      <protection locked="0"/>
    </xf>
    <xf numFmtId="0" fontId="12" fillId="0" borderId="3" xfId="1" applyFont="1" applyBorder="1" applyAlignment="1" applyProtection="1">
      <alignment horizontal="left" vertical="top" wrapText="1"/>
      <protection locked="0"/>
    </xf>
    <xf numFmtId="0" fontId="6" fillId="0" borderId="3" xfId="1" applyFont="1" applyBorder="1" applyAlignment="1" applyProtection="1">
      <alignment horizontal="left" vertical="top"/>
      <protection locked="0"/>
    </xf>
    <xf numFmtId="0" fontId="11" fillId="0" borderId="1" xfId="1" applyFont="1" applyBorder="1" applyAlignment="1" applyProtection="1">
      <alignment horizontal="center" vertical="top" wrapText="1"/>
      <protection locked="0"/>
    </xf>
    <xf numFmtId="0" fontId="12" fillId="0" borderId="1" xfId="1" applyFont="1" applyBorder="1" applyAlignment="1" applyProtection="1">
      <alignment horizontal="left" vertical="top"/>
      <protection locked="0"/>
    </xf>
    <xf numFmtId="0" fontId="12" fillId="0" borderId="1" xfId="1" applyFont="1" applyBorder="1" applyAlignment="1" applyProtection="1">
      <alignment horizontal="left" vertical="top" wrapText="1"/>
      <protection locked="0"/>
    </xf>
    <xf numFmtId="14" fontId="12" fillId="0" borderId="1" xfId="1" applyNumberFormat="1" applyFont="1" applyBorder="1" applyAlignment="1" applyProtection="1">
      <alignment horizontal="left" vertical="top"/>
      <protection locked="0"/>
    </xf>
    <xf numFmtId="0" fontId="12" fillId="0" borderId="1" xfId="1" applyFont="1" applyBorder="1" applyAlignment="1" applyProtection="1">
      <alignment horizontal="left"/>
      <protection locked="0"/>
    </xf>
    <xf numFmtId="0" fontId="12" fillId="0" borderId="1" xfId="1" applyFont="1" applyBorder="1" applyAlignment="1" applyProtection="1">
      <alignment horizontal="center"/>
      <protection locked="0"/>
    </xf>
    <xf numFmtId="0" fontId="12" fillId="0" borderId="1" xfId="1" applyFont="1" applyBorder="1" applyAlignment="1" applyProtection="1">
      <alignment horizontal="center" vertical="top"/>
      <protection locked="0"/>
    </xf>
    <xf numFmtId="0" fontId="13" fillId="0" borderId="1" xfId="1" applyFont="1" applyBorder="1" applyAlignment="1" applyProtection="1">
      <alignment horizontal="center" vertical="top"/>
      <protection locked="0"/>
    </xf>
    <xf numFmtId="0" fontId="13" fillId="0" borderId="1" xfId="1" applyFont="1" applyBorder="1" applyAlignment="1" applyProtection="1">
      <alignment horizontal="center"/>
      <protection locked="0"/>
    </xf>
    <xf numFmtId="0" fontId="8" fillId="0" borderId="1" xfId="1" applyFont="1" applyBorder="1" applyAlignment="1" applyProtection="1">
      <alignment horizontal="left" vertical="top"/>
      <protection locked="0"/>
    </xf>
    <xf numFmtId="0" fontId="6" fillId="0" borderId="16" xfId="1" applyFont="1" applyBorder="1" applyAlignment="1" applyProtection="1">
      <alignment horizontal="left" vertical="top" wrapText="1"/>
      <protection locked="0"/>
    </xf>
    <xf numFmtId="14" fontId="13" fillId="0" borderId="6" xfId="1" applyNumberFormat="1" applyFont="1" applyBorder="1" applyAlignment="1" applyProtection="1">
      <alignment horizontal="left" vertical="top"/>
      <protection locked="0"/>
    </xf>
    <xf numFmtId="0" fontId="13" fillId="0" borderId="7" xfId="1" applyFont="1" applyBorder="1" applyAlignment="1" applyProtection="1">
      <alignment horizontal="left" vertical="top"/>
      <protection locked="0"/>
    </xf>
    <xf numFmtId="0" fontId="13" fillId="0" borderId="6" xfId="1" applyFont="1" applyBorder="1" applyAlignment="1" applyProtection="1">
      <alignment horizontal="left" vertical="top"/>
      <protection locked="0"/>
    </xf>
    <xf numFmtId="0" fontId="13" fillId="0" borderId="21" xfId="1" applyFont="1" applyBorder="1" applyAlignment="1" applyProtection="1">
      <alignment horizontal="left" vertical="top"/>
      <protection locked="0"/>
    </xf>
    <xf numFmtId="2" fontId="12" fillId="0" borderId="1" xfId="1" applyNumberFormat="1" applyFont="1" applyBorder="1" applyAlignment="1" applyProtection="1">
      <alignment horizontal="left" vertical="top" wrapText="1"/>
      <protection locked="0"/>
    </xf>
    <xf numFmtId="1" fontId="6" fillId="0" borderId="1" xfId="1" applyNumberFormat="1" applyFont="1" applyBorder="1" applyAlignment="1" applyProtection="1">
      <alignment horizontal="left" vertical="top" wrapText="1"/>
      <protection locked="0"/>
    </xf>
    <xf numFmtId="164" fontId="12" fillId="0" borderId="1" xfId="1" applyNumberFormat="1" applyFont="1" applyBorder="1" applyAlignment="1" applyProtection="1">
      <alignment horizontal="left" vertical="top"/>
      <protection locked="0"/>
    </xf>
    <xf numFmtId="2" fontId="12" fillId="0" borderId="1" xfId="1" applyNumberFormat="1" applyFont="1" applyBorder="1" applyAlignment="1" applyProtection="1">
      <alignment horizontal="left" vertical="top"/>
      <protection locked="0"/>
    </xf>
    <xf numFmtId="0" fontId="12" fillId="0" borderId="0" xfId="1" applyFont="1" applyAlignment="1" applyProtection="1">
      <alignment horizontal="left" vertical="top" wrapText="1"/>
      <protection locked="0"/>
    </xf>
    <xf numFmtId="0" fontId="12" fillId="0" borderId="19" xfId="1" applyFont="1" applyBorder="1" applyAlignment="1" applyProtection="1">
      <alignment horizontal="left" vertical="top" wrapText="1"/>
      <protection locked="0"/>
    </xf>
    <xf numFmtId="0" fontId="12" fillId="0" borderId="2" xfId="1" applyFont="1" applyBorder="1" applyAlignment="1" applyProtection="1">
      <alignment horizontal="left" vertical="top" wrapText="1"/>
      <protection locked="0"/>
    </xf>
    <xf numFmtId="1" fontId="8" fillId="0" borderId="17" xfId="1" applyNumberFormat="1" applyFont="1" applyBorder="1" applyAlignment="1" applyProtection="1">
      <alignment horizontal="center" vertical="top" wrapText="1"/>
      <protection locked="0"/>
    </xf>
    <xf numFmtId="1" fontId="8" fillId="0" borderId="19" xfId="1" applyNumberFormat="1" applyFont="1" applyBorder="1" applyAlignment="1" applyProtection="1">
      <alignment horizontal="center" vertical="top" wrapText="1"/>
      <protection locked="0"/>
    </xf>
    <xf numFmtId="1" fontId="6" fillId="0" borderId="21" xfId="1" applyNumberFormat="1" applyFont="1" applyBorder="1" applyAlignment="1" applyProtection="1">
      <alignment horizontal="center" vertical="center" wrapText="1"/>
      <protection locked="0"/>
    </xf>
    <xf numFmtId="1" fontId="8" fillId="0" borderId="18" xfId="1" applyNumberFormat="1" applyFont="1" applyBorder="1" applyAlignment="1" applyProtection="1">
      <alignment horizontal="center" vertical="top" wrapText="1"/>
      <protection locked="0"/>
    </xf>
    <xf numFmtId="1" fontId="8" fillId="0" borderId="20" xfId="1" applyNumberFormat="1" applyFont="1" applyBorder="1" applyAlignment="1" applyProtection="1">
      <alignment horizontal="center" vertical="top" wrapText="1"/>
      <protection locked="0"/>
    </xf>
    <xf numFmtId="0" fontId="12" fillId="0" borderId="34" xfId="1" applyFont="1" applyBorder="1" applyAlignment="1" applyProtection="1">
      <alignment horizontal="center" vertical="top" wrapText="1"/>
      <protection locked="0"/>
    </xf>
    <xf numFmtId="0" fontId="12" fillId="0" borderId="3" xfId="1" applyFont="1" applyBorder="1" applyAlignment="1" applyProtection="1">
      <alignment horizontal="center" vertical="top" wrapText="1"/>
      <protection locked="0"/>
    </xf>
    <xf numFmtId="1" fontId="8" fillId="0" borderId="1" xfId="1" applyNumberFormat="1" applyFont="1" applyBorder="1" applyAlignment="1" applyProtection="1">
      <alignment horizontal="center" vertical="center" wrapText="1"/>
      <protection locked="0"/>
    </xf>
    <xf numFmtId="0" fontId="13" fillId="0" borderId="30" xfId="1" applyFont="1" applyBorder="1" applyAlignment="1" applyProtection="1">
      <alignment horizontal="center" vertical="center"/>
      <protection locked="0"/>
    </xf>
    <xf numFmtId="0" fontId="13" fillId="0" borderId="18" xfId="1" applyFont="1" applyBorder="1" applyAlignment="1" applyProtection="1">
      <alignment horizontal="center" vertical="center"/>
      <protection locked="0"/>
    </xf>
    <xf numFmtId="0" fontId="13" fillId="0" borderId="33" xfId="1" applyFont="1" applyBorder="1" applyAlignment="1" applyProtection="1">
      <alignment horizontal="center" vertical="center"/>
      <protection locked="0"/>
    </xf>
    <xf numFmtId="0" fontId="13" fillId="0" borderId="29" xfId="1" applyFont="1" applyBorder="1" applyAlignment="1" applyProtection="1">
      <alignment horizontal="center" vertical="center"/>
      <protection locked="0"/>
    </xf>
    <xf numFmtId="9" fontId="13" fillId="0" borderId="17" xfId="1" applyNumberFormat="1" applyFont="1" applyBorder="1" applyAlignment="1" applyProtection="1">
      <alignment horizontal="center" vertical="center" wrapText="1"/>
      <protection locked="0"/>
    </xf>
    <xf numFmtId="0" fontId="13" fillId="0" borderId="18" xfId="1" applyFont="1" applyBorder="1" applyAlignment="1" applyProtection="1">
      <alignment horizontal="center" vertical="center" wrapText="1"/>
      <protection locked="0"/>
    </xf>
    <xf numFmtId="0" fontId="13" fillId="0" borderId="28" xfId="1" applyFont="1" applyBorder="1" applyAlignment="1" applyProtection="1">
      <alignment horizontal="center" vertical="center" wrapText="1"/>
      <protection locked="0"/>
    </xf>
    <xf numFmtId="0" fontId="13" fillId="0" borderId="29" xfId="1" applyFont="1" applyBorder="1" applyAlignment="1" applyProtection="1">
      <alignment horizontal="center" vertical="center" wrapText="1"/>
      <protection locked="0"/>
    </xf>
    <xf numFmtId="0" fontId="13" fillId="0" borderId="17" xfId="1" applyFont="1" applyBorder="1" applyAlignment="1" applyProtection="1">
      <alignment horizontal="center" vertical="center" wrapText="1"/>
      <protection locked="0"/>
    </xf>
    <xf numFmtId="0" fontId="13" fillId="0" borderId="27" xfId="1" applyFont="1" applyBorder="1" applyAlignment="1" applyProtection="1">
      <alignment horizontal="center" vertical="center" wrapText="1"/>
      <protection locked="0"/>
    </xf>
    <xf numFmtId="0" fontId="13" fillId="0" borderId="12" xfId="1" applyFont="1" applyBorder="1" applyAlignment="1" applyProtection="1">
      <alignment horizontal="center" vertical="center" wrapText="1"/>
      <protection locked="0"/>
    </xf>
    <xf numFmtId="0" fontId="13" fillId="0" borderId="1" xfId="1" applyFont="1" applyBorder="1" applyAlignment="1" applyProtection="1">
      <alignment horizontal="center" vertical="center"/>
      <protection locked="0"/>
    </xf>
    <xf numFmtId="9" fontId="13" fillId="0" borderId="1" xfId="1" applyNumberFormat="1" applyFont="1" applyBorder="1" applyAlignment="1" applyProtection="1">
      <alignment horizontal="center" vertical="center" wrapText="1"/>
      <protection locked="0"/>
    </xf>
    <xf numFmtId="0" fontId="13" fillId="0" borderId="1" xfId="1" applyFont="1" applyBorder="1" applyAlignment="1" applyProtection="1">
      <alignment horizontal="center" vertical="center" wrapText="1"/>
      <protection locked="0"/>
    </xf>
    <xf numFmtId="0" fontId="24" fillId="0" borderId="6" xfId="10" applyBorder="1" applyAlignment="1" applyProtection="1">
      <alignment horizontal="left"/>
      <protection locked="0"/>
    </xf>
    <xf numFmtId="0" fontId="12" fillId="0" borderId="21" xfId="1" applyFont="1" applyBorder="1" applyAlignment="1" applyProtection="1">
      <alignment horizontal="left"/>
      <protection locked="0"/>
    </xf>
    <xf numFmtId="0" fontId="12" fillId="0" borderId="7" xfId="1" applyFont="1" applyBorder="1" applyAlignment="1" applyProtection="1">
      <alignment horizontal="left"/>
      <protection locked="0"/>
    </xf>
    <xf numFmtId="0" fontId="9" fillId="0" borderId="1" xfId="5" applyFont="1" applyBorder="1" applyAlignment="1">
      <alignment horizontal="left"/>
    </xf>
    <xf numFmtId="14" fontId="13" fillId="0" borderId="1" xfId="1" applyNumberFormat="1" applyFont="1" applyBorder="1" applyAlignment="1" applyProtection="1">
      <alignment horizontal="left" vertical="top"/>
      <protection locked="0"/>
    </xf>
    <xf numFmtId="0" fontId="12" fillId="0" borderId="0" xfId="1" applyFont="1" applyBorder="1" applyAlignment="1" applyProtection="1">
      <alignment horizontal="left" vertical="top"/>
      <protection locked="0"/>
    </xf>
    <xf numFmtId="0" fontId="12" fillId="0" borderId="25" xfId="1" applyFont="1" applyBorder="1" applyAlignment="1" applyProtection="1">
      <alignment horizontal="left" vertical="top"/>
      <protection locked="0"/>
    </xf>
    <xf numFmtId="0" fontId="13" fillId="0" borderId="35" xfId="1" applyFont="1" applyBorder="1" applyAlignment="1" applyProtection="1">
      <alignment horizontal="left" vertical="top" wrapText="1"/>
      <protection locked="0"/>
    </xf>
    <xf numFmtId="0" fontId="13" fillId="0" borderId="20" xfId="1" applyFont="1" applyBorder="1" applyAlignment="1" applyProtection="1">
      <alignment horizontal="left" vertical="top" wrapText="1"/>
      <protection locked="0"/>
    </xf>
    <xf numFmtId="0" fontId="13" fillId="0" borderId="19" xfId="1" applyFont="1" applyBorder="1" applyAlignment="1" applyProtection="1">
      <alignment horizontal="left" vertical="top" wrapText="1"/>
      <protection locked="0"/>
    </xf>
    <xf numFmtId="0" fontId="13" fillId="0" borderId="2" xfId="1" applyFont="1" applyBorder="1" applyAlignment="1" applyProtection="1">
      <alignment horizontal="left" vertical="top" wrapText="1"/>
      <protection locked="0"/>
    </xf>
    <xf numFmtId="0" fontId="13" fillId="0" borderId="36" xfId="1" applyFont="1" applyBorder="1" applyAlignment="1" applyProtection="1">
      <alignment horizontal="left" vertical="top" wrapText="1"/>
      <protection locked="0"/>
    </xf>
    <xf numFmtId="1" fontId="25" fillId="0" borderId="6" xfId="0" applyNumberFormat="1" applyFont="1" applyBorder="1" applyAlignment="1" applyProtection="1">
      <alignment vertical="top" wrapText="1"/>
      <protection locked="0"/>
    </xf>
    <xf numFmtId="1" fontId="25" fillId="0" borderId="21" xfId="0" applyNumberFormat="1" applyFont="1" applyBorder="1" applyAlignment="1" applyProtection="1">
      <alignment vertical="top" wrapText="1"/>
      <protection locked="0"/>
    </xf>
    <xf numFmtId="1" fontId="25" fillId="0" borderId="7" xfId="0" applyNumberFormat="1" applyFont="1" applyBorder="1" applyAlignment="1" applyProtection="1">
      <alignment vertical="top" wrapText="1"/>
      <protection locked="0"/>
    </xf>
  </cellXfs>
  <cellStyles count="11">
    <cellStyle name="Comma" xfId="9" builtinId="3"/>
    <cellStyle name="Comma 2" xfId="6"/>
    <cellStyle name="Excel Built-in Normal" xfId="2"/>
    <cellStyle name="Excel Built-in Normal 2" xfId="4"/>
    <cellStyle name="Hyperlink" xfId="10" builtinId="8"/>
    <cellStyle name="Normal" xfId="0" builtinId="0"/>
    <cellStyle name="Normal 2" xfId="3"/>
    <cellStyle name="Normal 3" xfId="1"/>
    <cellStyle name="Normal 3 3" xfId="7"/>
    <cellStyle name="Normal 4" xfId="5"/>
    <cellStyle name="Percent" xfId="8"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2.png"/><Relationship Id="rId3" Type="http://schemas.openxmlformats.org/officeDocument/2006/relationships/image" Target="../media/image3.png"/><Relationship Id="rId7" Type="http://schemas.openxmlformats.org/officeDocument/2006/relationships/image" Target="../media/image7.png"/><Relationship Id="rId12" Type="http://schemas.microsoft.com/office/2007/relationships/hdphoto" Target="../media/hdphoto1.wdp"/><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s>
</file>

<file path=xl/drawings/_rels/vmlDrawing1.v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drawing1.xml><?xml version="1.0" encoding="utf-8"?>
<xdr:wsDr xmlns:xdr="http://schemas.openxmlformats.org/drawingml/2006/spreadsheetDrawing" xmlns:a="http://schemas.openxmlformats.org/drawingml/2006/main">
  <xdr:twoCellAnchor editAs="oneCell">
    <xdr:from>
      <xdr:col>0</xdr:col>
      <xdr:colOff>242415</xdr:colOff>
      <xdr:row>351</xdr:row>
      <xdr:rowOff>126420</xdr:rowOff>
    </xdr:from>
    <xdr:to>
      <xdr:col>7</xdr:col>
      <xdr:colOff>469455</xdr:colOff>
      <xdr:row>368</xdr:row>
      <xdr:rowOff>196246</xdr:rowOff>
    </xdr:to>
    <xdr:pic>
      <xdr:nvPicPr>
        <xdr:cNvPr id="49" name="Picture 48">
          <a:extLst>
            <a:ext uri="{FF2B5EF4-FFF2-40B4-BE49-F238E27FC236}">
              <a16:creationId xmlns:a16="http://schemas.microsoft.com/office/drawing/2014/main" id="{00000000-0008-0000-0000-000031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a:ext>
          </a:extLst>
        </a:blip>
        <a:srcRect/>
        <a:stretch/>
      </xdr:blipFill>
      <xdr:spPr>
        <a:xfrm>
          <a:off x="242415" y="68909620"/>
          <a:ext cx="6069040" cy="3416276"/>
        </a:xfrm>
        <a:prstGeom prst="rect">
          <a:avLst/>
        </a:prstGeom>
        <a:ln>
          <a:solidFill>
            <a:schemeClr val="tx1"/>
          </a:solidFill>
        </a:ln>
      </xdr:spPr>
    </xdr:pic>
    <xdr:clientData/>
  </xdr:twoCellAnchor>
  <xdr:twoCellAnchor editAs="oneCell">
    <xdr:from>
      <xdr:col>0</xdr:col>
      <xdr:colOff>242415</xdr:colOff>
      <xdr:row>333</xdr:row>
      <xdr:rowOff>22410</xdr:rowOff>
    </xdr:from>
    <xdr:to>
      <xdr:col>7</xdr:col>
      <xdr:colOff>508368</xdr:colOff>
      <xdr:row>350</xdr:row>
      <xdr:rowOff>92237</xdr:rowOff>
    </xdr:to>
    <xdr:pic>
      <xdr:nvPicPr>
        <xdr:cNvPr id="50" name="Picture 49">
          <a:extLst>
            <a:ext uri="{FF2B5EF4-FFF2-40B4-BE49-F238E27FC236}">
              <a16:creationId xmlns:a16="http://schemas.microsoft.com/office/drawing/2014/main" id="{00000000-0008-0000-0000-000032000000}"/>
            </a:ext>
          </a:extLst>
        </xdr:cNvPr>
        <xdr:cNvPicPr>
          <a:picLocks noChangeAspect="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rcRect/>
        <a:stretch/>
      </xdr:blipFill>
      <xdr:spPr>
        <a:xfrm>
          <a:off x="242415" y="65262310"/>
          <a:ext cx="6107953" cy="3416277"/>
        </a:xfrm>
        <a:prstGeom prst="rect">
          <a:avLst/>
        </a:prstGeom>
        <a:ln>
          <a:solidFill>
            <a:schemeClr val="tx1"/>
          </a:solidFill>
        </a:ln>
      </xdr:spPr>
    </xdr:pic>
    <xdr:clientData/>
  </xdr:twoCellAnchor>
  <xdr:twoCellAnchor>
    <xdr:from>
      <xdr:col>11</xdr:col>
      <xdr:colOff>513423</xdr:colOff>
      <xdr:row>288</xdr:row>
      <xdr:rowOff>6350</xdr:rowOff>
    </xdr:from>
    <xdr:to>
      <xdr:col>13</xdr:col>
      <xdr:colOff>477058</xdr:colOff>
      <xdr:row>289</xdr:row>
      <xdr:rowOff>87747</xdr:rowOff>
    </xdr:to>
    <xdr:sp macro="" textlink="">
      <xdr:nvSpPr>
        <xdr:cNvPr id="26" name="TextBox 4">
          <a:extLst>
            <a:ext uri="{FF2B5EF4-FFF2-40B4-BE49-F238E27FC236}">
              <a16:creationId xmlns:a16="http://schemas.microsoft.com/office/drawing/2014/main" id="{647E23AF-1694-6042-77EF-37D26931FE7A}"/>
            </a:ext>
          </a:extLst>
        </xdr:cNvPr>
        <xdr:cNvSpPr txBox="1"/>
      </xdr:nvSpPr>
      <xdr:spPr>
        <a:xfrm>
          <a:off x="9898723" y="57378600"/>
          <a:ext cx="1525735" cy="278247"/>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0" cap="none" spc="0">
              <a:ln w="0"/>
              <a:solidFill>
                <a:sysClr val="windowText" lastClr="000000"/>
              </a:solidFill>
              <a:effectLst>
                <a:outerShdw blurRad="38100" dist="25400" dir="5400000" algn="ctr" rotWithShape="0">
                  <a:srgbClr val="6E747A">
                    <a:alpha val="43000"/>
                  </a:srgbClr>
                </a:outerShdw>
              </a:effectLst>
            </a:rPr>
            <a:t>Phase IV (Topaz - H)</a:t>
          </a:r>
          <a:endParaRPr lang="x-none" sz="1200" b="0" cap="none" spc="0">
            <a:ln w="0"/>
            <a:solidFill>
              <a:sysClr val="windowText" lastClr="000000"/>
            </a:solidFill>
            <a:effectLst>
              <a:outerShdw blurRad="38100" dist="25400" dir="5400000" algn="ctr" rotWithShape="0">
                <a:srgbClr val="6E747A">
                  <a:alpha val="43000"/>
                </a:srgbClr>
              </a:outerShdw>
            </a:effectLst>
          </a:endParaRPr>
        </a:p>
      </xdr:txBody>
    </xdr:sp>
    <xdr:clientData/>
  </xdr:twoCellAnchor>
  <xdr:twoCellAnchor>
    <xdr:from>
      <xdr:col>0</xdr:col>
      <xdr:colOff>82550</xdr:colOff>
      <xdr:row>289</xdr:row>
      <xdr:rowOff>63500</xdr:rowOff>
    </xdr:from>
    <xdr:to>
      <xdr:col>7</xdr:col>
      <xdr:colOff>681191</xdr:colOff>
      <xdr:row>330</xdr:row>
      <xdr:rowOff>44450</xdr:rowOff>
    </xdr:to>
    <xdr:grpSp>
      <xdr:nvGrpSpPr>
        <xdr:cNvPr id="2" name="Group 1"/>
        <xdr:cNvGrpSpPr/>
      </xdr:nvGrpSpPr>
      <xdr:grpSpPr>
        <a:xfrm>
          <a:off x="82550" y="57429400"/>
          <a:ext cx="6440641" cy="8045450"/>
          <a:chOff x="82550" y="57016650"/>
          <a:chExt cx="6440641" cy="8045450"/>
        </a:xfrm>
      </xdr:grpSpPr>
      <xdr:pic>
        <xdr:nvPicPr>
          <xdr:cNvPr id="15" name="Picture 14"/>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a:ext>
            </a:extLst>
          </a:blip>
          <a:stretch>
            <a:fillRect/>
          </a:stretch>
        </xdr:blipFill>
        <xdr:spPr>
          <a:xfrm>
            <a:off x="2481808" y="63899094"/>
            <a:ext cx="1678443" cy="1163006"/>
          </a:xfrm>
          <a:prstGeom prst="rect">
            <a:avLst/>
          </a:prstGeom>
          <a:ln>
            <a:solidFill>
              <a:schemeClr val="tx1"/>
            </a:solidFill>
          </a:ln>
        </xdr:spPr>
      </xdr:pic>
      <xdr:pic>
        <xdr:nvPicPr>
          <xdr:cNvPr id="16" name="Picture 15"/>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4998041" y="59869148"/>
            <a:ext cx="1510425" cy="2016000"/>
          </a:xfrm>
          <a:prstGeom prst="rect">
            <a:avLst/>
          </a:prstGeom>
          <a:ln>
            <a:solidFill>
              <a:schemeClr val="tx1"/>
            </a:solidFill>
          </a:ln>
        </xdr:spPr>
      </xdr:pic>
      <xdr:pic>
        <xdr:nvPicPr>
          <xdr:cNvPr id="17" name="Picture 16"/>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a:ext>
            </a:extLst>
          </a:blip>
          <a:stretch>
            <a:fillRect/>
          </a:stretch>
        </xdr:blipFill>
        <xdr:spPr>
          <a:xfrm>
            <a:off x="890740" y="62001646"/>
            <a:ext cx="2397776" cy="1800000"/>
          </a:xfrm>
          <a:prstGeom prst="rect">
            <a:avLst/>
          </a:prstGeom>
          <a:ln>
            <a:solidFill>
              <a:schemeClr val="tx1"/>
            </a:solidFill>
          </a:ln>
        </xdr:spPr>
      </xdr:pic>
      <xdr:pic>
        <xdr:nvPicPr>
          <xdr:cNvPr id="18" name="Picture 17"/>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a:ext>
            </a:extLst>
          </a:blip>
          <a:stretch>
            <a:fillRect/>
          </a:stretch>
        </xdr:blipFill>
        <xdr:spPr>
          <a:xfrm>
            <a:off x="101600" y="57016650"/>
            <a:ext cx="2049863" cy="2736000"/>
          </a:xfrm>
          <a:prstGeom prst="rect">
            <a:avLst/>
          </a:prstGeom>
          <a:ln>
            <a:solidFill>
              <a:schemeClr val="tx1"/>
            </a:solidFill>
          </a:ln>
        </xdr:spPr>
      </xdr:pic>
      <xdr:pic>
        <xdr:nvPicPr>
          <xdr:cNvPr id="19" name="Picture 18"/>
          <xdr:cNvPicPr>
            <a:picLocks noChangeAspect="1"/>
          </xdr:cNvPicPr>
        </xdr:nvPicPr>
        <xdr:blipFill>
          <a:blip xmlns:r="http://schemas.openxmlformats.org/officeDocument/2006/relationships" r:embed="rId7" cstate="print">
            <a:extLst>
              <a:ext uri="{28A0092B-C50C-407E-A947-70E740481C1C}">
                <a14:useLocalDpi xmlns:a14="http://schemas.microsoft.com/office/drawing/2010/main"/>
              </a:ext>
            </a:extLst>
          </a:blip>
          <a:stretch>
            <a:fillRect/>
          </a:stretch>
        </xdr:blipFill>
        <xdr:spPr>
          <a:xfrm>
            <a:off x="1733747" y="59869148"/>
            <a:ext cx="1510425" cy="2016000"/>
          </a:xfrm>
          <a:prstGeom prst="rect">
            <a:avLst/>
          </a:prstGeom>
          <a:ln>
            <a:solidFill>
              <a:schemeClr val="tx1"/>
            </a:solidFill>
          </a:ln>
        </xdr:spPr>
      </xdr:pic>
      <xdr:pic>
        <xdr:nvPicPr>
          <xdr:cNvPr id="20" name="Picture 19"/>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a:ext>
            </a:extLst>
          </a:blip>
          <a:stretch>
            <a:fillRect/>
          </a:stretch>
        </xdr:blipFill>
        <xdr:spPr>
          <a:xfrm>
            <a:off x="101600" y="59869148"/>
            <a:ext cx="1510425" cy="2016000"/>
          </a:xfrm>
          <a:prstGeom prst="rect">
            <a:avLst/>
          </a:prstGeom>
          <a:ln>
            <a:solidFill>
              <a:schemeClr val="tx1"/>
            </a:solidFill>
          </a:ln>
        </xdr:spPr>
      </xdr:pic>
      <xdr:pic>
        <xdr:nvPicPr>
          <xdr:cNvPr id="21" name="Picture 20"/>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a:ext>
            </a:extLst>
          </a:blip>
          <a:stretch>
            <a:fillRect/>
          </a:stretch>
        </xdr:blipFill>
        <xdr:spPr>
          <a:xfrm>
            <a:off x="3414457" y="62001646"/>
            <a:ext cx="2397776" cy="1800000"/>
          </a:xfrm>
          <a:prstGeom prst="rect">
            <a:avLst/>
          </a:prstGeom>
          <a:ln>
            <a:solidFill>
              <a:schemeClr val="tx1"/>
            </a:solidFill>
          </a:ln>
        </xdr:spPr>
      </xdr:pic>
      <xdr:pic>
        <xdr:nvPicPr>
          <xdr:cNvPr id="27" name="Picture 26"/>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a:ext>
            </a:extLst>
          </a:blip>
          <a:stretch>
            <a:fillRect/>
          </a:stretch>
        </xdr:blipFill>
        <xdr:spPr>
          <a:xfrm>
            <a:off x="2287464" y="57016650"/>
            <a:ext cx="2049863" cy="2736000"/>
          </a:xfrm>
          <a:prstGeom prst="rect">
            <a:avLst/>
          </a:prstGeom>
          <a:ln>
            <a:solidFill>
              <a:schemeClr val="tx1"/>
            </a:solidFill>
          </a:ln>
        </xdr:spPr>
      </xdr:pic>
      <xdr:pic>
        <xdr:nvPicPr>
          <xdr:cNvPr id="28" name="Picture 27"/>
          <xdr:cNvPicPr>
            <a:picLocks noChangeAspect="1"/>
          </xdr:cNvPicPr>
        </xdr:nvPicPr>
        <xdr:blipFill>
          <a:blip xmlns:r="http://schemas.openxmlformats.org/officeDocument/2006/relationships" r:embed="rId11" cstate="print">
            <a:extLst>
              <a:ext uri="{BEBA8EAE-BF5A-486C-A8C5-ECC9F3942E4B}">
                <a14:imgProps xmlns:a14="http://schemas.microsoft.com/office/drawing/2010/main">
                  <a14:imgLayer r:embed="rId12">
                    <a14:imgEffect>
                      <a14:brightnessContrast bright="40000" contrast="-40000"/>
                    </a14:imgEffect>
                  </a14:imgLayer>
                </a14:imgProps>
              </a:ext>
              <a:ext uri="{28A0092B-C50C-407E-A947-70E740481C1C}">
                <a14:useLocalDpi xmlns:a14="http://schemas.microsoft.com/office/drawing/2010/main"/>
              </a:ext>
            </a:extLst>
          </a:blip>
          <a:stretch>
            <a:fillRect/>
          </a:stretch>
        </xdr:blipFill>
        <xdr:spPr>
          <a:xfrm>
            <a:off x="3365894" y="59869148"/>
            <a:ext cx="1510425" cy="2016000"/>
          </a:xfrm>
          <a:prstGeom prst="rect">
            <a:avLst/>
          </a:prstGeom>
          <a:ln>
            <a:solidFill>
              <a:schemeClr val="tx1"/>
            </a:solidFill>
          </a:ln>
        </xdr:spPr>
      </xdr:pic>
      <xdr:pic>
        <xdr:nvPicPr>
          <xdr:cNvPr id="29" name="Picture 28"/>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a:ext>
            </a:extLst>
          </a:blip>
          <a:stretch>
            <a:fillRect/>
          </a:stretch>
        </xdr:blipFill>
        <xdr:spPr>
          <a:xfrm>
            <a:off x="4473328" y="57016650"/>
            <a:ext cx="2049863" cy="2736000"/>
          </a:xfrm>
          <a:prstGeom prst="rect">
            <a:avLst/>
          </a:prstGeom>
          <a:ln>
            <a:solidFill>
              <a:schemeClr val="tx1"/>
            </a:solidFill>
          </a:ln>
        </xdr:spPr>
      </xdr:pic>
      <xdr:sp macro="" textlink="">
        <xdr:nvSpPr>
          <xdr:cNvPr id="30" name="TextBox 4">
            <a:extLst>
              <a:ext uri="{FF2B5EF4-FFF2-40B4-BE49-F238E27FC236}">
                <a16:creationId xmlns:a16="http://schemas.microsoft.com/office/drawing/2014/main" id="{647E23AF-1694-6042-77EF-37D26931FE7A}"/>
              </a:ext>
            </a:extLst>
          </xdr:cNvPr>
          <xdr:cNvSpPr txBox="1"/>
        </xdr:nvSpPr>
        <xdr:spPr>
          <a:xfrm>
            <a:off x="342900" y="58953400"/>
            <a:ext cx="1525735" cy="278247"/>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cap="none" spc="0">
                <a:ln w="0"/>
                <a:solidFill>
                  <a:srgbClr val="FFFF00"/>
                </a:solidFill>
                <a:effectLst>
                  <a:outerShdw blurRad="38100" dist="25400" dir="5400000" algn="ctr" rotWithShape="0">
                    <a:srgbClr val="6E747A">
                      <a:alpha val="43000"/>
                    </a:srgbClr>
                  </a:outerShdw>
                </a:effectLst>
              </a:rPr>
              <a:t>Phase IV (Topaz - H)</a:t>
            </a:r>
            <a:endParaRPr lang="x-none" sz="1200" b="1" cap="none" spc="0">
              <a:ln w="0"/>
              <a:solidFill>
                <a:srgbClr val="FFFF00"/>
              </a:solidFill>
              <a:effectLst>
                <a:outerShdw blurRad="38100" dist="25400" dir="5400000" algn="ctr" rotWithShape="0">
                  <a:srgbClr val="6E747A">
                    <a:alpha val="43000"/>
                  </a:srgbClr>
                </a:outerShdw>
              </a:effectLst>
            </a:endParaRPr>
          </a:p>
        </xdr:txBody>
      </xdr:sp>
      <xdr:sp macro="" textlink="">
        <xdr:nvSpPr>
          <xdr:cNvPr id="31" name="TextBox 4">
            <a:extLst>
              <a:ext uri="{FF2B5EF4-FFF2-40B4-BE49-F238E27FC236}">
                <a16:creationId xmlns:a16="http://schemas.microsoft.com/office/drawing/2014/main" id="{647E23AF-1694-6042-77EF-37D26931FE7A}"/>
              </a:ext>
            </a:extLst>
          </xdr:cNvPr>
          <xdr:cNvSpPr txBox="1"/>
        </xdr:nvSpPr>
        <xdr:spPr>
          <a:xfrm>
            <a:off x="2751014" y="59124850"/>
            <a:ext cx="1525735" cy="278247"/>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cap="none" spc="0">
                <a:ln w="0"/>
                <a:solidFill>
                  <a:srgbClr val="FFFF00"/>
                </a:solidFill>
                <a:effectLst>
                  <a:outerShdw blurRad="38100" dist="25400" dir="5400000" algn="ctr" rotWithShape="0">
                    <a:srgbClr val="6E747A">
                      <a:alpha val="43000"/>
                    </a:srgbClr>
                  </a:outerShdw>
                </a:effectLst>
              </a:rPr>
              <a:t>Phase IV (Spinel - I)</a:t>
            </a:r>
            <a:endParaRPr lang="x-none" sz="1200" b="1" cap="none" spc="0">
              <a:ln w="0"/>
              <a:solidFill>
                <a:srgbClr val="FFFF00"/>
              </a:solidFill>
              <a:effectLst>
                <a:outerShdw blurRad="38100" dist="25400" dir="5400000" algn="ctr" rotWithShape="0">
                  <a:srgbClr val="6E747A">
                    <a:alpha val="43000"/>
                  </a:srgbClr>
                </a:outerShdw>
              </a:effectLst>
            </a:endParaRPr>
          </a:p>
        </xdr:txBody>
      </xdr:sp>
      <xdr:sp macro="" textlink="">
        <xdr:nvSpPr>
          <xdr:cNvPr id="32" name="TextBox 4">
            <a:extLst>
              <a:ext uri="{FF2B5EF4-FFF2-40B4-BE49-F238E27FC236}">
                <a16:creationId xmlns:a16="http://schemas.microsoft.com/office/drawing/2014/main" id="{647E23AF-1694-6042-77EF-37D26931FE7A}"/>
              </a:ext>
            </a:extLst>
          </xdr:cNvPr>
          <xdr:cNvSpPr txBox="1"/>
        </xdr:nvSpPr>
        <xdr:spPr>
          <a:xfrm>
            <a:off x="4587628" y="59201050"/>
            <a:ext cx="1525735" cy="278247"/>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cap="none" spc="0">
                <a:ln w="0"/>
                <a:solidFill>
                  <a:srgbClr val="FFFF00"/>
                </a:solidFill>
                <a:effectLst>
                  <a:outerShdw blurRad="38100" dist="25400" dir="5400000" algn="ctr" rotWithShape="0">
                    <a:srgbClr val="6E747A">
                      <a:alpha val="43000"/>
                    </a:srgbClr>
                  </a:outerShdw>
                </a:effectLst>
              </a:rPr>
              <a:t>Phase IV (Vivianite J)</a:t>
            </a:r>
            <a:endParaRPr lang="x-none" sz="1200" b="1" cap="none" spc="0">
              <a:ln w="0"/>
              <a:solidFill>
                <a:srgbClr val="FFFF00"/>
              </a:solidFill>
              <a:effectLst>
                <a:outerShdw blurRad="38100" dist="25400" dir="5400000" algn="ctr" rotWithShape="0">
                  <a:srgbClr val="6E747A">
                    <a:alpha val="43000"/>
                  </a:srgbClr>
                </a:outerShdw>
              </a:effectLst>
            </a:endParaRPr>
          </a:p>
        </xdr:txBody>
      </xdr:sp>
      <xdr:sp macro="" textlink="">
        <xdr:nvSpPr>
          <xdr:cNvPr id="33" name="TextBox 4">
            <a:extLst>
              <a:ext uri="{FF2B5EF4-FFF2-40B4-BE49-F238E27FC236}">
                <a16:creationId xmlns:a16="http://schemas.microsoft.com/office/drawing/2014/main" id="{647E23AF-1694-6042-77EF-37D26931FE7A}"/>
              </a:ext>
            </a:extLst>
          </xdr:cNvPr>
          <xdr:cNvSpPr txBox="1"/>
        </xdr:nvSpPr>
        <xdr:spPr>
          <a:xfrm>
            <a:off x="1740097" y="60142198"/>
            <a:ext cx="1525735" cy="278247"/>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cap="none" spc="0">
                <a:ln w="0"/>
                <a:solidFill>
                  <a:srgbClr val="FFFF00"/>
                </a:solidFill>
                <a:effectLst>
                  <a:outerShdw blurRad="38100" dist="25400" dir="5400000" algn="ctr" rotWithShape="0">
                    <a:srgbClr val="6E747A">
                      <a:alpha val="43000"/>
                    </a:srgbClr>
                  </a:outerShdw>
                </a:effectLst>
              </a:rPr>
              <a:t>Phase IV (Topaz - H)</a:t>
            </a:r>
            <a:endParaRPr lang="x-none" sz="1200" b="1" cap="none" spc="0">
              <a:ln w="0"/>
              <a:solidFill>
                <a:srgbClr val="FFFF00"/>
              </a:solidFill>
              <a:effectLst>
                <a:outerShdw blurRad="38100" dist="25400" dir="5400000" algn="ctr" rotWithShape="0">
                  <a:srgbClr val="6E747A">
                    <a:alpha val="43000"/>
                  </a:srgbClr>
                </a:outerShdw>
              </a:effectLst>
            </a:endParaRPr>
          </a:p>
        </xdr:txBody>
      </xdr:sp>
      <xdr:sp macro="" textlink="">
        <xdr:nvSpPr>
          <xdr:cNvPr id="34" name="TextBox 4">
            <a:extLst>
              <a:ext uri="{FF2B5EF4-FFF2-40B4-BE49-F238E27FC236}">
                <a16:creationId xmlns:a16="http://schemas.microsoft.com/office/drawing/2014/main" id="{647E23AF-1694-6042-77EF-37D26931FE7A}"/>
              </a:ext>
            </a:extLst>
          </xdr:cNvPr>
          <xdr:cNvSpPr txBox="1"/>
        </xdr:nvSpPr>
        <xdr:spPr>
          <a:xfrm>
            <a:off x="82550" y="61437598"/>
            <a:ext cx="1525735" cy="278247"/>
          </a:xfrm>
          <a:prstGeom prst="rect">
            <a:avLst/>
          </a:prstGeom>
          <a:noFill/>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en-US" sz="1200" b="1" cap="none" spc="0">
                <a:ln w="0"/>
                <a:solidFill>
                  <a:srgbClr val="FFFF00"/>
                </a:solidFill>
                <a:effectLst>
                  <a:outerShdw blurRad="38100" dist="25400" dir="5400000" algn="ctr" rotWithShape="0">
                    <a:srgbClr val="6E747A">
                      <a:alpha val="43000"/>
                    </a:srgbClr>
                  </a:outerShdw>
                </a:effectLst>
              </a:rPr>
              <a:t>Phase IV (Topaz - H)</a:t>
            </a:r>
            <a:endParaRPr lang="x-none" sz="1200" b="1" cap="none" spc="0">
              <a:ln w="0"/>
              <a:solidFill>
                <a:srgbClr val="FFFF00"/>
              </a:solidFill>
              <a:effectLst>
                <a:outerShdw blurRad="38100" dist="25400" dir="5400000" algn="ctr" rotWithShape="0">
                  <a:srgbClr val="6E747A">
                    <a:alpha val="43000"/>
                  </a:srgbClr>
                </a:outerShdw>
              </a:effectLst>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oo.gl/maps/hx7Zchd82zjpjH3g7?coh=178572&amp;entry=tt" TargetMode="Externa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N332"/>
  <sheetViews>
    <sheetView tabSelected="1" view="pageBreakPreview" zoomScaleNormal="100" zoomScaleSheetLayoutView="100" workbookViewId="0">
      <selection activeCell="E9" sqref="E9:H9"/>
    </sheetView>
  </sheetViews>
  <sheetFormatPr defaultColWidth="9.1796875" defaultRowHeight="15.5" x14ac:dyDescent="0.35"/>
  <cols>
    <col min="1" max="1" width="11.453125" style="46" customWidth="1"/>
    <col min="2" max="2" width="12" style="46" customWidth="1"/>
    <col min="3" max="3" width="12.7265625" style="46" customWidth="1"/>
    <col min="4" max="4" width="14.1796875" style="46" customWidth="1"/>
    <col min="5" max="5" width="11.7265625" style="46" customWidth="1"/>
    <col min="6" max="6" width="10.7265625" style="46" customWidth="1"/>
    <col min="7" max="7" width="10.81640625" style="46" customWidth="1"/>
    <col min="8" max="8" width="11.26953125" style="46" customWidth="1"/>
    <col min="9" max="9" width="17.453125" style="13" customWidth="1"/>
    <col min="10" max="10" width="11.453125" style="13" customWidth="1"/>
    <col min="11" max="11" width="10.54296875" style="13" bestFit="1" customWidth="1"/>
    <col min="12" max="12" width="10.54296875" style="13" customWidth="1"/>
    <col min="13" max="13" width="11.81640625" style="13" customWidth="1"/>
    <col min="14" max="14" width="12.54296875" style="13" customWidth="1"/>
    <col min="15" max="15" width="9.81640625" style="13" customWidth="1"/>
    <col min="16" max="16" width="11.7265625" style="13" customWidth="1"/>
    <col min="17" max="247" width="9.1796875" style="13"/>
    <col min="248" max="248" width="8.7265625" style="13" customWidth="1"/>
    <col min="249" max="249" width="9.81640625" style="13" customWidth="1"/>
    <col min="250" max="250" width="14.453125" style="13" customWidth="1"/>
    <col min="251" max="251" width="7.26953125" style="13" customWidth="1"/>
    <col min="252" max="252" width="5.54296875" style="13" customWidth="1"/>
    <col min="253" max="253" width="9" style="13" customWidth="1"/>
    <col min="254" max="255" width="9.81640625" style="13" customWidth="1"/>
    <col min="256" max="256" width="11.1796875" style="13" customWidth="1"/>
    <col min="257" max="257" width="2.81640625" style="13" customWidth="1"/>
    <col min="258" max="258" width="3.54296875" style="13" customWidth="1"/>
    <col min="259" max="503" width="9.1796875" style="13"/>
    <col min="504" max="504" width="8.7265625" style="13" customWidth="1"/>
    <col min="505" max="505" width="9.81640625" style="13" customWidth="1"/>
    <col min="506" max="506" width="14.453125" style="13" customWidth="1"/>
    <col min="507" max="507" width="7.26953125" style="13" customWidth="1"/>
    <col min="508" max="508" width="5.54296875" style="13" customWidth="1"/>
    <col min="509" max="509" width="9" style="13" customWidth="1"/>
    <col min="510" max="511" width="9.81640625" style="13" customWidth="1"/>
    <col min="512" max="512" width="11.1796875" style="13" customWidth="1"/>
    <col min="513" max="513" width="2.81640625" style="13" customWidth="1"/>
    <col min="514" max="514" width="3.54296875" style="13" customWidth="1"/>
    <col min="515" max="759" width="9.1796875" style="13"/>
    <col min="760" max="760" width="8.7265625" style="13" customWidth="1"/>
    <col min="761" max="761" width="9.81640625" style="13" customWidth="1"/>
    <col min="762" max="762" width="14.453125" style="13" customWidth="1"/>
    <col min="763" max="763" width="7.26953125" style="13" customWidth="1"/>
    <col min="764" max="764" width="5.54296875" style="13" customWidth="1"/>
    <col min="765" max="765" width="9" style="13" customWidth="1"/>
    <col min="766" max="767" width="9.81640625" style="13" customWidth="1"/>
    <col min="768" max="768" width="11.1796875" style="13" customWidth="1"/>
    <col min="769" max="769" width="2.81640625" style="13" customWidth="1"/>
    <col min="770" max="770" width="3.54296875" style="13" customWidth="1"/>
    <col min="771" max="1015" width="9.1796875" style="13"/>
    <col min="1016" max="1016" width="8.7265625" style="13" customWidth="1"/>
    <col min="1017" max="1017" width="9.81640625" style="13" customWidth="1"/>
    <col min="1018" max="1018" width="14.453125" style="13" customWidth="1"/>
    <col min="1019" max="1019" width="7.26953125" style="13" customWidth="1"/>
    <col min="1020" max="1020" width="5.54296875" style="13" customWidth="1"/>
    <col min="1021" max="1021" width="9" style="13" customWidth="1"/>
    <col min="1022" max="1023" width="9.81640625" style="13" customWidth="1"/>
    <col min="1024" max="1024" width="11.1796875" style="13" customWidth="1"/>
    <col min="1025" max="1025" width="2.81640625" style="13" customWidth="1"/>
    <col min="1026" max="1026" width="3.54296875" style="13" customWidth="1"/>
    <col min="1027" max="1271" width="9.1796875" style="13"/>
    <col min="1272" max="1272" width="8.7265625" style="13" customWidth="1"/>
    <col min="1273" max="1273" width="9.81640625" style="13" customWidth="1"/>
    <col min="1274" max="1274" width="14.453125" style="13" customWidth="1"/>
    <col min="1275" max="1275" width="7.26953125" style="13" customWidth="1"/>
    <col min="1276" max="1276" width="5.54296875" style="13" customWidth="1"/>
    <col min="1277" max="1277" width="9" style="13" customWidth="1"/>
    <col min="1278" max="1279" width="9.81640625" style="13" customWidth="1"/>
    <col min="1280" max="1280" width="11.1796875" style="13" customWidth="1"/>
    <col min="1281" max="1281" width="2.81640625" style="13" customWidth="1"/>
    <col min="1282" max="1282" width="3.54296875" style="13" customWidth="1"/>
    <col min="1283" max="1527" width="9.1796875" style="13"/>
    <col min="1528" max="1528" width="8.7265625" style="13" customWidth="1"/>
    <col min="1529" max="1529" width="9.81640625" style="13" customWidth="1"/>
    <col min="1530" max="1530" width="14.453125" style="13" customWidth="1"/>
    <col min="1531" max="1531" width="7.26953125" style="13" customWidth="1"/>
    <col min="1532" max="1532" width="5.54296875" style="13" customWidth="1"/>
    <col min="1533" max="1533" width="9" style="13" customWidth="1"/>
    <col min="1534" max="1535" width="9.81640625" style="13" customWidth="1"/>
    <col min="1536" max="1536" width="11.1796875" style="13" customWidth="1"/>
    <col min="1537" max="1537" width="2.81640625" style="13" customWidth="1"/>
    <col min="1538" max="1538" width="3.54296875" style="13" customWidth="1"/>
    <col min="1539" max="1783" width="9.1796875" style="13"/>
    <col min="1784" max="1784" width="8.7265625" style="13" customWidth="1"/>
    <col min="1785" max="1785" width="9.81640625" style="13" customWidth="1"/>
    <col min="1786" max="1786" width="14.453125" style="13" customWidth="1"/>
    <col min="1787" max="1787" width="7.26953125" style="13" customWidth="1"/>
    <col min="1788" max="1788" width="5.54296875" style="13" customWidth="1"/>
    <col min="1789" max="1789" width="9" style="13" customWidth="1"/>
    <col min="1790" max="1791" width="9.81640625" style="13" customWidth="1"/>
    <col min="1792" max="1792" width="11.1796875" style="13" customWidth="1"/>
    <col min="1793" max="1793" width="2.81640625" style="13" customWidth="1"/>
    <col min="1794" max="1794" width="3.54296875" style="13" customWidth="1"/>
    <col min="1795" max="2039" width="9.1796875" style="13"/>
    <col min="2040" max="2040" width="8.7265625" style="13" customWidth="1"/>
    <col min="2041" max="2041" width="9.81640625" style="13" customWidth="1"/>
    <col min="2042" max="2042" width="14.453125" style="13" customWidth="1"/>
    <col min="2043" max="2043" width="7.26953125" style="13" customWidth="1"/>
    <col min="2044" max="2044" width="5.54296875" style="13" customWidth="1"/>
    <col min="2045" max="2045" width="9" style="13" customWidth="1"/>
    <col min="2046" max="2047" width="9.81640625" style="13" customWidth="1"/>
    <col min="2048" max="2048" width="11.1796875" style="13" customWidth="1"/>
    <col min="2049" max="2049" width="2.81640625" style="13" customWidth="1"/>
    <col min="2050" max="2050" width="3.54296875" style="13" customWidth="1"/>
    <col min="2051" max="2295" width="9.1796875" style="13"/>
    <col min="2296" max="2296" width="8.7265625" style="13" customWidth="1"/>
    <col min="2297" max="2297" width="9.81640625" style="13" customWidth="1"/>
    <col min="2298" max="2298" width="14.453125" style="13" customWidth="1"/>
    <col min="2299" max="2299" width="7.26953125" style="13" customWidth="1"/>
    <col min="2300" max="2300" width="5.54296875" style="13" customWidth="1"/>
    <col min="2301" max="2301" width="9" style="13" customWidth="1"/>
    <col min="2302" max="2303" width="9.81640625" style="13" customWidth="1"/>
    <col min="2304" max="2304" width="11.1796875" style="13" customWidth="1"/>
    <col min="2305" max="2305" width="2.81640625" style="13" customWidth="1"/>
    <col min="2306" max="2306" width="3.54296875" style="13" customWidth="1"/>
    <col min="2307" max="2551" width="9.1796875" style="13"/>
    <col min="2552" max="2552" width="8.7265625" style="13" customWidth="1"/>
    <col min="2553" max="2553" width="9.81640625" style="13" customWidth="1"/>
    <col min="2554" max="2554" width="14.453125" style="13" customWidth="1"/>
    <col min="2555" max="2555" width="7.26953125" style="13" customWidth="1"/>
    <col min="2556" max="2556" width="5.54296875" style="13" customWidth="1"/>
    <col min="2557" max="2557" width="9" style="13" customWidth="1"/>
    <col min="2558" max="2559" width="9.81640625" style="13" customWidth="1"/>
    <col min="2560" max="2560" width="11.1796875" style="13" customWidth="1"/>
    <col min="2561" max="2561" width="2.81640625" style="13" customWidth="1"/>
    <col min="2562" max="2562" width="3.54296875" style="13" customWidth="1"/>
    <col min="2563" max="2807" width="9.1796875" style="13"/>
    <col min="2808" max="2808" width="8.7265625" style="13" customWidth="1"/>
    <col min="2809" max="2809" width="9.81640625" style="13" customWidth="1"/>
    <col min="2810" max="2810" width="14.453125" style="13" customWidth="1"/>
    <col min="2811" max="2811" width="7.26953125" style="13" customWidth="1"/>
    <col min="2812" max="2812" width="5.54296875" style="13" customWidth="1"/>
    <col min="2813" max="2813" width="9" style="13" customWidth="1"/>
    <col min="2814" max="2815" width="9.81640625" style="13" customWidth="1"/>
    <col min="2816" max="2816" width="11.1796875" style="13" customWidth="1"/>
    <col min="2817" max="2817" width="2.81640625" style="13" customWidth="1"/>
    <col min="2818" max="2818" width="3.54296875" style="13" customWidth="1"/>
    <col min="2819" max="3063" width="9.1796875" style="13"/>
    <col min="3064" max="3064" width="8.7265625" style="13" customWidth="1"/>
    <col min="3065" max="3065" width="9.81640625" style="13" customWidth="1"/>
    <col min="3066" max="3066" width="14.453125" style="13" customWidth="1"/>
    <col min="3067" max="3067" width="7.26953125" style="13" customWidth="1"/>
    <col min="3068" max="3068" width="5.54296875" style="13" customWidth="1"/>
    <col min="3069" max="3069" width="9" style="13" customWidth="1"/>
    <col min="3070" max="3071" width="9.81640625" style="13" customWidth="1"/>
    <col min="3072" max="3072" width="11.1796875" style="13" customWidth="1"/>
    <col min="3073" max="3073" width="2.81640625" style="13" customWidth="1"/>
    <col min="3074" max="3074" width="3.54296875" style="13" customWidth="1"/>
    <col min="3075" max="3319" width="9.1796875" style="13"/>
    <col min="3320" max="3320" width="8.7265625" style="13" customWidth="1"/>
    <col min="3321" max="3321" width="9.81640625" style="13" customWidth="1"/>
    <col min="3322" max="3322" width="14.453125" style="13" customWidth="1"/>
    <col min="3323" max="3323" width="7.26953125" style="13" customWidth="1"/>
    <col min="3324" max="3324" width="5.54296875" style="13" customWidth="1"/>
    <col min="3325" max="3325" width="9" style="13" customWidth="1"/>
    <col min="3326" max="3327" width="9.81640625" style="13" customWidth="1"/>
    <col min="3328" max="3328" width="11.1796875" style="13" customWidth="1"/>
    <col min="3329" max="3329" width="2.81640625" style="13" customWidth="1"/>
    <col min="3330" max="3330" width="3.54296875" style="13" customWidth="1"/>
    <col min="3331" max="3575" width="9.1796875" style="13"/>
    <col min="3576" max="3576" width="8.7265625" style="13" customWidth="1"/>
    <col min="3577" max="3577" width="9.81640625" style="13" customWidth="1"/>
    <col min="3578" max="3578" width="14.453125" style="13" customWidth="1"/>
    <col min="3579" max="3579" width="7.26953125" style="13" customWidth="1"/>
    <col min="3580" max="3580" width="5.54296875" style="13" customWidth="1"/>
    <col min="3581" max="3581" width="9" style="13" customWidth="1"/>
    <col min="3582" max="3583" width="9.81640625" style="13" customWidth="1"/>
    <col min="3584" max="3584" width="11.1796875" style="13" customWidth="1"/>
    <col min="3585" max="3585" width="2.81640625" style="13" customWidth="1"/>
    <col min="3586" max="3586" width="3.54296875" style="13" customWidth="1"/>
    <col min="3587" max="3831" width="9.1796875" style="13"/>
    <col min="3832" max="3832" width="8.7265625" style="13" customWidth="1"/>
    <col min="3833" max="3833" width="9.81640625" style="13" customWidth="1"/>
    <col min="3834" max="3834" width="14.453125" style="13" customWidth="1"/>
    <col min="3835" max="3835" width="7.26953125" style="13" customWidth="1"/>
    <col min="3836" max="3836" width="5.54296875" style="13" customWidth="1"/>
    <col min="3837" max="3837" width="9" style="13" customWidth="1"/>
    <col min="3838" max="3839" width="9.81640625" style="13" customWidth="1"/>
    <col min="3840" max="3840" width="11.1796875" style="13" customWidth="1"/>
    <col min="3841" max="3841" width="2.81640625" style="13" customWidth="1"/>
    <col min="3842" max="3842" width="3.54296875" style="13" customWidth="1"/>
    <col min="3843" max="4087" width="9.1796875" style="13"/>
    <col min="4088" max="4088" width="8.7265625" style="13" customWidth="1"/>
    <col min="4089" max="4089" width="9.81640625" style="13" customWidth="1"/>
    <col min="4090" max="4090" width="14.453125" style="13" customWidth="1"/>
    <col min="4091" max="4091" width="7.26953125" style="13" customWidth="1"/>
    <col min="4092" max="4092" width="5.54296875" style="13" customWidth="1"/>
    <col min="4093" max="4093" width="9" style="13" customWidth="1"/>
    <col min="4094" max="4095" width="9.81640625" style="13" customWidth="1"/>
    <col min="4096" max="4096" width="11.1796875" style="13" customWidth="1"/>
    <col min="4097" max="4097" width="2.81640625" style="13" customWidth="1"/>
    <col min="4098" max="4098" width="3.54296875" style="13" customWidth="1"/>
    <col min="4099" max="4343" width="9.1796875" style="13"/>
    <col min="4344" max="4344" width="8.7265625" style="13" customWidth="1"/>
    <col min="4345" max="4345" width="9.81640625" style="13" customWidth="1"/>
    <col min="4346" max="4346" width="14.453125" style="13" customWidth="1"/>
    <col min="4347" max="4347" width="7.26953125" style="13" customWidth="1"/>
    <col min="4348" max="4348" width="5.54296875" style="13" customWidth="1"/>
    <col min="4349" max="4349" width="9" style="13" customWidth="1"/>
    <col min="4350" max="4351" width="9.81640625" style="13" customWidth="1"/>
    <col min="4352" max="4352" width="11.1796875" style="13" customWidth="1"/>
    <col min="4353" max="4353" width="2.81640625" style="13" customWidth="1"/>
    <col min="4354" max="4354" width="3.54296875" style="13" customWidth="1"/>
    <col min="4355" max="4599" width="9.1796875" style="13"/>
    <col min="4600" max="4600" width="8.7265625" style="13" customWidth="1"/>
    <col min="4601" max="4601" width="9.81640625" style="13" customWidth="1"/>
    <col min="4602" max="4602" width="14.453125" style="13" customWidth="1"/>
    <col min="4603" max="4603" width="7.26953125" style="13" customWidth="1"/>
    <col min="4604" max="4604" width="5.54296875" style="13" customWidth="1"/>
    <col min="4605" max="4605" width="9" style="13" customWidth="1"/>
    <col min="4606" max="4607" width="9.81640625" style="13" customWidth="1"/>
    <col min="4608" max="4608" width="11.1796875" style="13" customWidth="1"/>
    <col min="4609" max="4609" width="2.81640625" style="13" customWidth="1"/>
    <col min="4610" max="4610" width="3.54296875" style="13" customWidth="1"/>
    <col min="4611" max="4855" width="9.1796875" style="13"/>
    <col min="4856" max="4856" width="8.7265625" style="13" customWidth="1"/>
    <col min="4857" max="4857" width="9.81640625" style="13" customWidth="1"/>
    <col min="4858" max="4858" width="14.453125" style="13" customWidth="1"/>
    <col min="4859" max="4859" width="7.26953125" style="13" customWidth="1"/>
    <col min="4860" max="4860" width="5.54296875" style="13" customWidth="1"/>
    <col min="4861" max="4861" width="9" style="13" customWidth="1"/>
    <col min="4862" max="4863" width="9.81640625" style="13" customWidth="1"/>
    <col min="4864" max="4864" width="11.1796875" style="13" customWidth="1"/>
    <col min="4865" max="4865" width="2.81640625" style="13" customWidth="1"/>
    <col min="4866" max="4866" width="3.54296875" style="13" customWidth="1"/>
    <col min="4867" max="5111" width="9.1796875" style="13"/>
    <col min="5112" max="5112" width="8.7265625" style="13" customWidth="1"/>
    <col min="5113" max="5113" width="9.81640625" style="13" customWidth="1"/>
    <col min="5114" max="5114" width="14.453125" style="13" customWidth="1"/>
    <col min="5115" max="5115" width="7.26953125" style="13" customWidth="1"/>
    <col min="5116" max="5116" width="5.54296875" style="13" customWidth="1"/>
    <col min="5117" max="5117" width="9" style="13" customWidth="1"/>
    <col min="5118" max="5119" width="9.81640625" style="13" customWidth="1"/>
    <col min="5120" max="5120" width="11.1796875" style="13" customWidth="1"/>
    <col min="5121" max="5121" width="2.81640625" style="13" customWidth="1"/>
    <col min="5122" max="5122" width="3.54296875" style="13" customWidth="1"/>
    <col min="5123" max="5367" width="9.1796875" style="13"/>
    <col min="5368" max="5368" width="8.7265625" style="13" customWidth="1"/>
    <col min="5369" max="5369" width="9.81640625" style="13" customWidth="1"/>
    <col min="5370" max="5370" width="14.453125" style="13" customWidth="1"/>
    <col min="5371" max="5371" width="7.26953125" style="13" customWidth="1"/>
    <col min="5372" max="5372" width="5.54296875" style="13" customWidth="1"/>
    <col min="5373" max="5373" width="9" style="13" customWidth="1"/>
    <col min="5374" max="5375" width="9.81640625" style="13" customWidth="1"/>
    <col min="5376" max="5376" width="11.1796875" style="13" customWidth="1"/>
    <col min="5377" max="5377" width="2.81640625" style="13" customWidth="1"/>
    <col min="5378" max="5378" width="3.54296875" style="13" customWidth="1"/>
    <col min="5379" max="5623" width="9.1796875" style="13"/>
    <col min="5624" max="5624" width="8.7265625" style="13" customWidth="1"/>
    <col min="5625" max="5625" width="9.81640625" style="13" customWidth="1"/>
    <col min="5626" max="5626" width="14.453125" style="13" customWidth="1"/>
    <col min="5627" max="5627" width="7.26953125" style="13" customWidth="1"/>
    <col min="5628" max="5628" width="5.54296875" style="13" customWidth="1"/>
    <col min="5629" max="5629" width="9" style="13" customWidth="1"/>
    <col min="5630" max="5631" width="9.81640625" style="13" customWidth="1"/>
    <col min="5632" max="5632" width="11.1796875" style="13" customWidth="1"/>
    <col min="5633" max="5633" width="2.81640625" style="13" customWidth="1"/>
    <col min="5634" max="5634" width="3.54296875" style="13" customWidth="1"/>
    <col min="5635" max="5879" width="9.1796875" style="13"/>
    <col min="5880" max="5880" width="8.7265625" style="13" customWidth="1"/>
    <col min="5881" max="5881" width="9.81640625" style="13" customWidth="1"/>
    <col min="5882" max="5882" width="14.453125" style="13" customWidth="1"/>
    <col min="5883" max="5883" width="7.26953125" style="13" customWidth="1"/>
    <col min="5884" max="5884" width="5.54296875" style="13" customWidth="1"/>
    <col min="5885" max="5885" width="9" style="13" customWidth="1"/>
    <col min="5886" max="5887" width="9.81640625" style="13" customWidth="1"/>
    <col min="5888" max="5888" width="11.1796875" style="13" customWidth="1"/>
    <col min="5889" max="5889" width="2.81640625" style="13" customWidth="1"/>
    <col min="5890" max="5890" width="3.54296875" style="13" customWidth="1"/>
    <col min="5891" max="6135" width="9.1796875" style="13"/>
    <col min="6136" max="6136" width="8.7265625" style="13" customWidth="1"/>
    <col min="6137" max="6137" width="9.81640625" style="13" customWidth="1"/>
    <col min="6138" max="6138" width="14.453125" style="13" customWidth="1"/>
    <col min="6139" max="6139" width="7.26953125" style="13" customWidth="1"/>
    <col min="6140" max="6140" width="5.54296875" style="13" customWidth="1"/>
    <col min="6141" max="6141" width="9" style="13" customWidth="1"/>
    <col min="6142" max="6143" width="9.81640625" style="13" customWidth="1"/>
    <col min="6144" max="6144" width="11.1796875" style="13" customWidth="1"/>
    <col min="6145" max="6145" width="2.81640625" style="13" customWidth="1"/>
    <col min="6146" max="6146" width="3.54296875" style="13" customWidth="1"/>
    <col min="6147" max="6391" width="9.1796875" style="13"/>
    <col min="6392" max="6392" width="8.7265625" style="13" customWidth="1"/>
    <col min="6393" max="6393" width="9.81640625" style="13" customWidth="1"/>
    <col min="6394" max="6394" width="14.453125" style="13" customWidth="1"/>
    <col min="6395" max="6395" width="7.26953125" style="13" customWidth="1"/>
    <col min="6396" max="6396" width="5.54296875" style="13" customWidth="1"/>
    <col min="6397" max="6397" width="9" style="13" customWidth="1"/>
    <col min="6398" max="6399" width="9.81640625" style="13" customWidth="1"/>
    <col min="6400" max="6400" width="11.1796875" style="13" customWidth="1"/>
    <col min="6401" max="6401" width="2.81640625" style="13" customWidth="1"/>
    <col min="6402" max="6402" width="3.54296875" style="13" customWidth="1"/>
    <col min="6403" max="6647" width="9.1796875" style="13"/>
    <col min="6648" max="6648" width="8.7265625" style="13" customWidth="1"/>
    <col min="6649" max="6649" width="9.81640625" style="13" customWidth="1"/>
    <col min="6650" max="6650" width="14.453125" style="13" customWidth="1"/>
    <col min="6651" max="6651" width="7.26953125" style="13" customWidth="1"/>
    <col min="6652" max="6652" width="5.54296875" style="13" customWidth="1"/>
    <col min="6653" max="6653" width="9" style="13" customWidth="1"/>
    <col min="6654" max="6655" width="9.81640625" style="13" customWidth="1"/>
    <col min="6656" max="6656" width="11.1796875" style="13" customWidth="1"/>
    <col min="6657" max="6657" width="2.81640625" style="13" customWidth="1"/>
    <col min="6658" max="6658" width="3.54296875" style="13" customWidth="1"/>
    <col min="6659" max="6903" width="9.1796875" style="13"/>
    <col min="6904" max="6904" width="8.7265625" style="13" customWidth="1"/>
    <col min="6905" max="6905" width="9.81640625" style="13" customWidth="1"/>
    <col min="6906" max="6906" width="14.453125" style="13" customWidth="1"/>
    <col min="6907" max="6907" width="7.26953125" style="13" customWidth="1"/>
    <col min="6908" max="6908" width="5.54296875" style="13" customWidth="1"/>
    <col min="6909" max="6909" width="9" style="13" customWidth="1"/>
    <col min="6910" max="6911" width="9.81640625" style="13" customWidth="1"/>
    <col min="6912" max="6912" width="11.1796875" style="13" customWidth="1"/>
    <col min="6913" max="6913" width="2.81640625" style="13" customWidth="1"/>
    <col min="6914" max="6914" width="3.54296875" style="13" customWidth="1"/>
    <col min="6915" max="7159" width="9.1796875" style="13"/>
    <col min="7160" max="7160" width="8.7265625" style="13" customWidth="1"/>
    <col min="7161" max="7161" width="9.81640625" style="13" customWidth="1"/>
    <col min="7162" max="7162" width="14.453125" style="13" customWidth="1"/>
    <col min="7163" max="7163" width="7.26953125" style="13" customWidth="1"/>
    <col min="7164" max="7164" width="5.54296875" style="13" customWidth="1"/>
    <col min="7165" max="7165" width="9" style="13" customWidth="1"/>
    <col min="7166" max="7167" width="9.81640625" style="13" customWidth="1"/>
    <col min="7168" max="7168" width="11.1796875" style="13" customWidth="1"/>
    <col min="7169" max="7169" width="2.81640625" style="13" customWidth="1"/>
    <col min="7170" max="7170" width="3.54296875" style="13" customWidth="1"/>
    <col min="7171" max="7415" width="9.1796875" style="13"/>
    <col min="7416" max="7416" width="8.7265625" style="13" customWidth="1"/>
    <col min="7417" max="7417" width="9.81640625" style="13" customWidth="1"/>
    <col min="7418" max="7418" width="14.453125" style="13" customWidth="1"/>
    <col min="7419" max="7419" width="7.26953125" style="13" customWidth="1"/>
    <col min="7420" max="7420" width="5.54296875" style="13" customWidth="1"/>
    <col min="7421" max="7421" width="9" style="13" customWidth="1"/>
    <col min="7422" max="7423" width="9.81640625" style="13" customWidth="1"/>
    <col min="7424" max="7424" width="11.1796875" style="13" customWidth="1"/>
    <col min="7425" max="7425" width="2.81640625" style="13" customWidth="1"/>
    <col min="7426" max="7426" width="3.54296875" style="13" customWidth="1"/>
    <col min="7427" max="7671" width="9.1796875" style="13"/>
    <col min="7672" max="7672" width="8.7265625" style="13" customWidth="1"/>
    <col min="7673" max="7673" width="9.81640625" style="13" customWidth="1"/>
    <col min="7674" max="7674" width="14.453125" style="13" customWidth="1"/>
    <col min="7675" max="7675" width="7.26953125" style="13" customWidth="1"/>
    <col min="7676" max="7676" width="5.54296875" style="13" customWidth="1"/>
    <col min="7677" max="7677" width="9" style="13" customWidth="1"/>
    <col min="7678" max="7679" width="9.81640625" style="13" customWidth="1"/>
    <col min="7680" max="7680" width="11.1796875" style="13" customWidth="1"/>
    <col min="7681" max="7681" width="2.81640625" style="13" customWidth="1"/>
    <col min="7682" max="7682" width="3.54296875" style="13" customWidth="1"/>
    <col min="7683" max="7927" width="9.1796875" style="13"/>
    <col min="7928" max="7928" width="8.7265625" style="13" customWidth="1"/>
    <col min="7929" max="7929" width="9.81640625" style="13" customWidth="1"/>
    <col min="7930" max="7930" width="14.453125" style="13" customWidth="1"/>
    <col min="7931" max="7931" width="7.26953125" style="13" customWidth="1"/>
    <col min="7932" max="7932" width="5.54296875" style="13" customWidth="1"/>
    <col min="7933" max="7933" width="9" style="13" customWidth="1"/>
    <col min="7934" max="7935" width="9.81640625" style="13" customWidth="1"/>
    <col min="7936" max="7936" width="11.1796875" style="13" customWidth="1"/>
    <col min="7937" max="7937" width="2.81640625" style="13" customWidth="1"/>
    <col min="7938" max="7938" width="3.54296875" style="13" customWidth="1"/>
    <col min="7939" max="8183" width="9.1796875" style="13"/>
    <col min="8184" max="8184" width="8.7265625" style="13" customWidth="1"/>
    <col min="8185" max="8185" width="9.81640625" style="13" customWidth="1"/>
    <col min="8186" max="8186" width="14.453125" style="13" customWidth="1"/>
    <col min="8187" max="8187" width="7.26953125" style="13" customWidth="1"/>
    <col min="8188" max="8188" width="5.54296875" style="13" customWidth="1"/>
    <col min="8189" max="8189" width="9" style="13" customWidth="1"/>
    <col min="8190" max="8191" width="9.81640625" style="13" customWidth="1"/>
    <col min="8192" max="8192" width="11.1796875" style="13" customWidth="1"/>
    <col min="8193" max="8193" width="2.81640625" style="13" customWidth="1"/>
    <col min="8194" max="8194" width="3.54296875" style="13" customWidth="1"/>
    <col min="8195" max="8439" width="9.1796875" style="13"/>
    <col min="8440" max="8440" width="8.7265625" style="13" customWidth="1"/>
    <col min="8441" max="8441" width="9.81640625" style="13" customWidth="1"/>
    <col min="8442" max="8442" width="14.453125" style="13" customWidth="1"/>
    <col min="8443" max="8443" width="7.26953125" style="13" customWidth="1"/>
    <col min="8444" max="8444" width="5.54296875" style="13" customWidth="1"/>
    <col min="8445" max="8445" width="9" style="13" customWidth="1"/>
    <col min="8446" max="8447" width="9.81640625" style="13" customWidth="1"/>
    <col min="8448" max="8448" width="11.1796875" style="13" customWidth="1"/>
    <col min="8449" max="8449" width="2.81640625" style="13" customWidth="1"/>
    <col min="8450" max="8450" width="3.54296875" style="13" customWidth="1"/>
    <col min="8451" max="8695" width="9.1796875" style="13"/>
    <col min="8696" max="8696" width="8.7265625" style="13" customWidth="1"/>
    <col min="8697" max="8697" width="9.81640625" style="13" customWidth="1"/>
    <col min="8698" max="8698" width="14.453125" style="13" customWidth="1"/>
    <col min="8699" max="8699" width="7.26953125" style="13" customWidth="1"/>
    <col min="8700" max="8700" width="5.54296875" style="13" customWidth="1"/>
    <col min="8701" max="8701" width="9" style="13" customWidth="1"/>
    <col min="8702" max="8703" width="9.81640625" style="13" customWidth="1"/>
    <col min="8704" max="8704" width="11.1796875" style="13" customWidth="1"/>
    <col min="8705" max="8705" width="2.81640625" style="13" customWidth="1"/>
    <col min="8706" max="8706" width="3.54296875" style="13" customWidth="1"/>
    <col min="8707" max="8951" width="9.1796875" style="13"/>
    <col min="8952" max="8952" width="8.7265625" style="13" customWidth="1"/>
    <col min="8953" max="8953" width="9.81640625" style="13" customWidth="1"/>
    <col min="8954" max="8954" width="14.453125" style="13" customWidth="1"/>
    <col min="8955" max="8955" width="7.26953125" style="13" customWidth="1"/>
    <col min="8956" max="8956" width="5.54296875" style="13" customWidth="1"/>
    <col min="8957" max="8957" width="9" style="13" customWidth="1"/>
    <col min="8958" max="8959" width="9.81640625" style="13" customWidth="1"/>
    <col min="8960" max="8960" width="11.1796875" style="13" customWidth="1"/>
    <col min="8961" max="8961" width="2.81640625" style="13" customWidth="1"/>
    <col min="8962" max="8962" width="3.54296875" style="13" customWidth="1"/>
    <col min="8963" max="9207" width="9.1796875" style="13"/>
    <col min="9208" max="9208" width="8.7265625" style="13" customWidth="1"/>
    <col min="9209" max="9209" width="9.81640625" style="13" customWidth="1"/>
    <col min="9210" max="9210" width="14.453125" style="13" customWidth="1"/>
    <col min="9211" max="9211" width="7.26953125" style="13" customWidth="1"/>
    <col min="9212" max="9212" width="5.54296875" style="13" customWidth="1"/>
    <col min="9213" max="9213" width="9" style="13" customWidth="1"/>
    <col min="9214" max="9215" width="9.81640625" style="13" customWidth="1"/>
    <col min="9216" max="9216" width="11.1796875" style="13" customWidth="1"/>
    <col min="9217" max="9217" width="2.81640625" style="13" customWidth="1"/>
    <col min="9218" max="9218" width="3.54296875" style="13" customWidth="1"/>
    <col min="9219" max="9463" width="9.1796875" style="13"/>
    <col min="9464" max="9464" width="8.7265625" style="13" customWidth="1"/>
    <col min="9465" max="9465" width="9.81640625" style="13" customWidth="1"/>
    <col min="9466" max="9466" width="14.453125" style="13" customWidth="1"/>
    <col min="9467" max="9467" width="7.26953125" style="13" customWidth="1"/>
    <col min="9468" max="9468" width="5.54296875" style="13" customWidth="1"/>
    <col min="9469" max="9469" width="9" style="13" customWidth="1"/>
    <col min="9470" max="9471" width="9.81640625" style="13" customWidth="1"/>
    <col min="9472" max="9472" width="11.1796875" style="13" customWidth="1"/>
    <col min="9473" max="9473" width="2.81640625" style="13" customWidth="1"/>
    <col min="9474" max="9474" width="3.54296875" style="13" customWidth="1"/>
    <col min="9475" max="9719" width="9.1796875" style="13"/>
    <col min="9720" max="9720" width="8.7265625" style="13" customWidth="1"/>
    <col min="9721" max="9721" width="9.81640625" style="13" customWidth="1"/>
    <col min="9722" max="9722" width="14.453125" style="13" customWidth="1"/>
    <col min="9723" max="9723" width="7.26953125" style="13" customWidth="1"/>
    <col min="9724" max="9724" width="5.54296875" style="13" customWidth="1"/>
    <col min="9725" max="9725" width="9" style="13" customWidth="1"/>
    <col min="9726" max="9727" width="9.81640625" style="13" customWidth="1"/>
    <col min="9728" max="9728" width="11.1796875" style="13" customWidth="1"/>
    <col min="9729" max="9729" width="2.81640625" style="13" customWidth="1"/>
    <col min="9730" max="9730" width="3.54296875" style="13" customWidth="1"/>
    <col min="9731" max="9975" width="9.1796875" style="13"/>
    <col min="9976" max="9976" width="8.7265625" style="13" customWidth="1"/>
    <col min="9977" max="9977" width="9.81640625" style="13" customWidth="1"/>
    <col min="9978" max="9978" width="14.453125" style="13" customWidth="1"/>
    <col min="9979" max="9979" width="7.26953125" style="13" customWidth="1"/>
    <col min="9980" max="9980" width="5.54296875" style="13" customWidth="1"/>
    <col min="9981" max="9981" width="9" style="13" customWidth="1"/>
    <col min="9982" max="9983" width="9.81640625" style="13" customWidth="1"/>
    <col min="9984" max="9984" width="11.1796875" style="13" customWidth="1"/>
    <col min="9985" max="9985" width="2.81640625" style="13" customWidth="1"/>
    <col min="9986" max="9986" width="3.54296875" style="13" customWidth="1"/>
    <col min="9987" max="10231" width="9.1796875" style="13"/>
    <col min="10232" max="10232" width="8.7265625" style="13" customWidth="1"/>
    <col min="10233" max="10233" width="9.81640625" style="13" customWidth="1"/>
    <col min="10234" max="10234" width="14.453125" style="13" customWidth="1"/>
    <col min="10235" max="10235" width="7.26953125" style="13" customWidth="1"/>
    <col min="10236" max="10236" width="5.54296875" style="13" customWidth="1"/>
    <col min="10237" max="10237" width="9" style="13" customWidth="1"/>
    <col min="10238" max="10239" width="9.81640625" style="13" customWidth="1"/>
    <col min="10240" max="10240" width="11.1796875" style="13" customWidth="1"/>
    <col min="10241" max="10241" width="2.81640625" style="13" customWidth="1"/>
    <col min="10242" max="10242" width="3.54296875" style="13" customWidth="1"/>
    <col min="10243" max="10487" width="9.1796875" style="13"/>
    <col min="10488" max="10488" width="8.7265625" style="13" customWidth="1"/>
    <col min="10489" max="10489" width="9.81640625" style="13" customWidth="1"/>
    <col min="10490" max="10490" width="14.453125" style="13" customWidth="1"/>
    <col min="10491" max="10491" width="7.26953125" style="13" customWidth="1"/>
    <col min="10492" max="10492" width="5.54296875" style="13" customWidth="1"/>
    <col min="10493" max="10493" width="9" style="13" customWidth="1"/>
    <col min="10494" max="10495" width="9.81640625" style="13" customWidth="1"/>
    <col min="10496" max="10496" width="11.1796875" style="13" customWidth="1"/>
    <col min="10497" max="10497" width="2.81640625" style="13" customWidth="1"/>
    <col min="10498" max="10498" width="3.54296875" style="13" customWidth="1"/>
    <col min="10499" max="10743" width="9.1796875" style="13"/>
    <col min="10744" max="10744" width="8.7265625" style="13" customWidth="1"/>
    <col min="10745" max="10745" width="9.81640625" style="13" customWidth="1"/>
    <col min="10746" max="10746" width="14.453125" style="13" customWidth="1"/>
    <col min="10747" max="10747" width="7.26953125" style="13" customWidth="1"/>
    <col min="10748" max="10748" width="5.54296875" style="13" customWidth="1"/>
    <col min="10749" max="10749" width="9" style="13" customWidth="1"/>
    <col min="10750" max="10751" width="9.81640625" style="13" customWidth="1"/>
    <col min="10752" max="10752" width="11.1796875" style="13" customWidth="1"/>
    <col min="10753" max="10753" width="2.81640625" style="13" customWidth="1"/>
    <col min="10754" max="10754" width="3.54296875" style="13" customWidth="1"/>
    <col min="10755" max="10999" width="9.1796875" style="13"/>
    <col min="11000" max="11000" width="8.7265625" style="13" customWidth="1"/>
    <col min="11001" max="11001" width="9.81640625" style="13" customWidth="1"/>
    <col min="11002" max="11002" width="14.453125" style="13" customWidth="1"/>
    <col min="11003" max="11003" width="7.26953125" style="13" customWidth="1"/>
    <col min="11004" max="11004" width="5.54296875" style="13" customWidth="1"/>
    <col min="11005" max="11005" width="9" style="13" customWidth="1"/>
    <col min="11006" max="11007" width="9.81640625" style="13" customWidth="1"/>
    <col min="11008" max="11008" width="11.1796875" style="13" customWidth="1"/>
    <col min="11009" max="11009" width="2.81640625" style="13" customWidth="1"/>
    <col min="11010" max="11010" width="3.54296875" style="13" customWidth="1"/>
    <col min="11011" max="11255" width="9.1796875" style="13"/>
    <col min="11256" max="11256" width="8.7265625" style="13" customWidth="1"/>
    <col min="11257" max="11257" width="9.81640625" style="13" customWidth="1"/>
    <col min="11258" max="11258" width="14.453125" style="13" customWidth="1"/>
    <col min="11259" max="11259" width="7.26953125" style="13" customWidth="1"/>
    <col min="11260" max="11260" width="5.54296875" style="13" customWidth="1"/>
    <col min="11261" max="11261" width="9" style="13" customWidth="1"/>
    <col min="11262" max="11263" width="9.81640625" style="13" customWidth="1"/>
    <col min="11264" max="11264" width="11.1796875" style="13" customWidth="1"/>
    <col min="11265" max="11265" width="2.81640625" style="13" customWidth="1"/>
    <col min="11266" max="11266" width="3.54296875" style="13" customWidth="1"/>
    <col min="11267" max="11511" width="9.1796875" style="13"/>
    <col min="11512" max="11512" width="8.7265625" style="13" customWidth="1"/>
    <col min="11513" max="11513" width="9.81640625" style="13" customWidth="1"/>
    <col min="11514" max="11514" width="14.453125" style="13" customWidth="1"/>
    <col min="11515" max="11515" width="7.26953125" style="13" customWidth="1"/>
    <col min="11516" max="11516" width="5.54296875" style="13" customWidth="1"/>
    <col min="11517" max="11517" width="9" style="13" customWidth="1"/>
    <col min="11518" max="11519" width="9.81640625" style="13" customWidth="1"/>
    <col min="11520" max="11520" width="11.1796875" style="13" customWidth="1"/>
    <col min="11521" max="11521" width="2.81640625" style="13" customWidth="1"/>
    <col min="11522" max="11522" width="3.54296875" style="13" customWidth="1"/>
    <col min="11523" max="11767" width="9.1796875" style="13"/>
    <col min="11768" max="11768" width="8.7265625" style="13" customWidth="1"/>
    <col min="11769" max="11769" width="9.81640625" style="13" customWidth="1"/>
    <col min="11770" max="11770" width="14.453125" style="13" customWidth="1"/>
    <col min="11771" max="11771" width="7.26953125" style="13" customWidth="1"/>
    <col min="11772" max="11772" width="5.54296875" style="13" customWidth="1"/>
    <col min="11773" max="11773" width="9" style="13" customWidth="1"/>
    <col min="11774" max="11775" width="9.81640625" style="13" customWidth="1"/>
    <col min="11776" max="11776" width="11.1796875" style="13" customWidth="1"/>
    <col min="11777" max="11777" width="2.81640625" style="13" customWidth="1"/>
    <col min="11778" max="11778" width="3.54296875" style="13" customWidth="1"/>
    <col min="11779" max="12023" width="9.1796875" style="13"/>
    <col min="12024" max="12024" width="8.7265625" style="13" customWidth="1"/>
    <col min="12025" max="12025" width="9.81640625" style="13" customWidth="1"/>
    <col min="12026" max="12026" width="14.453125" style="13" customWidth="1"/>
    <col min="12027" max="12027" width="7.26953125" style="13" customWidth="1"/>
    <col min="12028" max="12028" width="5.54296875" style="13" customWidth="1"/>
    <col min="12029" max="12029" width="9" style="13" customWidth="1"/>
    <col min="12030" max="12031" width="9.81640625" style="13" customWidth="1"/>
    <col min="12032" max="12032" width="11.1796875" style="13" customWidth="1"/>
    <col min="12033" max="12033" width="2.81640625" style="13" customWidth="1"/>
    <col min="12034" max="12034" width="3.54296875" style="13" customWidth="1"/>
    <col min="12035" max="12279" width="9.1796875" style="13"/>
    <col min="12280" max="12280" width="8.7265625" style="13" customWidth="1"/>
    <col min="12281" max="12281" width="9.81640625" style="13" customWidth="1"/>
    <col min="12282" max="12282" width="14.453125" style="13" customWidth="1"/>
    <col min="12283" max="12283" width="7.26953125" style="13" customWidth="1"/>
    <col min="12284" max="12284" width="5.54296875" style="13" customWidth="1"/>
    <col min="12285" max="12285" width="9" style="13" customWidth="1"/>
    <col min="12286" max="12287" width="9.81640625" style="13" customWidth="1"/>
    <col min="12288" max="12288" width="11.1796875" style="13" customWidth="1"/>
    <col min="12289" max="12289" width="2.81640625" style="13" customWidth="1"/>
    <col min="12290" max="12290" width="3.54296875" style="13" customWidth="1"/>
    <col min="12291" max="12535" width="9.1796875" style="13"/>
    <col min="12536" max="12536" width="8.7265625" style="13" customWidth="1"/>
    <col min="12537" max="12537" width="9.81640625" style="13" customWidth="1"/>
    <col min="12538" max="12538" width="14.453125" style="13" customWidth="1"/>
    <col min="12539" max="12539" width="7.26953125" style="13" customWidth="1"/>
    <col min="12540" max="12540" width="5.54296875" style="13" customWidth="1"/>
    <col min="12541" max="12541" width="9" style="13" customWidth="1"/>
    <col min="12542" max="12543" width="9.81640625" style="13" customWidth="1"/>
    <col min="12544" max="12544" width="11.1796875" style="13" customWidth="1"/>
    <col min="12545" max="12545" width="2.81640625" style="13" customWidth="1"/>
    <col min="12546" max="12546" width="3.54296875" style="13" customWidth="1"/>
    <col min="12547" max="12791" width="9.1796875" style="13"/>
    <col min="12792" max="12792" width="8.7265625" style="13" customWidth="1"/>
    <col min="12793" max="12793" width="9.81640625" style="13" customWidth="1"/>
    <col min="12794" max="12794" width="14.453125" style="13" customWidth="1"/>
    <col min="12795" max="12795" width="7.26953125" style="13" customWidth="1"/>
    <col min="12796" max="12796" width="5.54296875" style="13" customWidth="1"/>
    <col min="12797" max="12797" width="9" style="13" customWidth="1"/>
    <col min="12798" max="12799" width="9.81640625" style="13" customWidth="1"/>
    <col min="12800" max="12800" width="11.1796875" style="13" customWidth="1"/>
    <col min="12801" max="12801" width="2.81640625" style="13" customWidth="1"/>
    <col min="12802" max="12802" width="3.54296875" style="13" customWidth="1"/>
    <col min="12803" max="13047" width="9.1796875" style="13"/>
    <col min="13048" max="13048" width="8.7265625" style="13" customWidth="1"/>
    <col min="13049" max="13049" width="9.81640625" style="13" customWidth="1"/>
    <col min="13050" max="13050" width="14.453125" style="13" customWidth="1"/>
    <col min="13051" max="13051" width="7.26953125" style="13" customWidth="1"/>
    <col min="13052" max="13052" width="5.54296875" style="13" customWidth="1"/>
    <col min="13053" max="13053" width="9" style="13" customWidth="1"/>
    <col min="13054" max="13055" width="9.81640625" style="13" customWidth="1"/>
    <col min="13056" max="13056" width="11.1796875" style="13" customWidth="1"/>
    <col min="13057" max="13057" width="2.81640625" style="13" customWidth="1"/>
    <col min="13058" max="13058" width="3.54296875" style="13" customWidth="1"/>
    <col min="13059" max="13303" width="9.1796875" style="13"/>
    <col min="13304" max="13304" width="8.7265625" style="13" customWidth="1"/>
    <col min="13305" max="13305" width="9.81640625" style="13" customWidth="1"/>
    <col min="13306" max="13306" width="14.453125" style="13" customWidth="1"/>
    <col min="13307" max="13307" width="7.26953125" style="13" customWidth="1"/>
    <col min="13308" max="13308" width="5.54296875" style="13" customWidth="1"/>
    <col min="13309" max="13309" width="9" style="13" customWidth="1"/>
    <col min="13310" max="13311" width="9.81640625" style="13" customWidth="1"/>
    <col min="13312" max="13312" width="11.1796875" style="13" customWidth="1"/>
    <col min="13313" max="13313" width="2.81640625" style="13" customWidth="1"/>
    <col min="13314" max="13314" width="3.54296875" style="13" customWidth="1"/>
    <col min="13315" max="13559" width="9.1796875" style="13"/>
    <col min="13560" max="13560" width="8.7265625" style="13" customWidth="1"/>
    <col min="13561" max="13561" width="9.81640625" style="13" customWidth="1"/>
    <col min="13562" max="13562" width="14.453125" style="13" customWidth="1"/>
    <col min="13563" max="13563" width="7.26953125" style="13" customWidth="1"/>
    <col min="13564" max="13564" width="5.54296875" style="13" customWidth="1"/>
    <col min="13565" max="13565" width="9" style="13" customWidth="1"/>
    <col min="13566" max="13567" width="9.81640625" style="13" customWidth="1"/>
    <col min="13568" max="13568" width="11.1796875" style="13" customWidth="1"/>
    <col min="13569" max="13569" width="2.81640625" style="13" customWidth="1"/>
    <col min="13570" max="13570" width="3.54296875" style="13" customWidth="1"/>
    <col min="13571" max="13815" width="9.1796875" style="13"/>
    <col min="13816" max="13816" width="8.7265625" style="13" customWidth="1"/>
    <col min="13817" max="13817" width="9.81640625" style="13" customWidth="1"/>
    <col min="13818" max="13818" width="14.453125" style="13" customWidth="1"/>
    <col min="13819" max="13819" width="7.26953125" style="13" customWidth="1"/>
    <col min="13820" max="13820" width="5.54296875" style="13" customWidth="1"/>
    <col min="13821" max="13821" width="9" style="13" customWidth="1"/>
    <col min="13822" max="13823" width="9.81640625" style="13" customWidth="1"/>
    <col min="13824" max="13824" width="11.1796875" style="13" customWidth="1"/>
    <col min="13825" max="13825" width="2.81640625" style="13" customWidth="1"/>
    <col min="13826" max="13826" width="3.54296875" style="13" customWidth="1"/>
    <col min="13827" max="14071" width="9.1796875" style="13"/>
    <col min="14072" max="14072" width="8.7265625" style="13" customWidth="1"/>
    <col min="14073" max="14073" width="9.81640625" style="13" customWidth="1"/>
    <col min="14074" max="14074" width="14.453125" style="13" customWidth="1"/>
    <col min="14075" max="14075" width="7.26953125" style="13" customWidth="1"/>
    <col min="14076" max="14076" width="5.54296875" style="13" customWidth="1"/>
    <col min="14077" max="14077" width="9" style="13" customWidth="1"/>
    <col min="14078" max="14079" width="9.81640625" style="13" customWidth="1"/>
    <col min="14080" max="14080" width="11.1796875" style="13" customWidth="1"/>
    <col min="14081" max="14081" width="2.81640625" style="13" customWidth="1"/>
    <col min="14082" max="14082" width="3.54296875" style="13" customWidth="1"/>
    <col min="14083" max="14327" width="9.1796875" style="13"/>
    <col min="14328" max="14328" width="8.7265625" style="13" customWidth="1"/>
    <col min="14329" max="14329" width="9.81640625" style="13" customWidth="1"/>
    <col min="14330" max="14330" width="14.453125" style="13" customWidth="1"/>
    <col min="14331" max="14331" width="7.26953125" style="13" customWidth="1"/>
    <col min="14332" max="14332" width="5.54296875" style="13" customWidth="1"/>
    <col min="14333" max="14333" width="9" style="13" customWidth="1"/>
    <col min="14334" max="14335" width="9.81640625" style="13" customWidth="1"/>
    <col min="14336" max="14336" width="11.1796875" style="13" customWidth="1"/>
    <col min="14337" max="14337" width="2.81640625" style="13" customWidth="1"/>
    <col min="14338" max="14338" width="3.54296875" style="13" customWidth="1"/>
    <col min="14339" max="14583" width="9.1796875" style="13"/>
    <col min="14584" max="14584" width="8.7265625" style="13" customWidth="1"/>
    <col min="14585" max="14585" width="9.81640625" style="13" customWidth="1"/>
    <col min="14586" max="14586" width="14.453125" style="13" customWidth="1"/>
    <col min="14587" max="14587" width="7.26953125" style="13" customWidth="1"/>
    <col min="14588" max="14588" width="5.54296875" style="13" customWidth="1"/>
    <col min="14589" max="14589" width="9" style="13" customWidth="1"/>
    <col min="14590" max="14591" width="9.81640625" style="13" customWidth="1"/>
    <col min="14592" max="14592" width="11.1796875" style="13" customWidth="1"/>
    <col min="14593" max="14593" width="2.81640625" style="13" customWidth="1"/>
    <col min="14594" max="14594" width="3.54296875" style="13" customWidth="1"/>
    <col min="14595" max="14839" width="9.1796875" style="13"/>
    <col min="14840" max="14840" width="8.7265625" style="13" customWidth="1"/>
    <col min="14841" max="14841" width="9.81640625" style="13" customWidth="1"/>
    <col min="14842" max="14842" width="14.453125" style="13" customWidth="1"/>
    <col min="14843" max="14843" width="7.26953125" style="13" customWidth="1"/>
    <col min="14844" max="14844" width="5.54296875" style="13" customWidth="1"/>
    <col min="14845" max="14845" width="9" style="13" customWidth="1"/>
    <col min="14846" max="14847" width="9.81640625" style="13" customWidth="1"/>
    <col min="14848" max="14848" width="11.1796875" style="13" customWidth="1"/>
    <col min="14849" max="14849" width="2.81640625" style="13" customWidth="1"/>
    <col min="14850" max="14850" width="3.54296875" style="13" customWidth="1"/>
    <col min="14851" max="15095" width="9.1796875" style="13"/>
    <col min="15096" max="15096" width="8.7265625" style="13" customWidth="1"/>
    <col min="15097" max="15097" width="9.81640625" style="13" customWidth="1"/>
    <col min="15098" max="15098" width="14.453125" style="13" customWidth="1"/>
    <col min="15099" max="15099" width="7.26953125" style="13" customWidth="1"/>
    <col min="15100" max="15100" width="5.54296875" style="13" customWidth="1"/>
    <col min="15101" max="15101" width="9" style="13" customWidth="1"/>
    <col min="15102" max="15103" width="9.81640625" style="13" customWidth="1"/>
    <col min="15104" max="15104" width="11.1796875" style="13" customWidth="1"/>
    <col min="15105" max="15105" width="2.81640625" style="13" customWidth="1"/>
    <col min="15106" max="15106" width="3.54296875" style="13" customWidth="1"/>
    <col min="15107" max="15351" width="9.1796875" style="13"/>
    <col min="15352" max="15352" width="8.7265625" style="13" customWidth="1"/>
    <col min="15353" max="15353" width="9.81640625" style="13" customWidth="1"/>
    <col min="15354" max="15354" width="14.453125" style="13" customWidth="1"/>
    <col min="15355" max="15355" width="7.26953125" style="13" customWidth="1"/>
    <col min="15356" max="15356" width="5.54296875" style="13" customWidth="1"/>
    <col min="15357" max="15357" width="9" style="13" customWidth="1"/>
    <col min="15358" max="15359" width="9.81640625" style="13" customWidth="1"/>
    <col min="15360" max="15360" width="11.1796875" style="13" customWidth="1"/>
    <col min="15361" max="15361" width="2.81640625" style="13" customWidth="1"/>
    <col min="15362" max="15362" width="3.54296875" style="13" customWidth="1"/>
    <col min="15363" max="15607" width="9.1796875" style="13"/>
    <col min="15608" max="15608" width="8.7265625" style="13" customWidth="1"/>
    <col min="15609" max="15609" width="9.81640625" style="13" customWidth="1"/>
    <col min="15610" max="15610" width="14.453125" style="13" customWidth="1"/>
    <col min="15611" max="15611" width="7.26953125" style="13" customWidth="1"/>
    <col min="15612" max="15612" width="5.54296875" style="13" customWidth="1"/>
    <col min="15613" max="15613" width="9" style="13" customWidth="1"/>
    <col min="15614" max="15615" width="9.81640625" style="13" customWidth="1"/>
    <col min="15616" max="15616" width="11.1796875" style="13" customWidth="1"/>
    <col min="15617" max="15617" width="2.81640625" style="13" customWidth="1"/>
    <col min="15618" max="15618" width="3.54296875" style="13" customWidth="1"/>
    <col min="15619" max="15863" width="9.1796875" style="13"/>
    <col min="15864" max="15864" width="8.7265625" style="13" customWidth="1"/>
    <col min="15865" max="15865" width="9.81640625" style="13" customWidth="1"/>
    <col min="15866" max="15866" width="14.453125" style="13" customWidth="1"/>
    <col min="15867" max="15867" width="7.26953125" style="13" customWidth="1"/>
    <col min="15868" max="15868" width="5.54296875" style="13" customWidth="1"/>
    <col min="15869" max="15869" width="9" style="13" customWidth="1"/>
    <col min="15870" max="15871" width="9.81640625" style="13" customWidth="1"/>
    <col min="15872" max="15872" width="11.1796875" style="13" customWidth="1"/>
    <col min="15873" max="15873" width="2.81640625" style="13" customWidth="1"/>
    <col min="15874" max="15874" width="3.54296875" style="13" customWidth="1"/>
    <col min="15875" max="16119" width="9.1796875" style="13"/>
    <col min="16120" max="16120" width="8.7265625" style="13" customWidth="1"/>
    <col min="16121" max="16121" width="9.81640625" style="13" customWidth="1"/>
    <col min="16122" max="16122" width="14.453125" style="13" customWidth="1"/>
    <col min="16123" max="16123" width="7.26953125" style="13" customWidth="1"/>
    <col min="16124" max="16124" width="5.54296875" style="13" customWidth="1"/>
    <col min="16125" max="16125" width="9" style="13" customWidth="1"/>
    <col min="16126" max="16127" width="9.81640625" style="13" customWidth="1"/>
    <col min="16128" max="16128" width="11.1796875" style="13" customWidth="1"/>
    <col min="16129" max="16129" width="2.81640625" style="13" customWidth="1"/>
    <col min="16130" max="16130" width="3.54296875" style="13" customWidth="1"/>
    <col min="16131" max="16384" width="9.1796875" style="13"/>
  </cols>
  <sheetData>
    <row r="1" spans="1:8" ht="46.5" customHeight="1" x14ac:dyDescent="0.35">
      <c r="A1" s="161" t="s">
        <v>233</v>
      </c>
      <c r="B1" s="161"/>
      <c r="C1" s="161"/>
      <c r="D1" s="161"/>
      <c r="E1" s="161"/>
      <c r="F1" s="161"/>
      <c r="G1" s="161"/>
      <c r="H1" s="161"/>
    </row>
    <row r="2" spans="1:8" ht="16.5" customHeight="1" x14ac:dyDescent="0.35">
      <c r="A2" s="84" t="s">
        <v>0</v>
      </c>
      <c r="B2" s="84"/>
      <c r="C2" s="84"/>
      <c r="D2" s="84"/>
      <c r="E2" s="84"/>
      <c r="F2" s="84"/>
      <c r="G2" s="84"/>
      <c r="H2" s="84"/>
    </row>
    <row r="3" spans="1:8" x14ac:dyDescent="0.35">
      <c r="A3" s="162" t="s">
        <v>1</v>
      </c>
      <c r="B3" s="162"/>
      <c r="C3" s="162"/>
      <c r="D3" s="162"/>
      <c r="E3" s="162" t="str">
        <f ca="1">TEXT(TODAY(),"DD/MM/YYYY")</f>
        <v>01/08/2025</v>
      </c>
      <c r="F3" s="162"/>
      <c r="G3" s="162"/>
      <c r="H3" s="162"/>
    </row>
    <row r="4" spans="1:8" ht="15" customHeight="1" x14ac:dyDescent="0.35">
      <c r="A4" s="162" t="s">
        <v>2</v>
      </c>
      <c r="B4" s="162"/>
      <c r="C4" s="162"/>
      <c r="D4" s="162"/>
      <c r="E4" s="162" t="s">
        <v>172</v>
      </c>
      <c r="F4" s="162"/>
      <c r="G4" s="162"/>
      <c r="H4" s="162"/>
    </row>
    <row r="5" spans="1:8" x14ac:dyDescent="0.35">
      <c r="A5" s="162" t="s">
        <v>3</v>
      </c>
      <c r="B5" s="162"/>
      <c r="C5" s="162"/>
      <c r="D5" s="162"/>
      <c r="E5" s="164">
        <v>45869</v>
      </c>
      <c r="F5" s="162"/>
      <c r="G5" s="162"/>
      <c r="H5" s="162"/>
    </row>
    <row r="6" spans="1:8" ht="16.5" customHeight="1" x14ac:dyDescent="0.35">
      <c r="A6" s="162" t="s">
        <v>4</v>
      </c>
      <c r="B6" s="162"/>
      <c r="C6" s="162"/>
      <c r="D6" s="162"/>
      <c r="E6" s="162" t="s">
        <v>173</v>
      </c>
      <c r="F6" s="162"/>
      <c r="G6" s="162"/>
      <c r="H6" s="162"/>
    </row>
    <row r="7" spans="1:8" ht="15" customHeight="1" x14ac:dyDescent="0.35">
      <c r="A7" s="162" t="s">
        <v>5</v>
      </c>
      <c r="B7" s="162"/>
      <c r="C7" s="162"/>
      <c r="D7" s="162"/>
      <c r="E7" s="162" t="str">
        <f>E6</f>
        <v>Mr.Anil Hardasmal Tharwani</v>
      </c>
      <c r="F7" s="162"/>
      <c r="G7" s="162"/>
      <c r="H7" s="162"/>
    </row>
    <row r="8" spans="1:8" x14ac:dyDescent="0.35">
      <c r="A8" s="162" t="s">
        <v>6</v>
      </c>
      <c r="B8" s="162"/>
      <c r="C8" s="162"/>
      <c r="D8" s="162"/>
      <c r="E8" s="102" t="s">
        <v>215</v>
      </c>
      <c r="F8" s="102"/>
      <c r="G8" s="102"/>
      <c r="H8" s="102"/>
    </row>
    <row r="9" spans="1:8" x14ac:dyDescent="0.35">
      <c r="A9" s="162" t="s">
        <v>129</v>
      </c>
      <c r="B9" s="162"/>
      <c r="C9" s="162"/>
      <c r="D9" s="162"/>
      <c r="E9" s="162" t="s">
        <v>174</v>
      </c>
      <c r="F9" s="162"/>
      <c r="G9" s="162"/>
      <c r="H9" s="162"/>
    </row>
    <row r="10" spans="1:8" ht="66.75" customHeight="1" x14ac:dyDescent="0.35">
      <c r="A10" s="162" t="s">
        <v>7</v>
      </c>
      <c r="B10" s="162"/>
      <c r="C10" s="162"/>
      <c r="D10" s="162"/>
      <c r="E10" s="163" t="s">
        <v>240</v>
      </c>
      <c r="F10" s="162"/>
      <c r="G10" s="162"/>
      <c r="H10" s="162"/>
    </row>
    <row r="11" spans="1:8" x14ac:dyDescent="0.35">
      <c r="A11" s="95" t="s">
        <v>8</v>
      </c>
      <c r="B11" s="95"/>
      <c r="C11" s="95"/>
      <c r="D11" s="95"/>
      <c r="E11" s="163" t="s">
        <v>176</v>
      </c>
      <c r="F11" s="163"/>
      <c r="G11" s="163"/>
      <c r="H11" s="163"/>
    </row>
    <row r="12" spans="1:8" ht="47.25" customHeight="1" x14ac:dyDescent="0.35">
      <c r="A12" s="95" t="s">
        <v>9</v>
      </c>
      <c r="B12" s="95"/>
      <c r="C12" s="95"/>
      <c r="D12" s="95"/>
      <c r="E12" s="163" t="s">
        <v>175</v>
      </c>
      <c r="F12" s="162"/>
      <c r="G12" s="162"/>
      <c r="H12" s="162"/>
    </row>
    <row r="13" spans="1:8" ht="48.75" customHeight="1" x14ac:dyDescent="0.35">
      <c r="A13" s="163" t="s">
        <v>10</v>
      </c>
      <c r="B13" s="163"/>
      <c r="C13" s="163" t="str">
        <f>CONCATENATE((IF(OR(E8="",E8="NA"),"",E8)),", ",(IF(OR(A14="",A14="NA"),"",A14)),".",(IF(OR(C14="",C14="NA"),"",C14)),", near ",(IF(OR(C18="",C18="NA"),"",C18)),", ",(IF(OR(C15="",C15="NA"),"",C15)),", ",(IF(OR(G15="",G15="NA"),"",G15)),", ",(IF(OR(C16="",C16="NA"),"",C16)),", ",(IF(OR(C17="",C17="NA"),"",C17)),", ",(IF(OR(G16="",G16="NA"),"",G16))," - ",(IF(OR(G17="",G17="NA"),"",G17)),".")</f>
        <v>Tharwani Solitaire Phase II, III, IV, Survey No.8/1, 8/2, 12/1-12/7, 13/1, 13/2, 14/1-14/4, near Regency Avana, Internal Road, Maharal Khurd, Shahad, Kalyan, Thane - 421301.</v>
      </c>
      <c r="D13" s="163"/>
      <c r="E13" s="163"/>
      <c r="F13" s="163"/>
      <c r="G13" s="163"/>
      <c r="H13" s="163"/>
    </row>
    <row r="14" spans="1:8" x14ac:dyDescent="0.35">
      <c r="A14" s="163" t="s">
        <v>177</v>
      </c>
      <c r="B14" s="163"/>
      <c r="C14" s="163" t="s">
        <v>178</v>
      </c>
      <c r="D14" s="163"/>
      <c r="E14" s="163"/>
      <c r="F14" s="163"/>
      <c r="G14" s="163"/>
      <c r="H14" s="163"/>
    </row>
    <row r="15" spans="1:8" ht="15.75" customHeight="1" x14ac:dyDescent="0.35">
      <c r="A15" s="163" t="s">
        <v>11</v>
      </c>
      <c r="B15" s="163"/>
      <c r="C15" s="162" t="s">
        <v>185</v>
      </c>
      <c r="D15" s="162"/>
      <c r="E15" s="163" t="s">
        <v>77</v>
      </c>
      <c r="F15" s="163"/>
      <c r="G15" s="163" t="s">
        <v>179</v>
      </c>
      <c r="H15" s="163"/>
    </row>
    <row r="16" spans="1:8" x14ac:dyDescent="0.35">
      <c r="A16" s="162" t="s">
        <v>13</v>
      </c>
      <c r="B16" s="162"/>
      <c r="C16" s="163" t="s">
        <v>187</v>
      </c>
      <c r="D16" s="163"/>
      <c r="E16" s="163" t="s">
        <v>12</v>
      </c>
      <c r="F16" s="163"/>
      <c r="G16" s="165" t="s">
        <v>181</v>
      </c>
      <c r="H16" s="165"/>
    </row>
    <row r="17" spans="1:8" x14ac:dyDescent="0.35">
      <c r="A17" s="162" t="s">
        <v>78</v>
      </c>
      <c r="B17" s="162"/>
      <c r="C17" s="163" t="s">
        <v>180</v>
      </c>
      <c r="D17" s="163"/>
      <c r="E17" s="163" t="s">
        <v>14</v>
      </c>
      <c r="F17" s="163"/>
      <c r="G17" s="163">
        <v>421301</v>
      </c>
      <c r="H17" s="163"/>
    </row>
    <row r="18" spans="1:8" ht="32.25" customHeight="1" x14ac:dyDescent="0.35">
      <c r="A18" s="162" t="s">
        <v>130</v>
      </c>
      <c r="B18" s="162"/>
      <c r="C18" s="163" t="s">
        <v>183</v>
      </c>
      <c r="D18" s="163"/>
      <c r="E18" s="163" t="s">
        <v>15</v>
      </c>
      <c r="F18" s="163"/>
      <c r="G18" s="163" t="s">
        <v>186</v>
      </c>
      <c r="H18" s="163"/>
    </row>
    <row r="19" spans="1:8" ht="15" customHeight="1" x14ac:dyDescent="0.35">
      <c r="A19" s="90" t="s">
        <v>81</v>
      </c>
      <c r="B19" s="90"/>
      <c r="C19" s="90"/>
      <c r="D19" s="90"/>
      <c r="E19" s="162" t="s">
        <v>16</v>
      </c>
      <c r="F19" s="162"/>
      <c r="G19" s="162"/>
      <c r="H19" s="162"/>
    </row>
    <row r="20" spans="1:8" ht="18.75" customHeight="1" x14ac:dyDescent="0.35">
      <c r="A20" s="90"/>
      <c r="B20" s="90"/>
      <c r="C20" s="90"/>
      <c r="D20" s="90"/>
      <c r="E20" s="162"/>
      <c r="F20" s="162"/>
      <c r="G20" s="162"/>
      <c r="H20" s="162"/>
    </row>
    <row r="21" spans="1:8" ht="15" customHeight="1" x14ac:dyDescent="0.35">
      <c r="A21" s="90" t="s">
        <v>17</v>
      </c>
      <c r="B21" s="90"/>
      <c r="C21" s="90"/>
      <c r="D21" s="90"/>
      <c r="E21" s="163" t="s">
        <v>18</v>
      </c>
      <c r="F21" s="163"/>
      <c r="G21" s="163"/>
      <c r="H21" s="163"/>
    </row>
    <row r="22" spans="1:8" ht="15" customHeight="1" x14ac:dyDescent="0.35">
      <c r="A22" s="95" t="s">
        <v>19</v>
      </c>
      <c r="B22" s="95"/>
      <c r="C22" s="95"/>
      <c r="D22" s="95"/>
      <c r="E22" s="163" t="str">
        <f>IF(AND(G16="Mumbai"),"Upper Class","Middle Class")</f>
        <v>Middle Class</v>
      </c>
      <c r="F22" s="163"/>
      <c r="G22" s="163"/>
      <c r="H22" s="163"/>
    </row>
    <row r="23" spans="1:8" x14ac:dyDescent="0.35">
      <c r="A23" s="95" t="s">
        <v>20</v>
      </c>
      <c r="B23" s="95"/>
      <c r="C23" s="95"/>
      <c r="D23" s="95"/>
      <c r="E23" s="163" t="s">
        <v>21</v>
      </c>
      <c r="F23" s="163"/>
      <c r="G23" s="163"/>
      <c r="H23" s="163"/>
    </row>
    <row r="24" spans="1:8" ht="15.75" customHeight="1" x14ac:dyDescent="0.35">
      <c r="A24" s="95" t="s">
        <v>22</v>
      </c>
      <c r="B24" s="95"/>
      <c r="C24" s="95"/>
      <c r="D24" s="95"/>
      <c r="E24" s="163" t="str">
        <f>IF(AND(G16="Mumbai"),"Developed","Developing")</f>
        <v>Developing</v>
      </c>
      <c r="F24" s="163"/>
      <c r="G24" s="163"/>
      <c r="H24" s="163"/>
    </row>
    <row r="25" spans="1:8" x14ac:dyDescent="0.35">
      <c r="A25" s="95" t="s">
        <v>23</v>
      </c>
      <c r="B25" s="95"/>
      <c r="C25" s="95"/>
      <c r="D25" s="95"/>
      <c r="E25" s="163" t="s">
        <v>24</v>
      </c>
      <c r="F25" s="163"/>
      <c r="G25" s="163"/>
      <c r="H25" s="163"/>
    </row>
    <row r="26" spans="1:8" ht="15.75" customHeight="1" x14ac:dyDescent="0.35">
      <c r="A26" s="95" t="s">
        <v>86</v>
      </c>
      <c r="B26" s="95"/>
      <c r="C26" s="95"/>
      <c r="D26" s="95"/>
      <c r="E26" s="163" t="s">
        <v>87</v>
      </c>
      <c r="F26" s="163"/>
      <c r="G26" s="163"/>
      <c r="H26" s="163"/>
    </row>
    <row r="27" spans="1:8" ht="15" customHeight="1" x14ac:dyDescent="0.35">
      <c r="A27" s="95" t="s">
        <v>35</v>
      </c>
      <c r="B27" s="95"/>
      <c r="C27" s="95"/>
      <c r="D27" s="95"/>
      <c r="E27" s="163" t="str">
        <f>IF(AND(ISNUMBER(SEARCH("Flat",D58)),ISNUMBER(SEARCH("Shop",D58)),ISNUMBER(SEARCH("Office",D58))),"Residential + Commercial",IF(AND(ISNUMBER(SEARCH("Flat",D58)),ISNUMBER(SEARCH("Shop",D58))),"Residential + Commercial",IF(AND(ISNUMBER(SEARCH("Flat",D58)),ISNUMBER(SEARCH("Office",D58))),"Residential + Commercial",IF(AND(ISNUMBER(SEARCH("Shop",D58)),ISNUMBER(SEARCH("Office",D58))),"Commercial",IF(ISNUMBER(SEARCH("Shop",D58)),"Commercial",IF(ISNUMBER(SEARCH("Office",D58)),"Commercial",IF(ISNUMBER(SEARCH("Flat",D58)),"Residentail")))))))</f>
        <v>Residentail</v>
      </c>
      <c r="F27" s="163"/>
      <c r="G27" s="163"/>
      <c r="H27" s="163"/>
    </row>
    <row r="28" spans="1:8" ht="15.75" customHeight="1" x14ac:dyDescent="0.35">
      <c r="A28" s="95" t="s">
        <v>98</v>
      </c>
      <c r="B28" s="95"/>
      <c r="C28" s="95"/>
      <c r="D28" s="95"/>
      <c r="E28" s="163" t="s">
        <v>36</v>
      </c>
      <c r="F28" s="163"/>
      <c r="G28" s="163"/>
      <c r="H28" s="163"/>
    </row>
    <row r="29" spans="1:8" s="14" customFormat="1" x14ac:dyDescent="0.35">
      <c r="A29" s="169" t="s">
        <v>99</v>
      </c>
      <c r="B29" s="169"/>
      <c r="C29" s="168" t="s">
        <v>29</v>
      </c>
      <c r="D29" s="168"/>
      <c r="E29" s="168"/>
      <c r="F29" s="168" t="s">
        <v>31</v>
      </c>
      <c r="G29" s="168"/>
      <c r="H29" s="168"/>
    </row>
    <row r="30" spans="1:8" s="14" customFormat="1" x14ac:dyDescent="0.35">
      <c r="A30" s="166" t="s">
        <v>25</v>
      </c>
      <c r="B30" s="166" t="s">
        <v>30</v>
      </c>
      <c r="C30" s="167" t="s">
        <v>30</v>
      </c>
      <c r="D30" s="167"/>
      <c r="E30" s="167"/>
      <c r="F30" s="167" t="s">
        <v>184</v>
      </c>
      <c r="G30" s="167"/>
      <c r="H30" s="167"/>
    </row>
    <row r="31" spans="1:8" x14ac:dyDescent="0.35">
      <c r="A31" s="166" t="s">
        <v>26</v>
      </c>
      <c r="B31" s="166" t="s">
        <v>30</v>
      </c>
      <c r="C31" s="167" t="s">
        <v>30</v>
      </c>
      <c r="D31" s="167"/>
      <c r="E31" s="167"/>
      <c r="F31" s="167" t="s">
        <v>183</v>
      </c>
      <c r="G31" s="167"/>
      <c r="H31" s="167"/>
    </row>
    <row r="32" spans="1:8" s="14" customFormat="1" x14ac:dyDescent="0.35">
      <c r="A32" s="166" t="s">
        <v>28</v>
      </c>
      <c r="B32" s="166" t="s">
        <v>30</v>
      </c>
      <c r="C32" s="167" t="s">
        <v>30</v>
      </c>
      <c r="D32" s="167"/>
      <c r="E32" s="167"/>
      <c r="F32" s="167" t="s">
        <v>182</v>
      </c>
      <c r="G32" s="167"/>
      <c r="H32" s="167"/>
    </row>
    <row r="33" spans="1:8" x14ac:dyDescent="0.35">
      <c r="A33" s="166" t="s">
        <v>27</v>
      </c>
      <c r="B33" s="166" t="s">
        <v>30</v>
      </c>
      <c r="C33" s="167" t="s">
        <v>30</v>
      </c>
      <c r="D33" s="167"/>
      <c r="E33" s="167"/>
      <c r="F33" s="167" t="s">
        <v>185</v>
      </c>
      <c r="G33" s="167"/>
      <c r="H33" s="167"/>
    </row>
    <row r="34" spans="1:8" x14ac:dyDescent="0.35">
      <c r="A34" s="162" t="s">
        <v>32</v>
      </c>
      <c r="B34" s="162"/>
      <c r="C34" s="162"/>
      <c r="D34" s="162"/>
      <c r="E34" s="162"/>
      <c r="F34" s="162"/>
      <c r="G34" s="162"/>
      <c r="H34" s="162"/>
    </row>
    <row r="35" spans="1:8" ht="15.75" customHeight="1" x14ac:dyDescent="0.35">
      <c r="A35" s="168" t="s">
        <v>33</v>
      </c>
      <c r="B35" s="168"/>
      <c r="C35" s="166">
        <v>19.2478315</v>
      </c>
      <c r="D35" s="166"/>
      <c r="E35" s="168" t="s">
        <v>34</v>
      </c>
      <c r="F35" s="168"/>
      <c r="G35" s="167">
        <v>73.175908199999995</v>
      </c>
      <c r="H35" s="167"/>
    </row>
    <row r="36" spans="1:8" ht="15.75" customHeight="1" x14ac:dyDescent="0.35">
      <c r="A36" s="168" t="s">
        <v>234</v>
      </c>
      <c r="B36" s="168"/>
      <c r="C36" s="205" t="s">
        <v>235</v>
      </c>
      <c r="D36" s="206"/>
      <c r="E36" s="206"/>
      <c r="F36" s="206"/>
      <c r="G36" s="206"/>
      <c r="H36" s="207"/>
    </row>
    <row r="37" spans="1:8" x14ac:dyDescent="0.35">
      <c r="A37" s="170" t="s">
        <v>37</v>
      </c>
      <c r="B37" s="170"/>
      <c r="C37" s="170"/>
      <c r="D37" s="170"/>
      <c r="E37" s="170"/>
      <c r="F37" s="170"/>
      <c r="G37" s="170"/>
      <c r="H37" s="170"/>
    </row>
    <row r="38" spans="1:8" x14ac:dyDescent="0.35">
      <c r="A38" s="162" t="s">
        <v>38</v>
      </c>
      <c r="B38" s="162"/>
      <c r="C38" s="162"/>
      <c r="D38" s="162"/>
      <c r="E38" s="176">
        <v>42230.35</v>
      </c>
      <c r="F38" s="176"/>
      <c r="G38" s="176"/>
      <c r="H38" s="176"/>
    </row>
    <row r="39" spans="1:8" x14ac:dyDescent="0.35">
      <c r="A39" s="162" t="s">
        <v>39</v>
      </c>
      <c r="B39" s="162"/>
      <c r="C39" s="162"/>
      <c r="D39" s="162"/>
      <c r="E39" s="178">
        <v>1.1000000000000001</v>
      </c>
      <c r="F39" s="178"/>
      <c r="G39" s="178"/>
      <c r="H39" s="178"/>
    </row>
    <row r="40" spans="1:8" x14ac:dyDescent="0.35">
      <c r="A40" s="162" t="s">
        <v>40</v>
      </c>
      <c r="B40" s="162"/>
      <c r="C40" s="162"/>
      <c r="D40" s="162"/>
      <c r="E40" s="178">
        <f>E42/E38-E39</f>
        <v>-1.1839826097315154E-7</v>
      </c>
      <c r="F40" s="178"/>
      <c r="G40" s="178"/>
      <c r="H40" s="178"/>
    </row>
    <row r="41" spans="1:8" x14ac:dyDescent="0.35">
      <c r="A41" s="162" t="s">
        <v>41</v>
      </c>
      <c r="B41" s="162"/>
      <c r="C41" s="162"/>
      <c r="D41" s="162"/>
      <c r="E41" s="178">
        <f>E39+E40</f>
        <v>1.0999998816017391</v>
      </c>
      <c r="F41" s="178"/>
      <c r="G41" s="178"/>
      <c r="H41" s="178"/>
    </row>
    <row r="42" spans="1:8" x14ac:dyDescent="0.35">
      <c r="A42" s="162" t="s">
        <v>97</v>
      </c>
      <c r="B42" s="162"/>
      <c r="C42" s="162"/>
      <c r="D42" s="162"/>
      <c r="E42" s="179">
        <v>46453.38</v>
      </c>
      <c r="F42" s="179"/>
      <c r="G42" s="179"/>
      <c r="H42" s="179"/>
    </row>
    <row r="43" spans="1:8" x14ac:dyDescent="0.35">
      <c r="A43" s="162" t="s">
        <v>42</v>
      </c>
      <c r="B43" s="162"/>
      <c r="C43" s="162"/>
      <c r="D43" s="162"/>
      <c r="E43" s="162" t="s">
        <v>204</v>
      </c>
      <c r="F43" s="162"/>
      <c r="G43" s="162"/>
      <c r="H43" s="162"/>
    </row>
    <row r="44" spans="1:8" x14ac:dyDescent="0.35">
      <c r="A44" s="170" t="s">
        <v>43</v>
      </c>
      <c r="B44" s="170"/>
      <c r="C44" s="170"/>
      <c r="D44" s="170"/>
      <c r="E44" s="170"/>
      <c r="F44" s="170"/>
      <c r="G44" s="170"/>
      <c r="H44" s="170"/>
    </row>
    <row r="45" spans="1:8" ht="33.75" customHeight="1" x14ac:dyDescent="0.35">
      <c r="A45" s="70" t="s">
        <v>159</v>
      </c>
      <c r="B45" s="71"/>
      <c r="C45" s="174" t="s">
        <v>217</v>
      </c>
      <c r="D45" s="175"/>
      <c r="E45" s="175"/>
      <c r="F45" s="175"/>
      <c r="G45" s="175"/>
      <c r="H45" s="173"/>
    </row>
    <row r="46" spans="1:8" ht="32.25" customHeight="1" x14ac:dyDescent="0.35">
      <c r="A46" s="70" t="s">
        <v>44</v>
      </c>
      <c r="B46" s="71"/>
      <c r="C46" s="72" t="s">
        <v>188</v>
      </c>
      <c r="D46" s="73"/>
      <c r="E46" s="74"/>
      <c r="F46" s="15" t="s">
        <v>45</v>
      </c>
      <c r="G46" s="75">
        <v>44383</v>
      </c>
      <c r="H46" s="74"/>
    </row>
    <row r="47" spans="1:8" ht="33.75" customHeight="1" x14ac:dyDescent="0.35">
      <c r="A47" s="70" t="s">
        <v>46</v>
      </c>
      <c r="B47" s="71"/>
      <c r="C47" s="72" t="str">
        <f>C46</f>
        <v>BS/Sudharit/BP/Muje Maharal/T.kalyan/SS thane/1215</v>
      </c>
      <c r="D47" s="73"/>
      <c r="E47" s="74"/>
      <c r="F47" s="15" t="s">
        <v>45</v>
      </c>
      <c r="G47" s="75">
        <f>G46</f>
        <v>44383</v>
      </c>
      <c r="H47" s="74"/>
    </row>
    <row r="48" spans="1:8" s="16" customFormat="1" ht="31.5" customHeight="1" x14ac:dyDescent="0.35">
      <c r="A48" s="76" t="s">
        <v>163</v>
      </c>
      <c r="B48" s="77"/>
      <c r="C48" s="72" t="s">
        <v>189</v>
      </c>
      <c r="D48" s="73"/>
      <c r="E48" s="74"/>
      <c r="F48" s="15" t="s">
        <v>45</v>
      </c>
      <c r="G48" s="75">
        <v>44383</v>
      </c>
      <c r="H48" s="74"/>
    </row>
    <row r="49" spans="1:9" s="16" customFormat="1" ht="31.5" customHeight="1" x14ac:dyDescent="0.35">
      <c r="A49" s="78"/>
      <c r="B49" s="79"/>
      <c r="C49" s="70" t="s">
        <v>214</v>
      </c>
      <c r="D49" s="80"/>
      <c r="E49" s="80"/>
      <c r="F49" s="80"/>
      <c r="G49" s="80"/>
      <c r="H49" s="71"/>
    </row>
    <row r="50" spans="1:9" ht="33.75" customHeight="1" x14ac:dyDescent="0.35">
      <c r="A50" s="70" t="s">
        <v>229</v>
      </c>
      <c r="B50" s="71"/>
      <c r="C50" s="72" t="s">
        <v>228</v>
      </c>
      <c r="D50" s="73"/>
      <c r="E50" s="74"/>
      <c r="F50" s="15" t="s">
        <v>45</v>
      </c>
      <c r="G50" s="75">
        <v>42832</v>
      </c>
      <c r="H50" s="74"/>
    </row>
    <row r="51" spans="1:9" s="16" customFormat="1" ht="31.5" customHeight="1" x14ac:dyDescent="0.35">
      <c r="A51" s="76" t="s">
        <v>163</v>
      </c>
      <c r="B51" s="77"/>
      <c r="C51" s="72" t="s">
        <v>228</v>
      </c>
      <c r="D51" s="73"/>
      <c r="E51" s="74"/>
      <c r="F51" s="15" t="s">
        <v>45</v>
      </c>
      <c r="G51" s="75">
        <f>G50</f>
        <v>42832</v>
      </c>
      <c r="H51" s="74"/>
    </row>
    <row r="52" spans="1:9" s="16" customFormat="1" ht="17.5" customHeight="1" x14ac:dyDescent="0.35">
      <c r="A52" s="78"/>
      <c r="B52" s="79"/>
      <c r="C52" s="70" t="s">
        <v>230</v>
      </c>
      <c r="D52" s="80"/>
      <c r="E52" s="80"/>
      <c r="F52" s="80"/>
      <c r="G52" s="80"/>
      <c r="H52" s="71"/>
    </row>
    <row r="53" spans="1:9" ht="64.5" customHeight="1" x14ac:dyDescent="0.35">
      <c r="A53" s="108" t="s">
        <v>47</v>
      </c>
      <c r="B53" s="109"/>
      <c r="C53" s="108" t="s">
        <v>190</v>
      </c>
      <c r="D53" s="110"/>
      <c r="E53" s="109"/>
      <c r="F53" s="17" t="s">
        <v>45</v>
      </c>
      <c r="G53" s="172">
        <v>43753</v>
      </c>
      <c r="H53" s="173"/>
    </row>
    <row r="54" spans="1:9" ht="64.5" customHeight="1" x14ac:dyDescent="0.35">
      <c r="A54" s="108" t="s">
        <v>47</v>
      </c>
      <c r="B54" s="109"/>
      <c r="C54" s="108" t="s">
        <v>191</v>
      </c>
      <c r="D54" s="110"/>
      <c r="E54" s="109"/>
      <c r="F54" s="17" t="s">
        <v>45</v>
      </c>
      <c r="G54" s="172">
        <v>44550</v>
      </c>
      <c r="H54" s="173"/>
    </row>
    <row r="55" spans="1:9" ht="64.5" customHeight="1" x14ac:dyDescent="0.35">
      <c r="A55" s="91" t="s">
        <v>47</v>
      </c>
      <c r="B55" s="91"/>
      <c r="C55" s="91" t="s">
        <v>237</v>
      </c>
      <c r="D55" s="91"/>
      <c r="E55" s="91"/>
      <c r="F55" s="17" t="s">
        <v>45</v>
      </c>
      <c r="G55" s="209">
        <v>44935</v>
      </c>
      <c r="H55" s="102"/>
    </row>
    <row r="56" spans="1:9" x14ac:dyDescent="0.35">
      <c r="A56" s="154" t="s">
        <v>49</v>
      </c>
      <c r="B56" s="154"/>
      <c r="C56" s="154"/>
      <c r="D56" s="154"/>
      <c r="E56" s="154"/>
      <c r="F56" s="154"/>
      <c r="G56" s="154"/>
      <c r="H56" s="154"/>
    </row>
    <row r="57" spans="1:9" x14ac:dyDescent="0.35">
      <c r="A57" s="90" t="s">
        <v>96</v>
      </c>
      <c r="B57" s="90"/>
      <c r="C57" s="90"/>
      <c r="D57" s="95">
        <f>E42</f>
        <v>46453.38</v>
      </c>
      <c r="E57" s="95"/>
      <c r="F57" s="95"/>
      <c r="G57" s="95"/>
      <c r="H57" s="95"/>
    </row>
    <row r="58" spans="1:9" ht="48.75" customHeight="1" x14ac:dyDescent="0.35">
      <c r="A58" s="163" t="s">
        <v>50</v>
      </c>
      <c r="B58" s="162"/>
      <c r="C58" s="162"/>
      <c r="D58" s="163" t="s">
        <v>225</v>
      </c>
      <c r="E58" s="162"/>
      <c r="F58" s="162"/>
      <c r="G58" s="162"/>
      <c r="H58" s="162"/>
      <c r="I58" s="18"/>
    </row>
    <row r="59" spans="1:9" ht="96.75" customHeight="1" x14ac:dyDescent="0.35">
      <c r="A59" s="163" t="s">
        <v>51</v>
      </c>
      <c r="B59" s="163"/>
      <c r="C59" s="163"/>
      <c r="D59" s="163" t="s">
        <v>205</v>
      </c>
      <c r="E59" s="162"/>
      <c r="F59" s="162"/>
      <c r="G59" s="162"/>
      <c r="H59" s="162"/>
    </row>
    <row r="60" spans="1:9" ht="31.5" customHeight="1" x14ac:dyDescent="0.35">
      <c r="A60" s="104" t="s">
        <v>94</v>
      </c>
      <c r="B60" s="105"/>
      <c r="C60" s="105"/>
      <c r="D60" s="72" t="s">
        <v>206</v>
      </c>
      <c r="E60" s="73"/>
      <c r="F60" s="73"/>
      <c r="G60" s="73"/>
      <c r="H60" s="74"/>
    </row>
    <row r="61" spans="1:9" ht="32.5" customHeight="1" x14ac:dyDescent="0.35">
      <c r="A61" s="106"/>
      <c r="B61" s="180"/>
      <c r="C61" s="180"/>
      <c r="D61" s="104" t="s">
        <v>241</v>
      </c>
      <c r="E61" s="100"/>
      <c r="F61" s="100"/>
      <c r="G61" s="100"/>
      <c r="H61" s="101"/>
    </row>
    <row r="62" spans="1:9" ht="15.75" customHeight="1" x14ac:dyDescent="0.35">
      <c r="A62" s="106"/>
      <c r="B62" s="180"/>
      <c r="C62" s="180"/>
      <c r="D62" s="99" t="s">
        <v>192</v>
      </c>
      <c r="E62" s="100"/>
      <c r="F62" s="100"/>
      <c r="G62" s="100"/>
      <c r="H62" s="101"/>
    </row>
    <row r="63" spans="1:9" x14ac:dyDescent="0.35">
      <c r="A63" s="106"/>
      <c r="B63" s="180"/>
      <c r="C63" s="180"/>
      <c r="D63" s="211" t="s">
        <v>193</v>
      </c>
      <c r="E63" s="210"/>
      <c r="F63" s="210"/>
      <c r="G63" s="210"/>
      <c r="H63" s="107"/>
    </row>
    <row r="64" spans="1:9" ht="15.75" customHeight="1" x14ac:dyDescent="0.35">
      <c r="A64" s="181"/>
      <c r="B64" s="182"/>
      <c r="C64" s="182"/>
      <c r="D64" s="96" t="s">
        <v>194</v>
      </c>
      <c r="E64" s="97"/>
      <c r="F64" s="97"/>
      <c r="G64" s="97"/>
      <c r="H64" s="98"/>
    </row>
    <row r="65" spans="1:14" ht="49.5" customHeight="1" x14ac:dyDescent="0.35">
      <c r="A65" s="95" t="s">
        <v>48</v>
      </c>
      <c r="B65" s="95"/>
      <c r="C65" s="95"/>
      <c r="D65" s="171" t="s">
        <v>248</v>
      </c>
      <c r="E65" s="171"/>
      <c r="F65" s="171"/>
      <c r="G65" s="171"/>
      <c r="H65" s="171"/>
      <c r="J65" s="19"/>
      <c r="K65" s="18"/>
      <c r="N65" s="18"/>
    </row>
    <row r="66" spans="1:14" ht="15.75" customHeight="1" x14ac:dyDescent="0.35">
      <c r="A66" s="95" t="s">
        <v>92</v>
      </c>
      <c r="B66" s="95"/>
      <c r="C66" s="95"/>
      <c r="D66" s="177" t="str">
        <f ca="1">(IF(G53="NA","60 Years After Completion",IF(G53&lt;&gt;"NA",""&amp;60-ROUNDDOWN((E3-G53)/360,0)&amp;" Years"," ")))</f>
        <v>55 Years</v>
      </c>
      <c r="E66" s="177"/>
      <c r="F66" s="177"/>
      <c r="G66" s="177"/>
      <c r="H66" s="177"/>
      <c r="N66" s="18"/>
    </row>
    <row r="67" spans="1:14" ht="15.75" customHeight="1" x14ac:dyDescent="0.35">
      <c r="A67" s="95" t="s">
        <v>92</v>
      </c>
      <c r="B67" s="95"/>
      <c r="C67" s="95"/>
      <c r="D67" s="177" t="s">
        <v>218</v>
      </c>
      <c r="E67" s="177"/>
      <c r="F67" s="177"/>
      <c r="G67" s="177"/>
      <c r="H67" s="177"/>
      <c r="N67" s="18"/>
    </row>
    <row r="68" spans="1:14" ht="15.75" customHeight="1" x14ac:dyDescent="0.35">
      <c r="A68" s="95" t="s">
        <v>93</v>
      </c>
      <c r="B68" s="95"/>
      <c r="C68" s="95"/>
      <c r="D68" s="90" t="s">
        <v>24</v>
      </c>
      <c r="E68" s="90"/>
      <c r="F68" s="90"/>
      <c r="G68" s="90"/>
      <c r="H68" s="90"/>
      <c r="J68" s="20"/>
      <c r="K68" s="20"/>
    </row>
    <row r="69" spans="1:14" ht="31.5" customHeight="1" x14ac:dyDescent="0.35">
      <c r="A69" s="95" t="s">
        <v>79</v>
      </c>
      <c r="B69" s="95"/>
      <c r="C69" s="95"/>
      <c r="D69" s="163" t="s">
        <v>219</v>
      </c>
      <c r="E69" s="90"/>
      <c r="F69" s="90"/>
      <c r="G69" s="90"/>
      <c r="H69" s="90"/>
    </row>
    <row r="70" spans="1:14" x14ac:dyDescent="0.35">
      <c r="A70" s="90" t="s">
        <v>156</v>
      </c>
      <c r="B70" s="90"/>
      <c r="C70" s="90"/>
      <c r="D70" s="90" t="s">
        <v>30</v>
      </c>
      <c r="E70" s="90"/>
      <c r="F70" s="90"/>
      <c r="G70" s="90"/>
      <c r="H70" s="90"/>
      <c r="I70" s="21"/>
      <c r="J70" s="21"/>
      <c r="K70" s="21"/>
      <c r="L70" s="21"/>
      <c r="M70" s="21"/>
      <c r="N70" s="21"/>
    </row>
    <row r="71" spans="1:14" ht="15.75" customHeight="1" x14ac:dyDescent="0.35">
      <c r="A71" s="160" t="s">
        <v>91</v>
      </c>
      <c r="B71" s="160"/>
      <c r="C71" s="160"/>
      <c r="D71" s="159" t="str">
        <f ca="1">(IF(G79&gt;95%,"Nothing",IF(G79&gt;0%,"Cement, Aggregate, Steel, etc",IF(G79=0%,"Work not yet Started"))))</f>
        <v>Nothing</v>
      </c>
      <c r="E71" s="159"/>
      <c r="F71" s="159"/>
      <c r="G71" s="159"/>
      <c r="H71" s="159"/>
      <c r="J71" s="20"/>
    </row>
    <row r="72" spans="1:14" ht="33.75" customHeight="1" thickBot="1" x14ac:dyDescent="0.4">
      <c r="A72" s="158" t="s">
        <v>123</v>
      </c>
      <c r="B72" s="158"/>
      <c r="C72" s="158"/>
      <c r="D72" s="159" t="str">
        <f ca="1">(IF(D71="Nothing","Yes",IF(D71="Cement, Aggregate, Steel, etc","Under Construction",IF(D71="Work not yet Started","Work not yet Started"))))</f>
        <v>Yes</v>
      </c>
      <c r="E72" s="159"/>
      <c r="F72" s="159" t="str">
        <f ca="1">(IF(D71="Nothing","Yes",IF(D71="Cement, Aggregate, Steel, etc","Under Construction",IF(D71="Work not yet Started","Work not yet Started"))))</f>
        <v>Yes</v>
      </c>
      <c r="G72" s="159"/>
      <c r="H72" s="159"/>
    </row>
    <row r="73" spans="1:14" ht="33.75" customHeight="1" x14ac:dyDescent="0.35">
      <c r="A73" s="112" t="s">
        <v>148</v>
      </c>
      <c r="B73" s="113"/>
      <c r="C73" s="114" t="str">
        <f>D60</f>
        <v>Phase II = Danburite C3, Emerald B5, Fluorite B4, Garnet C2, Ivory G1, Jade C1, Kyanite B3 = Gr/St + 1st to 7th Floor</v>
      </c>
      <c r="D73" s="115"/>
      <c r="E73" s="115"/>
      <c r="F73" s="115"/>
      <c r="G73" s="115"/>
      <c r="H73" s="116"/>
      <c r="I73" s="22" t="str">
        <f ca="1">(IF(E79&gt;99%,"All work completed. Please provide OC.",IF(E79&gt;89.8%,"Plinth, RCC, Brick, Plaster, Flooring, Painting work Completed. Finishing work is in process.",IF(E79&lt;94%,(IF(C79=0,"Work not yet Started.",IF(D79=25%,"Piling work in process",IF(D79=50%,"Excavation work in process",IF(D79=100%,"Excavation work Completed. ","0")))&amp;(IF(C80=0%,"",IF(C80=J81,"Footing work is process",IF(C80=J82,"Footing work Completed",IF(C80=J83,"1st Basement Completed",IF(C80=J84,"1st &amp; 2nd Basement Completed",IF(C80=J85,"1st to 3rd Basement Completed",IF(C80=J86,"1st to 4th Basement Completed",IF(C80=J87,"Plinth work is process",IF(C80=J88,"Plinth work completed","0")))))))))))&amp;(IF(C81=(D74+F74+H74),", RCC Slab Completed",IF(C81&gt;0,", RCC upto "&amp;C81&amp;" Slab Completed",""))&amp;(IF(C82=H74,", Brickwork Completed",IF(C82&gt;0,", Brickwork upto "&amp;C82&amp;" Floor Completed",""))&amp;(IF(C83=H74,", Internal Plaster Completed",IF(C83&gt;0,", Internal Plaster upto "&amp;C83&amp;" Floor Completed",""))&amp;(IF(C84=H74,", External Plaster Completed",IF(C84&gt;0,", External Plaster upto "&amp;C84&amp;" Floor Completed",""))&amp;(IF(C85=H74,", Flooring Completed",IF(C85&gt;0,", Flooring upto "&amp;C85&amp;" Floor Completed",""))&amp;(IF(C86=H74,", Painting Completed",IF(C86&gt;0,", Painting upto "&amp;C86&amp;" Floor Completed",""))&amp;(IF(C87&gt;0,", Finishing upto "&amp;C87&amp;" Floor Completed","")&amp;(IF(C81&gt;0.5,".",""))))))))))))))</f>
        <v>All work completed. Please provide OC.</v>
      </c>
      <c r="J73" s="23"/>
    </row>
    <row r="74" spans="1:14" x14ac:dyDescent="0.35">
      <c r="A74" s="24" t="s">
        <v>150</v>
      </c>
      <c r="B74" s="25">
        <v>0</v>
      </c>
      <c r="C74" s="25" t="s">
        <v>76</v>
      </c>
      <c r="D74" s="25">
        <v>1</v>
      </c>
      <c r="E74" s="25" t="s">
        <v>75</v>
      </c>
      <c r="F74" s="25">
        <v>0</v>
      </c>
      <c r="G74" s="25" t="s">
        <v>85</v>
      </c>
      <c r="H74" s="26">
        <f ca="1">--TRIM(RIGHT(SUBSTITUTE(LEFT(C73,_xlfn.AGGREGATE(16,6,FIND({0,1,2,3,4,5,6,7,8,9},C73,ROW(INDIRECT("1:"&amp;LEN(C73)))),1))," ",REPT(" ",LEN(C73))),LEN(C73)))</f>
        <v>7</v>
      </c>
      <c r="I74" s="20"/>
      <c r="J74" s="27"/>
    </row>
    <row r="75" spans="1:14" x14ac:dyDescent="0.35">
      <c r="A75" s="121" t="s">
        <v>95</v>
      </c>
      <c r="B75" s="102"/>
      <c r="C75" s="91" t="str">
        <f>(IF($G$53="NA",I73,"All work Completed. OC Received."))</f>
        <v>All work Completed. OC Received.</v>
      </c>
      <c r="D75" s="91"/>
      <c r="E75" s="91"/>
      <c r="F75" s="91"/>
      <c r="G75" s="91"/>
      <c r="H75" s="92"/>
      <c r="I75" s="20" t="s">
        <v>110</v>
      </c>
      <c r="J75" s="27"/>
    </row>
    <row r="76" spans="1:14" s="40" customFormat="1" x14ac:dyDescent="0.35">
      <c r="A76" s="191" t="s">
        <v>90</v>
      </c>
      <c r="B76" s="192"/>
      <c r="C76" s="195">
        <v>1</v>
      </c>
      <c r="D76" s="196"/>
      <c r="E76" s="199" t="s">
        <v>89</v>
      </c>
      <c r="F76" s="196"/>
      <c r="G76" s="195">
        <v>1</v>
      </c>
      <c r="H76" s="200"/>
      <c r="I76" s="52"/>
      <c r="J76" s="53"/>
    </row>
    <row r="77" spans="1:14" s="40" customFormat="1" ht="16" thickBot="1" x14ac:dyDescent="0.4">
      <c r="A77" s="193"/>
      <c r="B77" s="194"/>
      <c r="C77" s="197"/>
      <c r="D77" s="198"/>
      <c r="E77" s="197"/>
      <c r="F77" s="198"/>
      <c r="G77" s="197"/>
      <c r="H77" s="201"/>
      <c r="I77" s="52"/>
      <c r="J77" s="53"/>
    </row>
    <row r="78" spans="1:14" ht="15.75" hidden="1" customHeight="1" x14ac:dyDescent="0.35">
      <c r="A78" s="157" t="s">
        <v>52</v>
      </c>
      <c r="B78" s="155"/>
      <c r="C78" s="51" t="s">
        <v>147</v>
      </c>
      <c r="D78" s="51" t="s">
        <v>88</v>
      </c>
      <c r="E78" s="155" t="s">
        <v>90</v>
      </c>
      <c r="F78" s="155"/>
      <c r="G78" s="155" t="s">
        <v>89</v>
      </c>
      <c r="H78" s="156"/>
      <c r="I78" s="28" t="s">
        <v>149</v>
      </c>
      <c r="J78" s="29">
        <f ca="1">H74*25%</f>
        <v>1.75</v>
      </c>
    </row>
    <row r="79" spans="1:14" hidden="1" x14ac:dyDescent="0.35">
      <c r="A79" s="93" t="s">
        <v>136</v>
      </c>
      <c r="B79" s="94"/>
      <c r="C79" s="48">
        <f ca="1">J80</f>
        <v>7</v>
      </c>
      <c r="D79" s="49">
        <f ca="1">((100/H74)*C79)/100</f>
        <v>1</v>
      </c>
      <c r="E79" s="117">
        <f ca="1">(((C80/H74*10)+(40/(D74+F74+H74)*C81)+(7.5/(H74)*C82)+(7.5/(H74)*C83)+(10/H74*C84)+(10/H74*C85)+(5/H74*C86)+(5/H74*C87)+(5/H74*C88))/100)</f>
        <v>1</v>
      </c>
      <c r="F79" s="118"/>
      <c r="G79" s="117">
        <f ca="1">((((C79/H74)*20)+((C80/H74)*25)+(30/(H74+F74+D74)*C81)+(5/H74*C82)+(5/H74*C83)+(5/H74*C84)+(5/H74*C85)+(0/H74*C86)+(0/H74*C87)+(5/H74*C88))/100)</f>
        <v>1</v>
      </c>
      <c r="H79" s="123"/>
      <c r="I79" s="28" t="s">
        <v>105</v>
      </c>
      <c r="J79" s="30">
        <f ca="1">H74*50%</f>
        <v>3.5</v>
      </c>
    </row>
    <row r="80" spans="1:14" hidden="1" x14ac:dyDescent="0.35">
      <c r="A80" s="93" t="s">
        <v>53</v>
      </c>
      <c r="B80" s="94"/>
      <c r="C80" s="48">
        <f ca="1">J88</f>
        <v>7</v>
      </c>
      <c r="D80" s="49">
        <f ca="1">((100/H74)*C80)/100</f>
        <v>1</v>
      </c>
      <c r="E80" s="119"/>
      <c r="F80" s="120"/>
      <c r="G80" s="119"/>
      <c r="H80" s="124"/>
      <c r="I80" s="28" t="s">
        <v>106</v>
      </c>
      <c r="J80" s="30">
        <f ca="1">H74</f>
        <v>7</v>
      </c>
    </row>
    <row r="81" spans="1:10" ht="15.75" hidden="1" customHeight="1" x14ac:dyDescent="0.35">
      <c r="A81" s="93" t="s">
        <v>137</v>
      </c>
      <c r="B81" s="94"/>
      <c r="C81" s="48">
        <f ca="1">D74+H74</f>
        <v>8</v>
      </c>
      <c r="D81" s="49">
        <f ca="1">((100/(D74+F74+H74))*C81)/100</f>
        <v>1</v>
      </c>
      <c r="E81" s="119"/>
      <c r="F81" s="120"/>
      <c r="G81" s="119"/>
      <c r="H81" s="124"/>
      <c r="I81" s="28" t="s">
        <v>107</v>
      </c>
      <c r="J81" s="31">
        <f ca="1">(IF(B74&gt;1,(H74/(B74+2)),H74/4))</f>
        <v>1.75</v>
      </c>
    </row>
    <row r="82" spans="1:10" ht="15.75" hidden="1" customHeight="1" x14ac:dyDescent="0.35">
      <c r="A82" s="93" t="s">
        <v>144</v>
      </c>
      <c r="B82" s="94" t="s">
        <v>138</v>
      </c>
      <c r="C82" s="48">
        <v>7</v>
      </c>
      <c r="D82" s="49">
        <f ca="1">((100/H74)*C82)/100</f>
        <v>1</v>
      </c>
      <c r="E82" s="119"/>
      <c r="F82" s="120"/>
      <c r="G82" s="119"/>
      <c r="H82" s="124"/>
      <c r="I82" s="28" t="s">
        <v>108</v>
      </c>
      <c r="J82" s="31">
        <f ca="1">(IF(B74&gt;1,(H74/(B74+2)+J81),H74/4+J81))</f>
        <v>3.5</v>
      </c>
    </row>
    <row r="83" spans="1:10" ht="15.75" hidden="1" customHeight="1" x14ac:dyDescent="0.35">
      <c r="A83" s="93" t="s">
        <v>145</v>
      </c>
      <c r="B83" s="94" t="s">
        <v>138</v>
      </c>
      <c r="C83" s="48">
        <v>7</v>
      </c>
      <c r="D83" s="49">
        <f ca="1">((100/H74)*C83)/100</f>
        <v>1</v>
      </c>
      <c r="E83" s="119"/>
      <c r="F83" s="120"/>
      <c r="G83" s="119"/>
      <c r="H83" s="124"/>
      <c r="I83" s="28" t="s">
        <v>154</v>
      </c>
      <c r="J83" s="31">
        <f>(IF(B74&gt;1,(H74/(B74+2)+J82),0))</f>
        <v>0</v>
      </c>
    </row>
    <row r="84" spans="1:10" ht="15" hidden="1" customHeight="1" x14ac:dyDescent="0.35">
      <c r="A84" s="93" t="s">
        <v>143</v>
      </c>
      <c r="B84" s="94" t="s">
        <v>140</v>
      </c>
      <c r="C84" s="48">
        <v>7</v>
      </c>
      <c r="D84" s="49">
        <f ca="1">((100/(H74))*C84)/100</f>
        <v>1</v>
      </c>
      <c r="E84" s="119"/>
      <c r="F84" s="120"/>
      <c r="G84" s="119"/>
      <c r="H84" s="124"/>
      <c r="I84" s="28" t="s">
        <v>151</v>
      </c>
      <c r="J84" s="31">
        <f>(IF(B74&gt;2,(H74/(B74+2)+J83),0))</f>
        <v>0</v>
      </c>
    </row>
    <row r="85" spans="1:10" ht="15.75" hidden="1" customHeight="1" x14ac:dyDescent="0.35">
      <c r="A85" s="93" t="s">
        <v>139</v>
      </c>
      <c r="B85" s="94" t="s">
        <v>139</v>
      </c>
      <c r="C85" s="48">
        <v>7</v>
      </c>
      <c r="D85" s="49">
        <f ca="1">((100/H74)*C85)/100</f>
        <v>1</v>
      </c>
      <c r="E85" s="119"/>
      <c r="F85" s="120"/>
      <c r="G85" s="119"/>
      <c r="H85" s="124"/>
      <c r="I85" s="28" t="s">
        <v>152</v>
      </c>
      <c r="J85" s="32">
        <f>(IF(B74&gt;3,(H74/(B74+2)+J84),0))</f>
        <v>0</v>
      </c>
    </row>
    <row r="86" spans="1:10" ht="15.75" hidden="1" customHeight="1" x14ac:dyDescent="0.35">
      <c r="A86" s="93" t="s">
        <v>146</v>
      </c>
      <c r="B86" s="94"/>
      <c r="C86" s="48">
        <v>7</v>
      </c>
      <c r="D86" s="49">
        <f ca="1">((100/H74)*C86)/100</f>
        <v>1</v>
      </c>
      <c r="E86" s="119"/>
      <c r="F86" s="120"/>
      <c r="G86" s="119"/>
      <c r="H86" s="124"/>
      <c r="I86" s="28" t="s">
        <v>153</v>
      </c>
      <c r="J86" s="31">
        <f>(IF(B74&gt;4,(H74/(B74+2)+J85),0))</f>
        <v>0</v>
      </c>
    </row>
    <row r="87" spans="1:10" ht="15.75" hidden="1" customHeight="1" x14ac:dyDescent="0.35">
      <c r="A87" s="93" t="s">
        <v>141</v>
      </c>
      <c r="B87" s="94" t="s">
        <v>141</v>
      </c>
      <c r="C87" s="48">
        <v>7</v>
      </c>
      <c r="D87" s="49">
        <f ca="1">((100/(H74))*C87)/100</f>
        <v>1</v>
      </c>
      <c r="E87" s="119"/>
      <c r="F87" s="120"/>
      <c r="G87" s="119"/>
      <c r="H87" s="124"/>
      <c r="I87" s="28" t="s">
        <v>155</v>
      </c>
      <c r="J87" s="31">
        <f ca="1">(IF(B74=1,(H74/(B74+3)+J82),IF(B74=0,(H74/4+J82),IF(B74&gt;1,0))))</f>
        <v>5.25</v>
      </c>
    </row>
    <row r="88" spans="1:10" ht="16" hidden="1" thickBot="1" x14ac:dyDescent="0.4">
      <c r="A88" s="188" t="s">
        <v>142</v>
      </c>
      <c r="B88" s="189"/>
      <c r="C88" s="66">
        <v>7</v>
      </c>
      <c r="D88" s="61">
        <f ca="1">((100/(H74))*C88)/100</f>
        <v>1</v>
      </c>
      <c r="E88" s="119"/>
      <c r="F88" s="120"/>
      <c r="G88" s="119"/>
      <c r="H88" s="124"/>
      <c r="I88" s="33" t="s">
        <v>109</v>
      </c>
      <c r="J88" s="34">
        <f ca="1">(IF(B74&gt;1.5,(H74/(B74+2)+J82+MAX(0,J83-J82)+MAX(0,J84-J83)+MAX(0,J85-J84)+MAX(0,J86-J85)+MAX(0,J87-J86)),IF(B74=1,(H74/(B74+3)+J87),IF(B74=0,H74/4+J87))))</f>
        <v>7</v>
      </c>
    </row>
    <row r="89" spans="1:10" ht="33" customHeight="1" x14ac:dyDescent="0.35">
      <c r="A89" s="91" t="s">
        <v>148</v>
      </c>
      <c r="B89" s="91"/>
      <c r="C89" s="91" t="str">
        <f>D61</f>
        <v>Phase III = Hiddenite (G2) = Gr/st + 1st to 7th Floor
Phase III = Opal (E1) = Gr/St + 1st to 8th Floor</v>
      </c>
      <c r="D89" s="91"/>
      <c r="E89" s="91"/>
      <c r="F89" s="91"/>
      <c r="G89" s="91"/>
      <c r="H89" s="91"/>
      <c r="I89" s="22" t="str">
        <f ca="1">(IF(E95&gt;99%,"All work completed. Please provide OC.",IF(E95&gt;89.8%,"Plinth, RCC, Brick, Plaster, Flooring, Painting work Completed. Finishing work is in process.",IF(E95&lt;94%,(IF(C95=0,"Work not yet Started.",IF(D95=25%,"Piling work in process",IF(D95=50%,"Excavation work in process",IF(D95=100%,"Excavation work Completed. ","0")))&amp;(IF(C96=0%,"",IF(C96=J97,"Footing work is process",IF(C96=J98,"Footing work Completed",IF(C96=J99,"1st Basement Completed",IF(C96=J100,"1st &amp; 2nd Basement Completed",IF(C96=J101,"1st to 3rd Basement Completed",IF(C96=J102,"1st to 4th Basement Completed",IF(C96=J103,"Plinth work is process",IF(C96=J104,"Plinth work completed","0")))))))))))&amp;(IF(C97=(D90+F90+H90),", RCC Slab Completed",IF(C97&gt;0,", RCC upto "&amp;C97&amp;" Slab Completed",""))&amp;(IF(C98=H90,", Brickwork Completed",IF(C98&gt;0,", Brickwork upto "&amp;C98&amp;" Floor Completed",""))&amp;(IF(C99=H90,", Internal Plaster Completed",IF(C99&gt;0,", Internal Plaster upto "&amp;C99&amp;" Floor Completed",""))&amp;(IF(C100=H90,", External Plaster Completed",IF(C100&gt;0,", External Plaster upto "&amp;C100&amp;" Floor Completed",""))&amp;(IF(C101=H90,", Flooring Completed",IF(C101&gt;0,", Flooring upto "&amp;C101&amp;" Floor Completed",""))&amp;(IF(C102=H90,", Painting Completed",IF(C102&gt;0,", Painting upto "&amp;C102&amp;" Floor Completed",""))&amp;(IF(C103&gt;0,", Finishing upto "&amp;C103&amp;" Floor Completed","")&amp;(IF(C97&gt;0.5,".",""))))))))))))))</f>
        <v>Plinth, RCC, Brick, Plaster, Flooring, Painting work Completed. Finishing work is in process.</v>
      </c>
      <c r="J89" s="23"/>
    </row>
    <row r="90" spans="1:10" hidden="1" x14ac:dyDescent="0.35">
      <c r="A90" s="65" t="s">
        <v>150</v>
      </c>
      <c r="B90" s="65">
        <v>0</v>
      </c>
      <c r="C90" s="65" t="s">
        <v>76</v>
      </c>
      <c r="D90" s="65">
        <v>1</v>
      </c>
      <c r="E90" s="65" t="s">
        <v>75</v>
      </c>
      <c r="F90" s="65">
        <v>0</v>
      </c>
      <c r="G90" s="65" t="s">
        <v>85</v>
      </c>
      <c r="H90" s="65">
        <f ca="1">--TRIM(RIGHT(SUBSTITUTE(LEFT(C89,_xlfn.AGGREGATE(16,6,FIND({0,1,2,3,4,5,6,7,8,9},C89,ROW(INDIRECT("1:"&amp;LEN(C89)))),1))," ",REPT(" ",LEN(C89))),LEN(C89)))</f>
        <v>8</v>
      </c>
      <c r="I90" s="20"/>
      <c r="J90" s="27"/>
    </row>
    <row r="91" spans="1:10" x14ac:dyDescent="0.35">
      <c r="A91" s="102" t="s">
        <v>95</v>
      </c>
      <c r="B91" s="102"/>
      <c r="C91" s="91" t="str">
        <f>(IF($G$53="NA",I89,"All work Completed. OC Received."))</f>
        <v>All work Completed. OC Received.</v>
      </c>
      <c r="D91" s="91"/>
      <c r="E91" s="91"/>
      <c r="F91" s="91"/>
      <c r="G91" s="91"/>
      <c r="H91" s="91"/>
      <c r="I91" s="20" t="s">
        <v>110</v>
      </c>
      <c r="J91" s="27"/>
    </row>
    <row r="92" spans="1:10" s="40" customFormat="1" x14ac:dyDescent="0.35">
      <c r="A92" s="202" t="s">
        <v>90</v>
      </c>
      <c r="B92" s="202"/>
      <c r="C92" s="203">
        <v>1</v>
      </c>
      <c r="D92" s="204"/>
      <c r="E92" s="204" t="s">
        <v>89</v>
      </c>
      <c r="F92" s="204"/>
      <c r="G92" s="203">
        <v>1</v>
      </c>
      <c r="H92" s="204"/>
      <c r="I92" s="52"/>
      <c r="J92" s="53"/>
    </row>
    <row r="93" spans="1:10" s="40" customFormat="1" ht="16" thickBot="1" x14ac:dyDescent="0.4">
      <c r="A93" s="202"/>
      <c r="B93" s="202"/>
      <c r="C93" s="204"/>
      <c r="D93" s="204"/>
      <c r="E93" s="204"/>
      <c r="F93" s="204"/>
      <c r="G93" s="204"/>
      <c r="H93" s="204"/>
      <c r="I93" s="52"/>
      <c r="J93" s="53"/>
    </row>
    <row r="94" spans="1:10" ht="15.75" hidden="1" customHeight="1" x14ac:dyDescent="0.4">
      <c r="A94" s="94" t="s">
        <v>52</v>
      </c>
      <c r="B94" s="94"/>
      <c r="C94" s="63" t="s">
        <v>147</v>
      </c>
      <c r="D94" s="63" t="s">
        <v>88</v>
      </c>
      <c r="E94" s="94" t="s">
        <v>90</v>
      </c>
      <c r="F94" s="94"/>
      <c r="G94" s="94" t="s">
        <v>89</v>
      </c>
      <c r="H94" s="94"/>
      <c r="I94" s="28" t="s">
        <v>149</v>
      </c>
      <c r="J94" s="29">
        <f ca="1">H90*25%</f>
        <v>2</v>
      </c>
    </row>
    <row r="95" spans="1:10" ht="16" hidden="1" thickBot="1" x14ac:dyDescent="0.4">
      <c r="A95" s="94" t="s">
        <v>136</v>
      </c>
      <c r="B95" s="94"/>
      <c r="C95" s="63">
        <f ca="1">J96</f>
        <v>8</v>
      </c>
      <c r="D95" s="49">
        <f ca="1">((100/H90)*C95)/100</f>
        <v>1</v>
      </c>
      <c r="E95" s="103">
        <f ca="1">(((C96/H90*10)+(40/(D90+F90+H90)*C97)+(7.5/(H90)*C98)+(7.5/(H90)*C99)+(10/H90*C100)+(10/H90*C101)+(5/H90*C102)+(5/H90*C103)+(5/H90*C104))/100)</f>
        <v>0.9375</v>
      </c>
      <c r="F95" s="103"/>
      <c r="G95" s="103">
        <f ca="1">((((C95/H90)*20)+((C96/H90)*25)+(30/(H90+F90+D90)*C97)+(5/H90*C98)+(5/H90*C99)+(5/H90*C100)+(5/H90*C101)+(0/H90*C102)+(0/H90*C103)+(5/H90*C104))/100)</f>
        <v>0.96875</v>
      </c>
      <c r="H95" s="103"/>
      <c r="I95" s="28" t="s">
        <v>105</v>
      </c>
      <c r="J95" s="30">
        <f ca="1">H90*50%</f>
        <v>4</v>
      </c>
    </row>
    <row r="96" spans="1:10" ht="16" hidden="1" thickBot="1" x14ac:dyDescent="0.4">
      <c r="A96" s="94" t="s">
        <v>53</v>
      </c>
      <c r="B96" s="94"/>
      <c r="C96" s="63">
        <f ca="1">J104</f>
        <v>8</v>
      </c>
      <c r="D96" s="49">
        <f ca="1">((100/H90)*C96)/100</f>
        <v>1</v>
      </c>
      <c r="E96" s="103"/>
      <c r="F96" s="103"/>
      <c r="G96" s="103"/>
      <c r="H96" s="103"/>
      <c r="I96" s="28" t="s">
        <v>106</v>
      </c>
      <c r="J96" s="30">
        <f ca="1">H90</f>
        <v>8</v>
      </c>
    </row>
    <row r="97" spans="1:10" ht="15.75" hidden="1" customHeight="1" x14ac:dyDescent="0.4">
      <c r="A97" s="94" t="s">
        <v>137</v>
      </c>
      <c r="B97" s="94"/>
      <c r="C97" s="63">
        <f ca="1">D90+H90</f>
        <v>9</v>
      </c>
      <c r="D97" s="49">
        <f ca="1">((100/(D90+F90+H90))*C97)/100</f>
        <v>1</v>
      </c>
      <c r="E97" s="103"/>
      <c r="F97" s="103"/>
      <c r="G97" s="103"/>
      <c r="H97" s="103"/>
      <c r="I97" s="28" t="s">
        <v>107</v>
      </c>
      <c r="J97" s="31">
        <f ca="1">(IF(B90&gt;1,(H90/(B90+2)),H90/4))</f>
        <v>2</v>
      </c>
    </row>
    <row r="98" spans="1:10" ht="15.75" hidden="1" customHeight="1" x14ac:dyDescent="0.4">
      <c r="A98" s="94" t="s">
        <v>144</v>
      </c>
      <c r="B98" s="94" t="s">
        <v>138</v>
      </c>
      <c r="C98" s="63">
        <v>7</v>
      </c>
      <c r="D98" s="49">
        <f ca="1">((100/H90)*C98)/100</f>
        <v>0.875</v>
      </c>
      <c r="E98" s="103"/>
      <c r="F98" s="103"/>
      <c r="G98" s="103"/>
      <c r="H98" s="103"/>
      <c r="I98" s="28" t="s">
        <v>108</v>
      </c>
      <c r="J98" s="31">
        <f ca="1">(IF(B90&gt;1,(H90/(B90+2)+J97),H90/4+J97))</f>
        <v>4</v>
      </c>
    </row>
    <row r="99" spans="1:10" ht="15.75" hidden="1" customHeight="1" x14ac:dyDescent="0.4">
      <c r="A99" s="94" t="s">
        <v>145</v>
      </c>
      <c r="B99" s="94" t="s">
        <v>138</v>
      </c>
      <c r="C99" s="63">
        <v>7</v>
      </c>
      <c r="D99" s="49">
        <f ca="1">((100/H90)*C99)/100</f>
        <v>0.875</v>
      </c>
      <c r="E99" s="103"/>
      <c r="F99" s="103"/>
      <c r="G99" s="103"/>
      <c r="H99" s="103"/>
      <c r="I99" s="28" t="s">
        <v>154</v>
      </c>
      <c r="J99" s="31">
        <f>(IF(B90&gt;1,(H90/(B90+2)+J98),0))</f>
        <v>0</v>
      </c>
    </row>
    <row r="100" spans="1:10" ht="15" hidden="1" customHeight="1" x14ac:dyDescent="0.4">
      <c r="A100" s="94" t="s">
        <v>143</v>
      </c>
      <c r="B100" s="94" t="s">
        <v>140</v>
      </c>
      <c r="C100" s="63">
        <v>7</v>
      </c>
      <c r="D100" s="49">
        <f ca="1">((100/(H90))*C100)/100</f>
        <v>0.875</v>
      </c>
      <c r="E100" s="103"/>
      <c r="F100" s="103"/>
      <c r="G100" s="103"/>
      <c r="H100" s="103"/>
      <c r="I100" s="28" t="s">
        <v>151</v>
      </c>
      <c r="J100" s="31">
        <f>(IF(B90&gt;2,(H90/(B90+2)+J99),0))</f>
        <v>0</v>
      </c>
    </row>
    <row r="101" spans="1:10" ht="15.75" hidden="1" customHeight="1" x14ac:dyDescent="0.4">
      <c r="A101" s="94" t="s">
        <v>139</v>
      </c>
      <c r="B101" s="94" t="s">
        <v>139</v>
      </c>
      <c r="C101" s="63">
        <v>7</v>
      </c>
      <c r="D101" s="49">
        <f ca="1">((100/H90)*C101)/100</f>
        <v>0.875</v>
      </c>
      <c r="E101" s="103"/>
      <c r="F101" s="103"/>
      <c r="G101" s="103"/>
      <c r="H101" s="103"/>
      <c r="I101" s="28" t="s">
        <v>152</v>
      </c>
      <c r="J101" s="32">
        <f>(IF(B90&gt;3,(H90/(B90+2)+J100),0))</f>
        <v>0</v>
      </c>
    </row>
    <row r="102" spans="1:10" ht="15.75" hidden="1" customHeight="1" x14ac:dyDescent="0.4">
      <c r="A102" s="94" t="s">
        <v>146</v>
      </c>
      <c r="B102" s="94"/>
      <c r="C102" s="63">
        <v>7</v>
      </c>
      <c r="D102" s="49">
        <f ca="1">((100/H90)*C102)/100</f>
        <v>0.875</v>
      </c>
      <c r="E102" s="103"/>
      <c r="F102" s="103"/>
      <c r="G102" s="103"/>
      <c r="H102" s="103"/>
      <c r="I102" s="28" t="s">
        <v>153</v>
      </c>
      <c r="J102" s="31">
        <f>(IF(B90&gt;4,(H90/(B90+2)+J101),0))</f>
        <v>0</v>
      </c>
    </row>
    <row r="103" spans="1:10" ht="15.75" hidden="1" customHeight="1" x14ac:dyDescent="0.4">
      <c r="A103" s="94" t="s">
        <v>141</v>
      </c>
      <c r="B103" s="94" t="s">
        <v>141</v>
      </c>
      <c r="C103" s="63">
        <v>7</v>
      </c>
      <c r="D103" s="49">
        <f ca="1">((100/(H90))*C103)/100</f>
        <v>0.875</v>
      </c>
      <c r="E103" s="103"/>
      <c r="F103" s="103"/>
      <c r="G103" s="103"/>
      <c r="H103" s="103"/>
      <c r="I103" s="28" t="s">
        <v>155</v>
      </c>
      <c r="J103" s="31">
        <f ca="1">(IF(B90=1,(H90/(B90+3)+J98),IF(B90=0,(H90/4+J98),IF(B90&gt;1,0))))</f>
        <v>6</v>
      </c>
    </row>
    <row r="104" spans="1:10" ht="16" hidden="1" thickBot="1" x14ac:dyDescent="0.4">
      <c r="A104" s="94" t="s">
        <v>142</v>
      </c>
      <c r="B104" s="94"/>
      <c r="C104" s="63">
        <v>7</v>
      </c>
      <c r="D104" s="49">
        <f ca="1">((100/(H90))*C104)/100</f>
        <v>0.875</v>
      </c>
      <c r="E104" s="103"/>
      <c r="F104" s="103"/>
      <c r="G104" s="103"/>
      <c r="H104" s="103"/>
      <c r="I104" s="33" t="s">
        <v>109</v>
      </c>
      <c r="J104" s="34">
        <f ca="1">(IF(B90&gt;1.5,(H90/(B90+2)+J98+MAX(0,J99-J98)+MAX(0,J100-J99)+MAX(0,J101-J100)+MAX(0,J102-J101)+MAX(0,J103-J102)),IF(B90=1,(H90/(B90+3)+J103),IF(B90=0,H90/4+J103))))</f>
        <v>8</v>
      </c>
    </row>
    <row r="105" spans="1:10" ht="15.75" hidden="1" customHeight="1" x14ac:dyDescent="0.4">
      <c r="A105" s="91" t="s">
        <v>148</v>
      </c>
      <c r="B105" s="91"/>
      <c r="C105" s="91" t="e">
        <f>#REF!</f>
        <v>#REF!</v>
      </c>
      <c r="D105" s="91"/>
      <c r="E105" s="91"/>
      <c r="F105" s="91"/>
      <c r="G105" s="91"/>
      <c r="H105" s="91"/>
      <c r="I105" s="22" t="e">
        <f ca="1">(IF(E109&gt;99%,"All work completed. Please provide OC.",IF(E109&gt;89.8%,"Plinth, RCC, Brick, Plaster, Flooring, Painting work Completed. Finishing work is in process.",IF(E109&lt;94%,(IF(C109=0,"Work not yet Started.",IF(D109=25%,"Piling work in process",IF(D109=50%,"Excavation work in process",IF(D109=100%,"Excavation work Completed. ","0")))&amp;(IF(C110=0%,"",IF(C110=J111,"Footing work is process",IF(C110=J112,"Footing work Completed",IF(C110=J113,"1st Basement Completed",IF(C110=J114,"1st &amp; 2nd Basement Completed",IF(C110=J115,"1st to 3rd Basement Completed",IF(C110=J116,"1st to 4th Basement Completed",IF(C110=J117,"Plinth work is process",IF(C110=J118,"Plinth work completed","0")))))))))))&amp;(IF(C111=(D106+F106+H106),", RCC Slab Completed",IF(C111&gt;0,", RCC upto "&amp;C111&amp;" Slab Completed",""))&amp;(IF(C112=H106,", Brickwork Completed",IF(C112&gt;0,", Brickwork upto "&amp;C112&amp;" Floor Completed",""))&amp;(IF(C113=H106,", Internal Plaster Completed",IF(C113&gt;0,", Internal Plaster upto "&amp;C113&amp;" Floor Completed",""))&amp;(IF(C114=H106,", External Plaster Completed",IF(C114&gt;0,", External Plaster upto "&amp;C114&amp;" Floor Completed",""))&amp;(IF(C115=H106,", Flooring Completed",IF(C115&gt;0,", Flooring upto "&amp;C115&amp;" Floor Completed",""))&amp;(IF(C116=H106,", Painting Completed",IF(C116&gt;0,", Painting upto "&amp;C116&amp;" Floor Completed",""))&amp;(IF(C117&gt;0,", Finishing upto "&amp;C117&amp;" Floor Completed","")&amp;(IF(C111&gt;0.5,".",""))))))))))))))</f>
        <v>#REF!</v>
      </c>
      <c r="J105" s="23"/>
    </row>
    <row r="106" spans="1:10" ht="16" hidden="1" thickBot="1" x14ac:dyDescent="0.4">
      <c r="A106" s="65" t="s">
        <v>150</v>
      </c>
      <c r="B106" s="65">
        <v>0</v>
      </c>
      <c r="C106" s="65" t="s">
        <v>76</v>
      </c>
      <c r="D106" s="65">
        <v>1</v>
      </c>
      <c r="E106" s="65" t="s">
        <v>75</v>
      </c>
      <c r="F106" s="65">
        <v>0</v>
      </c>
      <c r="G106" s="65" t="s">
        <v>85</v>
      </c>
      <c r="H106" s="65" t="e">
        <f ca="1">--TRIM(RIGHT(SUBSTITUTE(LEFT(C105,_xlfn.AGGREGATE(16,6,FIND({0,1,2,3,4,5,6,7,8,9},C105,ROW(INDIRECT("1:"&amp;LEN(C105)))),1))," ",REPT(" ",LEN(C105))),LEN(C105)))</f>
        <v>#REF!</v>
      </c>
      <c r="I106" s="20"/>
      <c r="J106" s="27"/>
    </row>
    <row r="107" spans="1:10" ht="16.5" hidden="1" customHeight="1" x14ac:dyDescent="0.4">
      <c r="A107" s="102" t="s">
        <v>95</v>
      </c>
      <c r="B107" s="102"/>
      <c r="C107" s="91" t="s">
        <v>236</v>
      </c>
      <c r="D107" s="91"/>
      <c r="E107" s="91"/>
      <c r="F107" s="91"/>
      <c r="G107" s="91"/>
      <c r="H107" s="91"/>
      <c r="I107" s="20" t="s">
        <v>207</v>
      </c>
      <c r="J107" s="27"/>
    </row>
    <row r="108" spans="1:10" ht="15.75" hidden="1" customHeight="1" x14ac:dyDescent="0.4">
      <c r="A108" s="94" t="s">
        <v>52</v>
      </c>
      <c r="B108" s="94"/>
      <c r="C108" s="63" t="s">
        <v>147</v>
      </c>
      <c r="D108" s="63" t="s">
        <v>88</v>
      </c>
      <c r="E108" s="94" t="s">
        <v>90</v>
      </c>
      <c r="F108" s="94"/>
      <c r="G108" s="94" t="s">
        <v>89</v>
      </c>
      <c r="H108" s="94"/>
      <c r="I108" s="28" t="s">
        <v>149</v>
      </c>
      <c r="J108" s="29" t="e">
        <f ca="1">H106*25%</f>
        <v>#REF!</v>
      </c>
    </row>
    <row r="109" spans="1:10" ht="16" hidden="1" thickBot="1" x14ac:dyDescent="0.4">
      <c r="A109" s="94" t="s">
        <v>136</v>
      </c>
      <c r="B109" s="94"/>
      <c r="C109" s="63" t="e">
        <f ca="1">J110</f>
        <v>#REF!</v>
      </c>
      <c r="D109" s="49" t="e">
        <f ca="1">((100/H106)*C109)/100</f>
        <v>#REF!</v>
      </c>
      <c r="E109" s="103" t="e">
        <f ca="1">(((C110/H106*10)+(40/(D106+F106+H106)*C111)+(7.5/(H106)*C112)+(7.5/(H106)*C113)+(10/H106*C114)+(10/H106*C115)+(5/H106*C116)+(5/H106*C117)+(5/H106*C118))/100)</f>
        <v>#REF!</v>
      </c>
      <c r="F109" s="103"/>
      <c r="G109" s="103" t="e">
        <f ca="1">((((C109/H106)*20)+((C110/H106)*25)+(30/(H106+F106+D106)*C111)+(5/H106*C112)+(5/H106*C113)+(5/H106*C114)+(5/H106*C115)+(0/H106*C116)+(0/H106*C117)+(5/H106*C118))/100)</f>
        <v>#REF!</v>
      </c>
      <c r="H109" s="103"/>
      <c r="I109" s="28" t="s">
        <v>105</v>
      </c>
      <c r="J109" s="30" t="e">
        <f ca="1">H106*50%</f>
        <v>#REF!</v>
      </c>
    </row>
    <row r="110" spans="1:10" ht="16" hidden="1" thickBot="1" x14ac:dyDescent="0.4">
      <c r="A110" s="94" t="s">
        <v>53</v>
      </c>
      <c r="B110" s="94"/>
      <c r="C110" s="63" t="e">
        <f ca="1">J118</f>
        <v>#REF!</v>
      </c>
      <c r="D110" s="49" t="e">
        <f ca="1">((100/H106)*C110)/100</f>
        <v>#REF!</v>
      </c>
      <c r="E110" s="103"/>
      <c r="F110" s="103"/>
      <c r="G110" s="103"/>
      <c r="H110" s="103"/>
      <c r="I110" s="28" t="s">
        <v>106</v>
      </c>
      <c r="J110" s="30" t="e">
        <f ca="1">H106</f>
        <v>#REF!</v>
      </c>
    </row>
    <row r="111" spans="1:10" ht="15.75" hidden="1" customHeight="1" x14ac:dyDescent="0.4">
      <c r="A111" s="94" t="s">
        <v>137</v>
      </c>
      <c r="B111" s="94"/>
      <c r="C111" s="63" t="e">
        <f ca="1">D106+H106</f>
        <v>#REF!</v>
      </c>
      <c r="D111" s="49" t="e">
        <f ca="1">((100/(D106+F106+H106))*C111)/100</f>
        <v>#REF!</v>
      </c>
      <c r="E111" s="103"/>
      <c r="F111" s="103"/>
      <c r="G111" s="103"/>
      <c r="H111" s="103"/>
      <c r="I111" s="28" t="s">
        <v>107</v>
      </c>
      <c r="J111" s="31" t="e">
        <f ca="1">(IF(B106&gt;1,(H106/(B106+2)),H106/4))</f>
        <v>#REF!</v>
      </c>
    </row>
    <row r="112" spans="1:10" ht="15.75" hidden="1" customHeight="1" x14ac:dyDescent="0.4">
      <c r="A112" s="94" t="s">
        <v>144</v>
      </c>
      <c r="B112" s="94" t="s">
        <v>138</v>
      </c>
      <c r="C112" s="63">
        <v>8</v>
      </c>
      <c r="D112" s="49" t="e">
        <f ca="1">((100/H106)*C112)/100</f>
        <v>#REF!</v>
      </c>
      <c r="E112" s="103"/>
      <c r="F112" s="103"/>
      <c r="G112" s="103"/>
      <c r="H112" s="103"/>
      <c r="I112" s="28" t="s">
        <v>108</v>
      </c>
      <c r="J112" s="31" t="e">
        <f ca="1">(IF(B106&gt;1,(H106/(B106+2)+J111),H106/4+J111))</f>
        <v>#REF!</v>
      </c>
    </row>
    <row r="113" spans="1:10" ht="15.75" hidden="1" customHeight="1" x14ac:dyDescent="0.4">
      <c r="A113" s="94" t="s">
        <v>145</v>
      </c>
      <c r="B113" s="94" t="s">
        <v>138</v>
      </c>
      <c r="C113" s="63">
        <v>8</v>
      </c>
      <c r="D113" s="49" t="e">
        <f ca="1">((100/H106)*C113)/100</f>
        <v>#REF!</v>
      </c>
      <c r="E113" s="103"/>
      <c r="F113" s="103"/>
      <c r="G113" s="103"/>
      <c r="H113" s="103"/>
      <c r="I113" s="28" t="s">
        <v>154</v>
      </c>
      <c r="J113" s="31">
        <f>(IF(B106&gt;1,(H106/(B106+2)+J112),0))</f>
        <v>0</v>
      </c>
    </row>
    <row r="114" spans="1:10" ht="15" hidden="1" customHeight="1" x14ac:dyDescent="0.4">
      <c r="A114" s="94" t="s">
        <v>143</v>
      </c>
      <c r="B114" s="94" t="s">
        <v>140</v>
      </c>
      <c r="C114" s="63">
        <v>8</v>
      </c>
      <c r="D114" s="49" t="e">
        <f ca="1">((100/(H106))*C114)/100</f>
        <v>#REF!</v>
      </c>
      <c r="E114" s="103"/>
      <c r="F114" s="103"/>
      <c r="G114" s="103"/>
      <c r="H114" s="103"/>
      <c r="I114" s="28" t="s">
        <v>151</v>
      </c>
      <c r="J114" s="31">
        <f>(IF(B106&gt;2,(H106/(B106+2)+J113),0))</f>
        <v>0</v>
      </c>
    </row>
    <row r="115" spans="1:10" ht="15.75" hidden="1" customHeight="1" x14ac:dyDescent="0.4">
      <c r="A115" s="94" t="s">
        <v>139</v>
      </c>
      <c r="B115" s="94" t="s">
        <v>139</v>
      </c>
      <c r="C115" s="63">
        <v>8</v>
      </c>
      <c r="D115" s="49" t="e">
        <f ca="1">((100/H106)*C115)/100</f>
        <v>#REF!</v>
      </c>
      <c r="E115" s="103"/>
      <c r="F115" s="103"/>
      <c r="G115" s="103"/>
      <c r="H115" s="103"/>
      <c r="I115" s="28" t="s">
        <v>152</v>
      </c>
      <c r="J115" s="32">
        <f>(IF(B106&gt;3,(H106/(B106+2)+J114),0))</f>
        <v>0</v>
      </c>
    </row>
    <row r="116" spans="1:10" ht="15.75" hidden="1" customHeight="1" x14ac:dyDescent="0.4">
      <c r="A116" s="94" t="s">
        <v>146</v>
      </c>
      <c r="B116" s="94"/>
      <c r="C116" s="63">
        <v>8</v>
      </c>
      <c r="D116" s="49" t="e">
        <f ca="1">((100/H106)*C116)/100</f>
        <v>#REF!</v>
      </c>
      <c r="E116" s="103"/>
      <c r="F116" s="103"/>
      <c r="G116" s="103"/>
      <c r="H116" s="103"/>
      <c r="I116" s="28" t="s">
        <v>153</v>
      </c>
      <c r="J116" s="31">
        <f>(IF(B106&gt;4,(H106/(B106+2)+J115),0))</f>
        <v>0</v>
      </c>
    </row>
    <row r="117" spans="1:10" ht="15.75" hidden="1" customHeight="1" x14ac:dyDescent="0.4">
      <c r="A117" s="94" t="s">
        <v>141</v>
      </c>
      <c r="B117" s="94" t="s">
        <v>141</v>
      </c>
      <c r="C117" s="63">
        <v>8</v>
      </c>
      <c r="D117" s="49" t="e">
        <f ca="1">((100/(H106))*C117)/100</f>
        <v>#REF!</v>
      </c>
      <c r="E117" s="103"/>
      <c r="F117" s="103"/>
      <c r="G117" s="103"/>
      <c r="H117" s="103"/>
      <c r="I117" s="28" t="s">
        <v>155</v>
      </c>
      <c r="J117" s="31" t="e">
        <f ca="1">(IF(B106=1,(H106/(B106+3)+J112),IF(B106=0,(H106/4+J112),IF(B106&gt;1,0))))</f>
        <v>#REF!</v>
      </c>
    </row>
    <row r="118" spans="1:10" ht="16" hidden="1" thickBot="1" x14ac:dyDescent="0.4">
      <c r="A118" s="94" t="s">
        <v>142</v>
      </c>
      <c r="B118" s="94"/>
      <c r="C118" s="63">
        <v>8</v>
      </c>
      <c r="D118" s="49" t="e">
        <f ca="1">((100/(H106))*C118)/100</f>
        <v>#REF!</v>
      </c>
      <c r="E118" s="103"/>
      <c r="F118" s="103"/>
      <c r="G118" s="103"/>
      <c r="H118" s="103"/>
      <c r="I118" s="33" t="s">
        <v>109</v>
      </c>
      <c r="J118" s="34" t="e">
        <f ca="1">(IF(B106&gt;1.5,(H106/(B106+2)+J112+MAX(0,J113-J112)+MAX(0,J114-J113)+MAX(0,J115-J114)+MAX(0,J116-J115)+MAX(0,J117-J116)),IF(B106=1,(H106/(B106+3)+J117),IF(B106=0,H106/4+J117))))</f>
        <v>#REF!</v>
      </c>
    </row>
    <row r="119" spans="1:10" ht="15.75" customHeight="1" x14ac:dyDescent="0.35">
      <c r="A119" s="91" t="s">
        <v>148</v>
      </c>
      <c r="B119" s="91"/>
      <c r="C119" s="91" t="str">
        <f>D62</f>
        <v>Phase IV = Topaz (H) = Gr/St + P + 1st to 15th Floor</v>
      </c>
      <c r="D119" s="91"/>
      <c r="E119" s="91"/>
      <c r="F119" s="91"/>
      <c r="G119" s="91"/>
      <c r="H119" s="91"/>
      <c r="I119" s="22" t="str">
        <f ca="1">(IF(E123&gt;99%,"All work completed. Please provide OC.",IF(E123&gt;89.8%,"Plinth, RCC, Brick, Plaster, Flooring, Painting work Completed. Finishing work is in process.",IF(E123&lt;94%,(IF(C123=0,"Work not yet Started.",IF(D123=25%,"Piling work in process",IF(D123=50%,"Excavation work in process",IF(D123=100%,"Excavation work Completed. ","0")))&amp;(IF(C124=0%,"",IF(C124=J125,"Footing work is process",IF(C124=J126,"Footing work Completed",IF(C124=J127,"1st Basement Completed",IF(C124=J128,"1st &amp; 2nd Basement Completed",IF(C124=J129,"1st to 3rd Basement Completed",IF(C124=J130,"1st to 4th Basement Completed",IF(C124=J131,"Plinth work is process",IF(C124=J132,"Plinth work completed","0")))))))))))&amp;(IF(C125=(D120+F120+H120),", RCC Slab Completed",IF(C125&gt;0,", RCC upto "&amp;C125&amp;" Slab Completed",""))&amp;(IF(C126=H120,", Brickwork Completed",IF(C126&gt;0,", Brickwork upto "&amp;C126&amp;" Floor Completed",""))&amp;(IF(C127=H120,", Internal Plaster Completed",IF(C127&gt;0,", Internal Plaster upto "&amp;C127&amp;" Floor Completed",""))&amp;(IF(C128=H120,", External Plaster Completed",IF(C128&gt;0,", External Plaster upto "&amp;C128&amp;" Floor Completed",""))&amp;(IF(C129=H120,", Flooring Completed",IF(C129&gt;0,", Flooring upto "&amp;C129&amp;" Floor Completed",""))&amp;(IF(C130=H120,", Painting Completed",IF(C130&gt;0,", Painting upto "&amp;C130&amp;" Floor Completed",""))&amp;(IF(C131&gt;0,", Finishing upto "&amp;C131&amp;" Floor Completed","")&amp;(IF(C125&gt;0.5,".",""))))))))))))))</f>
        <v>Plinth, RCC, Brick, Plaster, Flooring, Painting work Completed. Finishing work is in process.</v>
      </c>
      <c r="J119" s="23"/>
    </row>
    <row r="120" spans="1:10" x14ac:dyDescent="0.35">
      <c r="A120" s="65" t="s">
        <v>150</v>
      </c>
      <c r="B120" s="65">
        <v>0</v>
      </c>
      <c r="C120" s="65" t="s">
        <v>76</v>
      </c>
      <c r="D120" s="65">
        <v>1</v>
      </c>
      <c r="E120" s="65" t="s">
        <v>75</v>
      </c>
      <c r="F120" s="65">
        <v>0</v>
      </c>
      <c r="G120" s="65" t="s">
        <v>85</v>
      </c>
      <c r="H120" s="65">
        <f ca="1">--TRIM(RIGHT(SUBSTITUTE(LEFT(C119,_xlfn.AGGREGATE(16,6,FIND({0,1,2,3,4,5,6,7,8,9},C119,ROW(INDIRECT("1:"&amp;LEN(C119)))),1))," ",REPT(" ",LEN(C119))),LEN(C119)))</f>
        <v>15</v>
      </c>
      <c r="I120" s="20"/>
      <c r="J120" s="27"/>
    </row>
    <row r="121" spans="1:10" ht="33.5" customHeight="1" x14ac:dyDescent="0.35">
      <c r="A121" s="102" t="s">
        <v>95</v>
      </c>
      <c r="B121" s="102"/>
      <c r="C121" s="91" t="str">
        <f ca="1">I119</f>
        <v>Plinth, RCC, Brick, Plaster, Flooring, Painting work Completed. Finishing work is in process.</v>
      </c>
      <c r="D121" s="91"/>
      <c r="E121" s="91"/>
      <c r="F121" s="91"/>
      <c r="G121" s="91"/>
      <c r="H121" s="91"/>
      <c r="I121" s="20" t="s">
        <v>110</v>
      </c>
      <c r="J121" s="27"/>
    </row>
    <row r="122" spans="1:10" ht="15.75" customHeight="1" x14ac:dyDescent="0.35">
      <c r="A122" s="94" t="s">
        <v>52</v>
      </c>
      <c r="B122" s="94"/>
      <c r="C122" s="63" t="s">
        <v>147</v>
      </c>
      <c r="D122" s="63" t="s">
        <v>88</v>
      </c>
      <c r="E122" s="94" t="s">
        <v>90</v>
      </c>
      <c r="F122" s="94"/>
      <c r="G122" s="94" t="s">
        <v>89</v>
      </c>
      <c r="H122" s="94"/>
      <c r="I122" s="28" t="s">
        <v>149</v>
      </c>
      <c r="J122" s="29">
        <f ca="1">H120*25%</f>
        <v>3.75</v>
      </c>
    </row>
    <row r="123" spans="1:10" x14ac:dyDescent="0.35">
      <c r="A123" s="94" t="s">
        <v>136</v>
      </c>
      <c r="B123" s="94"/>
      <c r="C123" s="63">
        <f ca="1">J124</f>
        <v>15</v>
      </c>
      <c r="D123" s="49">
        <f ca="1">((100/H120)*C123)/100</f>
        <v>1</v>
      </c>
      <c r="E123" s="103">
        <f ca="1">(((C124/H120*10)+(40/(D120+F120+H120)*C125)+(7.5/(H120)*C126)+(7.5/(H120)*C127)+(10/H120*C128)+(10/H120*C129)+(5/H120*C130)+(5/H120*C131)+(5/H120*C132))/100)</f>
        <v>0.93</v>
      </c>
      <c r="F123" s="103"/>
      <c r="G123" s="103">
        <f ca="1">((((C123/H120)*20)+((C124/H120)*25)+(30/(H120+F120+D120)*C125)+(5/H120*C126)+(5/H120*C127)+(5/H120*C128)+(5/H120*C129)+(0/H120*C130)+(0/H120*C131)+(5/H120*C132))/100)</f>
        <v>0.95</v>
      </c>
      <c r="H123" s="103"/>
      <c r="I123" s="28" t="s">
        <v>105</v>
      </c>
      <c r="J123" s="30">
        <f ca="1">H120*50%</f>
        <v>7.5</v>
      </c>
    </row>
    <row r="124" spans="1:10" x14ac:dyDescent="0.35">
      <c r="A124" s="94" t="s">
        <v>53</v>
      </c>
      <c r="B124" s="94"/>
      <c r="C124" s="63">
        <f ca="1">J132</f>
        <v>15</v>
      </c>
      <c r="D124" s="49">
        <f ca="1">((100/H120)*C124)/100</f>
        <v>1</v>
      </c>
      <c r="E124" s="103"/>
      <c r="F124" s="103"/>
      <c r="G124" s="103"/>
      <c r="H124" s="103"/>
      <c r="I124" s="28" t="s">
        <v>106</v>
      </c>
      <c r="J124" s="30">
        <f ca="1">H120</f>
        <v>15</v>
      </c>
    </row>
    <row r="125" spans="1:10" ht="15.75" customHeight="1" x14ac:dyDescent="0.35">
      <c r="A125" s="94" t="s">
        <v>137</v>
      </c>
      <c r="B125" s="94"/>
      <c r="C125" s="63">
        <v>16</v>
      </c>
      <c r="D125" s="49">
        <f ca="1">((100/(D120+F120+H120))*C125)/100</f>
        <v>1</v>
      </c>
      <c r="E125" s="103"/>
      <c r="F125" s="103"/>
      <c r="G125" s="103"/>
      <c r="H125" s="103"/>
      <c r="I125" s="28" t="s">
        <v>107</v>
      </c>
      <c r="J125" s="31">
        <f ca="1">(IF(B120&gt;1,(H120/(B120+2)),H120/4))</f>
        <v>3.75</v>
      </c>
    </row>
    <row r="126" spans="1:10" ht="15.75" customHeight="1" x14ac:dyDescent="0.35">
      <c r="A126" s="94" t="s">
        <v>144</v>
      </c>
      <c r="B126" s="94" t="s">
        <v>138</v>
      </c>
      <c r="C126" s="63">
        <v>15</v>
      </c>
      <c r="D126" s="49">
        <f ca="1">((100/H120)*C126)/100</f>
        <v>1</v>
      </c>
      <c r="E126" s="103"/>
      <c r="F126" s="103"/>
      <c r="G126" s="103"/>
      <c r="H126" s="103"/>
      <c r="I126" s="28" t="s">
        <v>108</v>
      </c>
      <c r="J126" s="31">
        <f ca="1">(IF(B120&gt;1,(H120/(B120+2)+J125),H120/4+J125))</f>
        <v>7.5</v>
      </c>
    </row>
    <row r="127" spans="1:10" ht="15.75" customHeight="1" x14ac:dyDescent="0.35">
      <c r="A127" s="94" t="s">
        <v>145</v>
      </c>
      <c r="B127" s="94" t="s">
        <v>138</v>
      </c>
      <c r="C127" s="63">
        <v>15</v>
      </c>
      <c r="D127" s="49">
        <f ca="1">((100/H120)*C127)/100</f>
        <v>1</v>
      </c>
      <c r="E127" s="103"/>
      <c r="F127" s="103"/>
      <c r="G127" s="103"/>
      <c r="H127" s="103"/>
      <c r="I127" s="28" t="s">
        <v>154</v>
      </c>
      <c r="J127" s="31">
        <f>(IF(B120&gt;1,(H120/(B120+2)+J126),0))</f>
        <v>0</v>
      </c>
    </row>
    <row r="128" spans="1:10" ht="15" customHeight="1" x14ac:dyDescent="0.35">
      <c r="A128" s="94" t="s">
        <v>143</v>
      </c>
      <c r="B128" s="94" t="s">
        <v>140</v>
      </c>
      <c r="C128" s="63">
        <v>15</v>
      </c>
      <c r="D128" s="49">
        <f ca="1">((100/(H120))*C128)/100</f>
        <v>1</v>
      </c>
      <c r="E128" s="103"/>
      <c r="F128" s="103"/>
      <c r="G128" s="103"/>
      <c r="H128" s="103"/>
      <c r="I128" s="28" t="s">
        <v>151</v>
      </c>
      <c r="J128" s="31">
        <f>(IF(B120&gt;2,(H120/(B120+2)+J127),0))</f>
        <v>0</v>
      </c>
    </row>
    <row r="129" spans="1:10" ht="15.75" customHeight="1" x14ac:dyDescent="0.35">
      <c r="A129" s="94" t="s">
        <v>139</v>
      </c>
      <c r="B129" s="94" t="s">
        <v>139</v>
      </c>
      <c r="C129" s="63">
        <v>15</v>
      </c>
      <c r="D129" s="49">
        <f ca="1">((100/H120)*C129)/100</f>
        <v>1</v>
      </c>
      <c r="E129" s="103"/>
      <c r="F129" s="103"/>
      <c r="G129" s="103"/>
      <c r="H129" s="103"/>
      <c r="I129" s="28" t="s">
        <v>152</v>
      </c>
      <c r="J129" s="32">
        <f>(IF(B120&gt;3,(H120/(B120+2)+J128),0))</f>
        <v>0</v>
      </c>
    </row>
    <row r="130" spans="1:10" ht="15.75" customHeight="1" x14ac:dyDescent="0.35">
      <c r="A130" s="94" t="s">
        <v>146</v>
      </c>
      <c r="B130" s="94"/>
      <c r="C130" s="63">
        <v>14</v>
      </c>
      <c r="D130" s="49">
        <f ca="1">((100/H120)*C130)/100</f>
        <v>0.93333333333333346</v>
      </c>
      <c r="E130" s="103"/>
      <c r="F130" s="103"/>
      <c r="G130" s="103"/>
      <c r="H130" s="103"/>
      <c r="I130" s="28" t="s">
        <v>153</v>
      </c>
      <c r="J130" s="31">
        <f>(IF(B120&gt;4,(H120/(B120+2)+J129),0))</f>
        <v>0</v>
      </c>
    </row>
    <row r="131" spans="1:10" ht="15.75" customHeight="1" x14ac:dyDescent="0.35">
      <c r="A131" s="94" t="s">
        <v>141</v>
      </c>
      <c r="B131" s="94" t="s">
        <v>141</v>
      </c>
      <c r="C131" s="63">
        <v>10</v>
      </c>
      <c r="D131" s="49">
        <f ca="1">((100/(H120))*C131)/100</f>
        <v>0.66666666666666674</v>
      </c>
      <c r="E131" s="103"/>
      <c r="F131" s="103"/>
      <c r="G131" s="103"/>
      <c r="H131" s="103"/>
      <c r="I131" s="28" t="s">
        <v>155</v>
      </c>
      <c r="J131" s="31">
        <f ca="1">(IF(B120=1,(H120/(B120+3)+J126),IF(B120=0,(H120/4+J126),IF(B120&gt;1,0))))</f>
        <v>11.25</v>
      </c>
    </row>
    <row r="132" spans="1:10" ht="16" thickBot="1" x14ac:dyDescent="0.4">
      <c r="A132" s="94" t="s">
        <v>142</v>
      </c>
      <c r="B132" s="94"/>
      <c r="C132" s="63">
        <v>0</v>
      </c>
      <c r="D132" s="49">
        <f ca="1">((100/(H120))*C132)/100</f>
        <v>0</v>
      </c>
      <c r="E132" s="103"/>
      <c r="F132" s="103"/>
      <c r="G132" s="103"/>
      <c r="H132" s="103"/>
      <c r="I132" s="33" t="s">
        <v>109</v>
      </c>
      <c r="J132" s="34">
        <f ca="1">(IF(B120&gt;1.5,(H120/(B120+2)+J126+MAX(0,J127-J126)+MAX(0,J128-J127)+MAX(0,J129-J128)+MAX(0,J130-J129)+MAX(0,J131-J130)),IF(B120=1,(H120/(B120+3)+J131),IF(B120=0,H120/4+J131))))</f>
        <v>15</v>
      </c>
    </row>
    <row r="133" spans="1:10" ht="15.75" customHeight="1" x14ac:dyDescent="0.35">
      <c r="A133" s="212" t="s">
        <v>148</v>
      </c>
      <c r="B133" s="213"/>
      <c r="C133" s="214" t="str">
        <f>D63</f>
        <v>Phase IV = Spinel (I) = Gr/St + P + 1st to 15th Floor</v>
      </c>
      <c r="D133" s="215"/>
      <c r="E133" s="215"/>
      <c r="F133" s="215"/>
      <c r="G133" s="215"/>
      <c r="H133" s="216"/>
      <c r="I133" s="22" t="str">
        <f ca="1">(IF(E137&gt;99%,"All work completed. Please provide OC.",IF(E137&gt;89.8%,"Plinth, RCC, Brick, Plaster, Flooring, Painting work Completed. Finishing work is in process.",IF(E137&lt;94%,(IF(C137=0,"Work not yet Started.",IF(D137=25%,"Piling work in process",IF(D137=50%,"Excavation work in process",IF(D137=100%,"Excavation work Completed. ","0")))&amp;(IF(C138=0%,"",IF(C138=J139,"Footing work is process",IF(C138=J140,"Footing work Completed",IF(C138=J141,"1st Basement Completed",IF(C138=J142,"1st &amp; 2nd Basement Completed",IF(C138=J143,"1st to 3rd Basement Completed",IF(C138=J144,"1st to 4th Basement Completed",IF(C138=J145,"Plinth work is process",IF(C138=J146,"Plinth work completed","0")))))))))))&amp;(IF(C139=(D134+F134+H134),", RCC Slab Completed",IF(C139&gt;0,", RCC upto "&amp;C139&amp;" Slab Completed",""))&amp;(IF(C140=H134,", Brickwork Completed",IF(C140&gt;0,", Brickwork upto "&amp;C140&amp;" Floor Completed",""))&amp;(IF(C141=H134,", Internal Plaster Completed",IF(C141&gt;0,", Internal Plaster upto "&amp;C141&amp;" Floor Completed",""))&amp;(IF(C142=H134,", External Plaster Completed",IF(C142&gt;0,", External Plaster upto "&amp;C142&amp;" Floor Completed",""))&amp;(IF(C143=H134,", Flooring Completed",IF(C143&gt;0,", Flooring upto "&amp;C143&amp;" Floor Completed",""))&amp;(IF(C144=H134,", Painting Completed",IF(C144&gt;0,", Painting upto "&amp;C144&amp;" Floor Completed",""))&amp;(IF(C145&gt;0,", Finishing upto "&amp;C145&amp;" Floor Completed","")&amp;(IF(C139&gt;0.5,".",""))))))))))))))</f>
        <v>Excavation work Completed. Plinth work completed, RCC upto 13 Slab Completed, Brickwork upto 3 Floor Completed.</v>
      </c>
      <c r="J133" s="23"/>
    </row>
    <row r="134" spans="1:10" x14ac:dyDescent="0.35">
      <c r="A134" s="24" t="s">
        <v>150</v>
      </c>
      <c r="B134" s="25">
        <v>0</v>
      </c>
      <c r="C134" s="25" t="s">
        <v>76</v>
      </c>
      <c r="D134" s="25">
        <v>1</v>
      </c>
      <c r="E134" s="25" t="s">
        <v>75</v>
      </c>
      <c r="F134" s="25">
        <v>0</v>
      </c>
      <c r="G134" s="25" t="s">
        <v>85</v>
      </c>
      <c r="H134" s="26">
        <f ca="1">--TRIM(RIGHT(SUBSTITUTE(LEFT(C133,_xlfn.AGGREGATE(16,6,FIND({0,1,2,3,4,5,6,7,8,9},C133,ROW(INDIRECT("1:"&amp;LEN(C133)))),1))," ",REPT(" ",LEN(C133))),LEN(C133)))</f>
        <v>15</v>
      </c>
      <c r="I134" s="20"/>
      <c r="J134" s="27"/>
    </row>
    <row r="135" spans="1:10" ht="31" customHeight="1" x14ac:dyDescent="0.35">
      <c r="A135" s="121" t="s">
        <v>95</v>
      </c>
      <c r="B135" s="102"/>
      <c r="C135" s="122" t="str">
        <f ca="1">I133</f>
        <v>Excavation work Completed. Plinth work completed, RCC upto 13 Slab Completed, Brickwork upto 3 Floor Completed.</v>
      </c>
      <c r="D135" s="91"/>
      <c r="E135" s="91"/>
      <c r="F135" s="91"/>
      <c r="G135" s="91"/>
      <c r="H135" s="92"/>
      <c r="I135" s="20" t="s">
        <v>110</v>
      </c>
      <c r="J135" s="27"/>
    </row>
    <row r="136" spans="1:10" ht="15.75" customHeight="1" x14ac:dyDescent="0.35">
      <c r="A136" s="93" t="s">
        <v>52</v>
      </c>
      <c r="B136" s="94"/>
      <c r="C136" s="48" t="s">
        <v>147</v>
      </c>
      <c r="D136" s="48" t="s">
        <v>88</v>
      </c>
      <c r="E136" s="94" t="s">
        <v>90</v>
      </c>
      <c r="F136" s="94"/>
      <c r="G136" s="94" t="s">
        <v>89</v>
      </c>
      <c r="H136" s="111"/>
      <c r="I136" s="28" t="s">
        <v>149</v>
      </c>
      <c r="J136" s="29">
        <f ca="1">H134*25%</f>
        <v>3.75</v>
      </c>
    </row>
    <row r="137" spans="1:10" x14ac:dyDescent="0.35">
      <c r="A137" s="93" t="s">
        <v>136</v>
      </c>
      <c r="B137" s="94"/>
      <c r="C137" s="50">
        <f ca="1">J138</f>
        <v>15</v>
      </c>
      <c r="D137" s="49">
        <f ca="1">((100/H134)*C137)/100</f>
        <v>1</v>
      </c>
      <c r="E137" s="117">
        <f ca="1">(((C138/H134*10)+(40/(D134+F134+H134)*C139)+(7.5/(H134)*C140)+(7.5/(H134)*C141)+(10/H134*C142)+(10/H134*C143)+(5/H134*C144)+(5/H134*C145)+(5/H134*C146))/100)</f>
        <v>0.44</v>
      </c>
      <c r="F137" s="118"/>
      <c r="G137" s="117">
        <f ca="1">((((C137/H134)*20)+((C138/H134)*25)+(30/(H134+F134+D134)*C139)+(5/H134*C140)+(5/H134*C141)+(5/H134*C142)+(5/H134*C143)+(0/H134*C144)+(0/H134*C145)+(5/H134*C146))/100)</f>
        <v>0.70374999999999999</v>
      </c>
      <c r="H137" s="123"/>
      <c r="I137" s="28" t="s">
        <v>105</v>
      </c>
      <c r="J137" s="30">
        <f ca="1">H134*50%</f>
        <v>7.5</v>
      </c>
    </row>
    <row r="138" spans="1:10" x14ac:dyDescent="0.35">
      <c r="A138" s="93" t="s">
        <v>53</v>
      </c>
      <c r="B138" s="94"/>
      <c r="C138" s="50">
        <f ca="1">J146</f>
        <v>15</v>
      </c>
      <c r="D138" s="49">
        <f ca="1">((100/H134)*C138)/100</f>
        <v>1</v>
      </c>
      <c r="E138" s="119"/>
      <c r="F138" s="120"/>
      <c r="G138" s="119"/>
      <c r="H138" s="124"/>
      <c r="I138" s="28" t="s">
        <v>106</v>
      </c>
      <c r="J138" s="30">
        <f ca="1">H134</f>
        <v>15</v>
      </c>
    </row>
    <row r="139" spans="1:10" ht="15.75" customHeight="1" x14ac:dyDescent="0.35">
      <c r="A139" s="93" t="s">
        <v>137</v>
      </c>
      <c r="B139" s="94"/>
      <c r="C139" s="48">
        <v>13</v>
      </c>
      <c r="D139" s="49">
        <f ca="1">((100/(D134+F134+H134))*C139)/100</f>
        <v>0.8125</v>
      </c>
      <c r="E139" s="119"/>
      <c r="F139" s="120"/>
      <c r="G139" s="119"/>
      <c r="H139" s="124"/>
      <c r="I139" s="28" t="s">
        <v>107</v>
      </c>
      <c r="J139" s="31">
        <f ca="1">(IF(B134&gt;1,(H134/(B134+2)),H134/4))</f>
        <v>3.75</v>
      </c>
    </row>
    <row r="140" spans="1:10" ht="15.75" customHeight="1" x14ac:dyDescent="0.35">
      <c r="A140" s="93" t="s">
        <v>144</v>
      </c>
      <c r="B140" s="94" t="s">
        <v>138</v>
      </c>
      <c r="C140" s="48">
        <v>3</v>
      </c>
      <c r="D140" s="49">
        <f ca="1">((100/H134)*C140)/100</f>
        <v>0.2</v>
      </c>
      <c r="E140" s="119"/>
      <c r="F140" s="120"/>
      <c r="G140" s="119"/>
      <c r="H140" s="124"/>
      <c r="I140" s="28" t="s">
        <v>108</v>
      </c>
      <c r="J140" s="31">
        <f ca="1">(IF(B134&gt;1,(H134/(B134+2)+J139),H134/4+J139))</f>
        <v>7.5</v>
      </c>
    </row>
    <row r="141" spans="1:10" ht="15.75" customHeight="1" x14ac:dyDescent="0.35">
      <c r="A141" s="93" t="s">
        <v>145</v>
      </c>
      <c r="B141" s="94" t="s">
        <v>138</v>
      </c>
      <c r="C141" s="48">
        <v>0</v>
      </c>
      <c r="D141" s="49">
        <f ca="1">((100/H134)*C141)/100</f>
        <v>0</v>
      </c>
      <c r="E141" s="119"/>
      <c r="F141" s="120"/>
      <c r="G141" s="119"/>
      <c r="H141" s="124"/>
      <c r="I141" s="28" t="s">
        <v>154</v>
      </c>
      <c r="J141" s="31">
        <f>(IF(B134&gt;1,(H134/(B134+2)+J140),0))</f>
        <v>0</v>
      </c>
    </row>
    <row r="142" spans="1:10" ht="15" customHeight="1" x14ac:dyDescent="0.35">
      <c r="A142" s="93" t="s">
        <v>143</v>
      </c>
      <c r="B142" s="94" t="s">
        <v>140</v>
      </c>
      <c r="C142" s="48">
        <v>0</v>
      </c>
      <c r="D142" s="49">
        <f ca="1">((100/(H134))*C142)/100</f>
        <v>0</v>
      </c>
      <c r="E142" s="119"/>
      <c r="F142" s="120"/>
      <c r="G142" s="119"/>
      <c r="H142" s="124"/>
      <c r="I142" s="28" t="s">
        <v>151</v>
      </c>
      <c r="J142" s="31">
        <f>(IF(B134&gt;2,(H134/(B134+2)+J141),0))</f>
        <v>0</v>
      </c>
    </row>
    <row r="143" spans="1:10" ht="15.75" customHeight="1" x14ac:dyDescent="0.35">
      <c r="A143" s="93" t="s">
        <v>139</v>
      </c>
      <c r="B143" s="94" t="s">
        <v>139</v>
      </c>
      <c r="C143" s="48">
        <v>0</v>
      </c>
      <c r="D143" s="49">
        <f ca="1">((100/H134)*C143)/100</f>
        <v>0</v>
      </c>
      <c r="E143" s="119"/>
      <c r="F143" s="120"/>
      <c r="G143" s="119"/>
      <c r="H143" s="124"/>
      <c r="I143" s="28" t="s">
        <v>152</v>
      </c>
      <c r="J143" s="32">
        <f>(IF(B134&gt;3,(H134/(B134+2)+J142),0))</f>
        <v>0</v>
      </c>
    </row>
    <row r="144" spans="1:10" ht="15.75" customHeight="1" x14ac:dyDescent="0.35">
      <c r="A144" s="93" t="s">
        <v>146</v>
      </c>
      <c r="B144" s="94"/>
      <c r="C144" s="48">
        <v>0</v>
      </c>
      <c r="D144" s="49">
        <f ca="1">((100/H134)*C144)/100</f>
        <v>0</v>
      </c>
      <c r="E144" s="119"/>
      <c r="F144" s="120"/>
      <c r="G144" s="119"/>
      <c r="H144" s="124"/>
      <c r="I144" s="28" t="s">
        <v>153</v>
      </c>
      <c r="J144" s="31">
        <f>(IF(B134&gt;4,(H134/(B134+2)+J143),0))</f>
        <v>0</v>
      </c>
    </row>
    <row r="145" spans="1:10" ht="15.75" customHeight="1" x14ac:dyDescent="0.35">
      <c r="A145" s="93" t="s">
        <v>141</v>
      </c>
      <c r="B145" s="94" t="s">
        <v>141</v>
      </c>
      <c r="C145" s="48">
        <v>0</v>
      </c>
      <c r="D145" s="49">
        <f ca="1">((100/(H134))*C145)/100</f>
        <v>0</v>
      </c>
      <c r="E145" s="119"/>
      <c r="F145" s="120"/>
      <c r="G145" s="119"/>
      <c r="H145" s="124"/>
      <c r="I145" s="28" t="s">
        <v>155</v>
      </c>
      <c r="J145" s="31">
        <f ca="1">(IF(B134=1,(H134/(B134+3)+J140),IF(B134=0,(H134/4+J140),IF(B134&gt;1,0))))</f>
        <v>11.25</v>
      </c>
    </row>
    <row r="146" spans="1:10" ht="16" thickBot="1" x14ac:dyDescent="0.4">
      <c r="A146" s="188" t="s">
        <v>142</v>
      </c>
      <c r="B146" s="189"/>
      <c r="C146" s="60">
        <v>0</v>
      </c>
      <c r="D146" s="61">
        <f ca="1">((100/(H134))*C146)/100</f>
        <v>0</v>
      </c>
      <c r="E146" s="119"/>
      <c r="F146" s="120"/>
      <c r="G146" s="119"/>
      <c r="H146" s="124"/>
      <c r="I146" s="33" t="s">
        <v>109</v>
      </c>
      <c r="J146" s="34">
        <f ca="1">(IF(B134&gt;1.5,(H134/(B134+2)+J140+MAX(0,J141-J140)+MAX(0,J142-J141)+MAX(0,J143-J142)+MAX(0,J144-J143)+MAX(0,J145-J144)),IF(B134=1,(H134/(B134+3)+J145),IF(B134=0,H134/4+J145))))</f>
        <v>15</v>
      </c>
    </row>
    <row r="147" spans="1:10" ht="15.75" customHeight="1" x14ac:dyDescent="0.35">
      <c r="A147" s="91" t="s">
        <v>148</v>
      </c>
      <c r="B147" s="91"/>
      <c r="C147" s="91" t="str">
        <f>D64</f>
        <v>Phase IV = Vivanite (J) = Gr/St + P + 1st to 15th Floor</v>
      </c>
      <c r="D147" s="91"/>
      <c r="E147" s="91"/>
      <c r="F147" s="91"/>
      <c r="G147" s="91"/>
      <c r="H147" s="91"/>
      <c r="I147" s="22" t="str">
        <f ca="1">(IF(E151&gt;99%,"All work completed. Please provide OC.",IF(E151&gt;89.8%,"Plinth, RCC, Brick, Plaster, Flooring, Painting work Completed. Finishing work is in process.",IF(E151&lt;94%,(IF(C151=0,"Work not yet Started.",IF(D151=25%,"Piling work in process",IF(D151=50%,"Excavation work in process",IF(D151=100%,"Excavation work Completed. ","0")))&amp;(IF(C152=0%,"",IF(C152=J153,"Footing work is process",IF(C152=J154,"Footing work Completed",IF(C152=J155,"1st Basement Completed",IF(C152=J156,"1st &amp; 2nd Basement Completed",IF(C152=J157,"1st to 3rd Basement Completed",IF(C152=J158,"1st to 4th Basement Completed",IF(C152=J159,"Plinth work is process",IF(C152=J160,"Plinth work completed","0")))))))))))&amp;(IF(C153=(D148+F148+H148),", RCC Slab Completed",IF(C153&gt;0,", RCC upto "&amp;C153&amp;" Slab Completed",""))&amp;(IF(C154=H148,", Brickwork Completed",IF(C154&gt;0,", Brickwork upto "&amp;C154&amp;" Floor Completed",""))&amp;(IF(C155=H148,", Internal Plaster Completed",IF(C155&gt;0,", Internal Plaster upto "&amp;C155&amp;" Floor Completed",""))&amp;(IF(C156=H148,", External Plaster Completed",IF(C156&gt;0,", External Plaster upto "&amp;C156&amp;" Floor Completed",""))&amp;(IF(C157=H148,", Flooring Completed",IF(C157&gt;0,", Flooring upto "&amp;C157&amp;" Floor Completed",""))&amp;(IF(C158=H148,", Painting Completed",IF(C158&gt;0,", Painting upto "&amp;C158&amp;" Floor Completed",""))&amp;(IF(C159&gt;0,", Finishing upto "&amp;C159&amp;" Floor Completed","")&amp;(IF(C153&gt;0.5,".",""))))))))))))))</f>
        <v>Excavation work Completed. Plinth work completed, RCC Slab Completed, Brickwork Completed, Internal Plaster upto 10 Floor Completed, External Plaster upto 4 Floor Completed.</v>
      </c>
      <c r="J147" s="23"/>
    </row>
    <row r="148" spans="1:10" x14ac:dyDescent="0.35">
      <c r="A148" s="59" t="s">
        <v>150</v>
      </c>
      <c r="B148" s="59">
        <v>0</v>
      </c>
      <c r="C148" s="59" t="s">
        <v>76</v>
      </c>
      <c r="D148" s="59">
        <v>1</v>
      </c>
      <c r="E148" s="59" t="s">
        <v>75</v>
      </c>
      <c r="F148" s="59">
        <v>1</v>
      </c>
      <c r="G148" s="59" t="s">
        <v>85</v>
      </c>
      <c r="H148" s="59">
        <f ca="1">--TRIM(RIGHT(SUBSTITUTE(LEFT(C147,_xlfn.AGGREGATE(16,6,FIND({0,1,2,3,4,5,6,7,8,9},C147,ROW(INDIRECT("1:"&amp;LEN(C147)))),1))," ",REPT(" ",LEN(C147))),LEN(C147)))</f>
        <v>15</v>
      </c>
      <c r="I148" s="20"/>
      <c r="J148" s="27"/>
    </row>
    <row r="149" spans="1:10" ht="47" customHeight="1" x14ac:dyDescent="0.35">
      <c r="A149" s="102" t="s">
        <v>95</v>
      </c>
      <c r="B149" s="102"/>
      <c r="C149" s="91" t="str">
        <f ca="1">I147</f>
        <v>Excavation work Completed. Plinth work completed, RCC Slab Completed, Brickwork Completed, Internal Plaster upto 10 Floor Completed, External Plaster upto 4 Floor Completed.</v>
      </c>
      <c r="D149" s="91"/>
      <c r="E149" s="91"/>
      <c r="F149" s="91"/>
      <c r="G149" s="91"/>
      <c r="H149" s="91"/>
      <c r="I149" s="20" t="s">
        <v>110</v>
      </c>
      <c r="J149" s="27"/>
    </row>
    <row r="150" spans="1:10" ht="15.75" customHeight="1" x14ac:dyDescent="0.35">
      <c r="A150" s="94" t="s">
        <v>52</v>
      </c>
      <c r="B150" s="94"/>
      <c r="C150" s="63" t="s">
        <v>147</v>
      </c>
      <c r="D150" s="63" t="s">
        <v>88</v>
      </c>
      <c r="E150" s="94" t="s">
        <v>90</v>
      </c>
      <c r="F150" s="94"/>
      <c r="G150" s="94" t="s">
        <v>89</v>
      </c>
      <c r="H150" s="94"/>
      <c r="I150" s="28" t="s">
        <v>149</v>
      </c>
      <c r="J150" s="29">
        <f ca="1">H148*25%</f>
        <v>3.75</v>
      </c>
    </row>
    <row r="151" spans="1:10" x14ac:dyDescent="0.35">
      <c r="A151" s="94" t="s">
        <v>136</v>
      </c>
      <c r="B151" s="94"/>
      <c r="C151" s="50">
        <f ca="1">J152</f>
        <v>15</v>
      </c>
      <c r="D151" s="49">
        <f ca="1">((100/H148)*C151)/100</f>
        <v>1</v>
      </c>
      <c r="E151" s="103">
        <f ca="1">(((C152/H148*10)+(40/(D148+F148+H148)*C153)+(7.5/(H148)*C154)+(7.5/(H148)*C155)+(10/H148*C156)+(10/H148*C157)+(5/H148*C158)+(5/H148*C159)+(5/H148*C160))/100)</f>
        <v>0.65166666666666673</v>
      </c>
      <c r="F151" s="103"/>
      <c r="G151" s="103">
        <f ca="1">((((C151/H148)*20)+((C152/H148)*25)+(30/(H148+F148+D148)*C153)+(5/H148*C154)+(5/H148*C155)+(5/H148*C156)+(5/H148*C157)+(0/H148*C158)+(0/H148*C159)+(5/H148*C160))/100)</f>
        <v>0.84666666666666657</v>
      </c>
      <c r="H151" s="103"/>
      <c r="I151" s="28" t="s">
        <v>105</v>
      </c>
      <c r="J151" s="30">
        <f ca="1">H148*50%</f>
        <v>7.5</v>
      </c>
    </row>
    <row r="152" spans="1:10" x14ac:dyDescent="0.35">
      <c r="A152" s="94" t="s">
        <v>53</v>
      </c>
      <c r="B152" s="94"/>
      <c r="C152" s="50">
        <f ca="1">J160</f>
        <v>15</v>
      </c>
      <c r="D152" s="49">
        <f ca="1">((100/H148)*C152)/100</f>
        <v>1</v>
      </c>
      <c r="E152" s="103"/>
      <c r="F152" s="103"/>
      <c r="G152" s="103"/>
      <c r="H152" s="103"/>
      <c r="I152" s="28" t="s">
        <v>106</v>
      </c>
      <c r="J152" s="30">
        <f ca="1">H148</f>
        <v>15</v>
      </c>
    </row>
    <row r="153" spans="1:10" ht="15.75" customHeight="1" x14ac:dyDescent="0.35">
      <c r="A153" s="94" t="s">
        <v>137</v>
      </c>
      <c r="B153" s="94"/>
      <c r="C153" s="63">
        <v>17</v>
      </c>
      <c r="D153" s="49">
        <f ca="1">((100/(D148+F148+H148))*C153)/100</f>
        <v>1</v>
      </c>
      <c r="E153" s="103"/>
      <c r="F153" s="103"/>
      <c r="G153" s="103"/>
      <c r="H153" s="103"/>
      <c r="I153" s="28" t="s">
        <v>107</v>
      </c>
      <c r="J153" s="31">
        <f ca="1">(IF(B148&gt;1,(H148/(B148+2)),H148/4))</f>
        <v>3.75</v>
      </c>
    </row>
    <row r="154" spans="1:10" ht="15.75" customHeight="1" x14ac:dyDescent="0.35">
      <c r="A154" s="94" t="s">
        <v>144</v>
      </c>
      <c r="B154" s="94" t="s">
        <v>138</v>
      </c>
      <c r="C154" s="63">
        <v>15</v>
      </c>
      <c r="D154" s="49">
        <f ca="1">((100/H148)*C154)/100</f>
        <v>1</v>
      </c>
      <c r="E154" s="103"/>
      <c r="F154" s="103"/>
      <c r="G154" s="103"/>
      <c r="H154" s="103"/>
      <c r="I154" s="28" t="s">
        <v>108</v>
      </c>
      <c r="J154" s="31">
        <f ca="1">(IF(B148&gt;1,(H148/(B148+2)+J153),H148/4+J153))</f>
        <v>7.5</v>
      </c>
    </row>
    <row r="155" spans="1:10" ht="15.75" customHeight="1" x14ac:dyDescent="0.35">
      <c r="A155" s="94" t="s">
        <v>145</v>
      </c>
      <c r="B155" s="94" t="s">
        <v>138</v>
      </c>
      <c r="C155" s="63">
        <v>10</v>
      </c>
      <c r="D155" s="49">
        <f ca="1">((100/H148)*C155)/100</f>
        <v>0.66666666666666674</v>
      </c>
      <c r="E155" s="103"/>
      <c r="F155" s="103"/>
      <c r="G155" s="103"/>
      <c r="H155" s="103"/>
      <c r="I155" s="28" t="s">
        <v>154</v>
      </c>
      <c r="J155" s="31">
        <f>(IF(B148&gt;1,(H148/(B148+2)+J154),0))</f>
        <v>0</v>
      </c>
    </row>
    <row r="156" spans="1:10" ht="15" customHeight="1" x14ac:dyDescent="0.35">
      <c r="A156" s="94" t="s">
        <v>143</v>
      </c>
      <c r="B156" s="94" t="s">
        <v>140</v>
      </c>
      <c r="C156" s="63">
        <v>4</v>
      </c>
      <c r="D156" s="49">
        <f ca="1">((100/(H148))*C156)/100</f>
        <v>0.26666666666666666</v>
      </c>
      <c r="E156" s="103"/>
      <c r="F156" s="103"/>
      <c r="G156" s="103"/>
      <c r="H156" s="103"/>
      <c r="I156" s="28" t="s">
        <v>151</v>
      </c>
      <c r="J156" s="31">
        <f>(IF(B148&gt;2,(H148/(B148+2)+J155),0))</f>
        <v>0</v>
      </c>
    </row>
    <row r="157" spans="1:10" ht="15.75" customHeight="1" x14ac:dyDescent="0.35">
      <c r="A157" s="94" t="s">
        <v>139</v>
      </c>
      <c r="B157" s="94" t="s">
        <v>139</v>
      </c>
      <c r="C157" s="63">
        <v>0</v>
      </c>
      <c r="D157" s="49">
        <f ca="1">((100/H148)*C157)/100</f>
        <v>0</v>
      </c>
      <c r="E157" s="103"/>
      <c r="F157" s="103"/>
      <c r="G157" s="103"/>
      <c r="H157" s="103"/>
      <c r="I157" s="28" t="s">
        <v>152</v>
      </c>
      <c r="J157" s="32">
        <f>(IF(B148&gt;3,(H148/(B148+2)+J156),0))</f>
        <v>0</v>
      </c>
    </row>
    <row r="158" spans="1:10" ht="15.75" customHeight="1" x14ac:dyDescent="0.35">
      <c r="A158" s="94" t="s">
        <v>146</v>
      </c>
      <c r="B158" s="94"/>
      <c r="C158" s="63">
        <v>0</v>
      </c>
      <c r="D158" s="49">
        <f ca="1">((100/H148)*C158)/100</f>
        <v>0</v>
      </c>
      <c r="E158" s="103"/>
      <c r="F158" s="103"/>
      <c r="G158" s="103"/>
      <c r="H158" s="103"/>
      <c r="I158" s="28" t="s">
        <v>153</v>
      </c>
      <c r="J158" s="31">
        <f>(IF(B148&gt;4,(H148/(B148+2)+J157),0))</f>
        <v>0</v>
      </c>
    </row>
    <row r="159" spans="1:10" ht="15.75" customHeight="1" x14ac:dyDescent="0.35">
      <c r="A159" s="94" t="s">
        <v>141</v>
      </c>
      <c r="B159" s="94" t="s">
        <v>141</v>
      </c>
      <c r="C159" s="63">
        <v>0</v>
      </c>
      <c r="D159" s="49">
        <f ca="1">((100/(H148))*C159)/100</f>
        <v>0</v>
      </c>
      <c r="E159" s="103"/>
      <c r="F159" s="103"/>
      <c r="G159" s="103"/>
      <c r="H159" s="103"/>
      <c r="I159" s="28" t="s">
        <v>155</v>
      </c>
      <c r="J159" s="31">
        <f ca="1">(IF(B148=1,(H148/(B148+3)+J154),IF(B148=0,(H148/4+J154),IF(B148&gt;1,0))))</f>
        <v>11.25</v>
      </c>
    </row>
    <row r="160" spans="1:10" ht="16" thickBot="1" x14ac:dyDescent="0.4">
      <c r="A160" s="94" t="s">
        <v>142</v>
      </c>
      <c r="B160" s="94"/>
      <c r="C160" s="63">
        <v>0</v>
      </c>
      <c r="D160" s="49">
        <f ca="1">((100/(H148))*C160)/100</f>
        <v>0</v>
      </c>
      <c r="E160" s="103"/>
      <c r="F160" s="103"/>
      <c r="G160" s="103"/>
      <c r="H160" s="103"/>
      <c r="I160" s="33" t="s">
        <v>109</v>
      </c>
      <c r="J160" s="34">
        <f ca="1">(IF(B148&gt;1.5,(H148/(B148+2)+J154+MAX(0,J155-J154)+MAX(0,J156-J155)+MAX(0,J157-J156)+MAX(0,J158-J157)+MAX(0,J159-J158)),IF(B148=1,(H148/(B148+3)+J159),IF(B148=0,H148/4+J159))))</f>
        <v>15</v>
      </c>
    </row>
    <row r="161" spans="1:13" x14ac:dyDescent="0.35">
      <c r="A161" s="125" t="s">
        <v>165</v>
      </c>
      <c r="B161" s="125"/>
      <c r="C161" s="125"/>
      <c r="D161" s="125"/>
      <c r="E161" s="125"/>
      <c r="F161" s="126" t="s">
        <v>170</v>
      </c>
      <c r="G161" s="126"/>
      <c r="H161" s="126"/>
    </row>
    <row r="162" spans="1:13" x14ac:dyDescent="0.35">
      <c r="A162" s="95" t="s">
        <v>168</v>
      </c>
      <c r="B162" s="95"/>
      <c r="C162" s="95"/>
      <c r="D162" s="95"/>
      <c r="E162" s="95"/>
      <c r="F162" s="129">
        <v>6000</v>
      </c>
      <c r="G162" s="129"/>
      <c r="H162" s="129"/>
      <c r="I162" s="55" t="s">
        <v>242</v>
      </c>
      <c r="J162" s="55"/>
      <c r="K162" s="55" t="s">
        <v>243</v>
      </c>
      <c r="L162" s="55" t="s">
        <v>244</v>
      </c>
      <c r="M162" s="56">
        <v>45076</v>
      </c>
    </row>
    <row r="163" spans="1:13" hidden="1" x14ac:dyDescent="0.35">
      <c r="A163" s="95" t="s">
        <v>167</v>
      </c>
      <c r="B163" s="95"/>
      <c r="C163" s="95"/>
      <c r="D163" s="95"/>
      <c r="E163" s="95"/>
      <c r="F163" s="83"/>
      <c r="G163" s="83"/>
      <c r="H163" s="83"/>
    </row>
    <row r="164" spans="1:13" hidden="1" x14ac:dyDescent="0.35">
      <c r="A164" s="95" t="s">
        <v>169</v>
      </c>
      <c r="B164" s="95"/>
      <c r="C164" s="95"/>
      <c r="D164" s="95"/>
      <c r="E164" s="95"/>
      <c r="F164" s="83"/>
      <c r="G164" s="83"/>
      <c r="H164" s="83"/>
    </row>
    <row r="165" spans="1:13" s="35" customFormat="1" hidden="1" x14ac:dyDescent="0.3">
      <c r="A165" s="95" t="s">
        <v>166</v>
      </c>
      <c r="B165" s="95"/>
      <c r="C165" s="95"/>
      <c r="D165" s="95"/>
      <c r="E165" s="95"/>
      <c r="F165" s="83"/>
      <c r="G165" s="83"/>
      <c r="H165" s="83"/>
    </row>
    <row r="166" spans="1:13" s="35" customFormat="1" hidden="1" x14ac:dyDescent="0.3">
      <c r="A166" s="95" t="s">
        <v>100</v>
      </c>
      <c r="B166" s="95"/>
      <c r="C166" s="95"/>
      <c r="D166" s="95"/>
      <c r="E166" s="95"/>
      <c r="F166" s="83"/>
      <c r="G166" s="83"/>
      <c r="H166" s="83"/>
    </row>
    <row r="167" spans="1:13" s="35" customFormat="1" x14ac:dyDescent="0.3">
      <c r="A167" s="95" t="s">
        <v>245</v>
      </c>
      <c r="B167" s="95"/>
      <c r="C167" s="95"/>
      <c r="D167" s="95"/>
      <c r="E167" s="95"/>
      <c r="F167" s="83">
        <v>500000</v>
      </c>
      <c r="G167" s="83"/>
      <c r="H167" s="83"/>
    </row>
    <row r="168" spans="1:13" s="35" customFormat="1" hidden="1" x14ac:dyDescent="0.3">
      <c r="A168" s="95" t="s">
        <v>171</v>
      </c>
      <c r="B168" s="95"/>
      <c r="C168" s="95"/>
      <c r="D168" s="95"/>
      <c r="E168" s="95"/>
      <c r="F168" s="83"/>
      <c r="G168" s="83"/>
      <c r="H168" s="83"/>
    </row>
    <row r="169" spans="1:13" s="35" customFormat="1" hidden="1" x14ac:dyDescent="0.3">
      <c r="A169" s="95" t="s">
        <v>101</v>
      </c>
      <c r="B169" s="95"/>
      <c r="C169" s="95"/>
      <c r="D169" s="95"/>
      <c r="E169" s="95"/>
      <c r="F169" s="83"/>
      <c r="G169" s="83"/>
      <c r="H169" s="83"/>
    </row>
    <row r="170" spans="1:13" s="35" customFormat="1" hidden="1" x14ac:dyDescent="0.3">
      <c r="A170" s="95" t="s">
        <v>102</v>
      </c>
      <c r="B170" s="95"/>
      <c r="C170" s="95"/>
      <c r="D170" s="95"/>
      <c r="E170" s="95"/>
      <c r="F170" s="83"/>
      <c r="G170" s="83"/>
      <c r="H170" s="83"/>
    </row>
    <row r="171" spans="1:13" s="35" customFormat="1" hidden="1" x14ac:dyDescent="0.3">
      <c r="A171" s="95" t="s">
        <v>103</v>
      </c>
      <c r="B171" s="95"/>
      <c r="C171" s="95"/>
      <c r="D171" s="95"/>
      <c r="E171" s="95"/>
      <c r="F171" s="83"/>
      <c r="G171" s="83"/>
      <c r="H171" s="83"/>
    </row>
    <row r="172" spans="1:13" s="35" customFormat="1" hidden="1" x14ac:dyDescent="0.3">
      <c r="A172" s="95" t="s">
        <v>104</v>
      </c>
      <c r="B172" s="95"/>
      <c r="C172" s="95"/>
      <c r="D172" s="95"/>
      <c r="E172" s="95"/>
      <c r="F172" s="83"/>
      <c r="G172" s="83"/>
      <c r="H172" s="83"/>
    </row>
    <row r="173" spans="1:13" x14ac:dyDescent="0.35">
      <c r="A173" s="95" t="s">
        <v>54</v>
      </c>
      <c r="B173" s="95"/>
      <c r="C173" s="95"/>
      <c r="D173" s="95"/>
      <c r="E173" s="95"/>
      <c r="F173" s="83">
        <v>400000</v>
      </c>
      <c r="G173" s="83"/>
      <c r="H173" s="83"/>
      <c r="I173" s="13" t="s">
        <v>246</v>
      </c>
    </row>
    <row r="174" spans="1:13" s="36" customFormat="1" x14ac:dyDescent="0.35">
      <c r="A174" s="170" t="s">
        <v>55</v>
      </c>
      <c r="B174" s="170"/>
      <c r="C174" s="170"/>
      <c r="D174" s="170"/>
      <c r="E174" s="170"/>
      <c r="F174" s="83">
        <f>F162*0.8</f>
        <v>4800</v>
      </c>
      <c r="G174" s="83"/>
      <c r="H174" s="83"/>
    </row>
    <row r="175" spans="1:13" s="37" customFormat="1" ht="15.75" hidden="1" customHeight="1" x14ac:dyDescent="0.35">
      <c r="A175" s="144" t="s">
        <v>80</v>
      </c>
      <c r="B175" s="144"/>
      <c r="C175" s="144"/>
      <c r="D175" s="144"/>
      <c r="E175" s="144"/>
      <c r="F175" s="144"/>
      <c r="G175" s="144"/>
      <c r="H175" s="144"/>
    </row>
    <row r="176" spans="1:13" s="37" customFormat="1" ht="15.75" hidden="1" customHeight="1" x14ac:dyDescent="0.35">
      <c r="A176" s="127" t="s">
        <v>56</v>
      </c>
      <c r="B176" s="127"/>
      <c r="C176" s="88" t="s">
        <v>83</v>
      </c>
      <c r="D176" s="88"/>
      <c r="E176" s="137" t="s">
        <v>57</v>
      </c>
      <c r="F176" s="137"/>
      <c r="G176" s="127" t="s">
        <v>58</v>
      </c>
      <c r="H176" s="127"/>
    </row>
    <row r="177" spans="1:10" s="37" customFormat="1" hidden="1" x14ac:dyDescent="0.35">
      <c r="A177" s="86"/>
      <c r="B177" s="86"/>
      <c r="C177" s="87"/>
      <c r="D177" s="87"/>
      <c r="E177" s="128"/>
      <c r="F177" s="128"/>
      <c r="G177" s="130"/>
      <c r="H177" s="130"/>
    </row>
    <row r="178" spans="1:10" s="37" customFormat="1" hidden="1" x14ac:dyDescent="0.35">
      <c r="A178" s="86"/>
      <c r="B178" s="86"/>
      <c r="C178" s="87"/>
      <c r="D178" s="87"/>
      <c r="E178" s="128"/>
      <c r="F178" s="128"/>
      <c r="G178" s="130"/>
      <c r="H178" s="130"/>
    </row>
    <row r="179" spans="1:10" s="37" customFormat="1" hidden="1" x14ac:dyDescent="0.35">
      <c r="A179" s="144" t="s">
        <v>158</v>
      </c>
      <c r="B179" s="144"/>
      <c r="C179" s="88"/>
      <c r="D179" s="88"/>
      <c r="E179" s="137"/>
      <c r="F179" s="137"/>
      <c r="G179" s="127"/>
      <c r="H179" s="127"/>
    </row>
    <row r="180" spans="1:10" s="37" customFormat="1" x14ac:dyDescent="0.35">
      <c r="A180" s="144" t="s">
        <v>74</v>
      </c>
      <c r="B180" s="144"/>
      <c r="C180" s="144"/>
      <c r="D180" s="144"/>
      <c r="E180" s="144"/>
      <c r="F180" s="144"/>
      <c r="G180" s="144"/>
      <c r="H180" s="144"/>
    </row>
    <row r="181" spans="1:10" s="37" customFormat="1" ht="15.75" customHeight="1" x14ac:dyDescent="0.35">
      <c r="A181" s="127" t="s">
        <v>56</v>
      </c>
      <c r="B181" s="127"/>
      <c r="C181" s="88" t="s">
        <v>83</v>
      </c>
      <c r="D181" s="88"/>
      <c r="E181" s="137" t="s">
        <v>57</v>
      </c>
      <c r="F181" s="137"/>
      <c r="G181" s="127" t="s">
        <v>58</v>
      </c>
      <c r="H181" s="127"/>
    </row>
    <row r="182" spans="1:10" s="37" customFormat="1" x14ac:dyDescent="0.35">
      <c r="A182" s="86" t="s">
        <v>224</v>
      </c>
      <c r="B182" s="86"/>
      <c r="C182" s="87">
        <f>COUNT(D203:D208)*7</f>
        <v>42</v>
      </c>
      <c r="D182" s="87"/>
      <c r="E182" s="85">
        <f>SUM(D203:D208)*7</f>
        <v>41082.740694450004</v>
      </c>
      <c r="F182" s="85"/>
      <c r="G182" s="85">
        <f>SUM(F203:F208)*7</f>
        <v>61624.111041674994</v>
      </c>
      <c r="H182" s="85"/>
    </row>
    <row r="183" spans="1:10" s="37" customFormat="1" x14ac:dyDescent="0.35">
      <c r="A183" s="86" t="str">
        <f>A218</f>
        <v>Topaz (Wing H)</v>
      </c>
      <c r="B183" s="86"/>
      <c r="C183" s="87">
        <f>COUNT(D221:D226)*13+COUNT(D228:D230,D232:D233)*2</f>
        <v>88</v>
      </c>
      <c r="D183" s="87"/>
      <c r="E183" s="85">
        <f>SUM(D221:D226)*13+SUM(D228:D230,D232:D233)*2</f>
        <v>89022.241151999988</v>
      </c>
      <c r="F183" s="85"/>
      <c r="G183" s="85">
        <f>SUM(F221:F226)*13+SUM(F228:F230,F232:F233)*2</f>
        <v>133533.36172800002</v>
      </c>
      <c r="H183" s="85"/>
    </row>
    <row r="184" spans="1:10" s="37" customFormat="1" x14ac:dyDescent="0.35">
      <c r="A184" s="86" t="str">
        <f>A234</f>
        <v>Spinel (Wing I)</v>
      </c>
      <c r="B184" s="86"/>
      <c r="C184" s="87">
        <f>COUNT(D237:D240)*13+COUNT(D242:D245)*2</f>
        <v>60</v>
      </c>
      <c r="D184" s="87"/>
      <c r="E184" s="85">
        <f>SUM(D237:D240)*13+SUM(D242:D245)*2</f>
        <v>63088.557479999996</v>
      </c>
      <c r="F184" s="85"/>
      <c r="G184" s="85">
        <f>SUM(F237:F240)*13+SUM(F242:F245)*2</f>
        <v>94632.836219999997</v>
      </c>
      <c r="H184" s="85"/>
    </row>
    <row r="185" spans="1:10" s="37" customFormat="1" x14ac:dyDescent="0.35">
      <c r="A185" s="86" t="str">
        <f>A246</f>
        <v>Vivanite (Wing J)</v>
      </c>
      <c r="B185" s="86"/>
      <c r="C185" s="87">
        <f>COUNT(D249:D252)*13+COUNT(D254:D257)*2</f>
        <v>60</v>
      </c>
      <c r="D185" s="87"/>
      <c r="E185" s="85">
        <f>SUM(D249:D252)*13+SUM(D254:D257)*2</f>
        <v>51132.76739999999</v>
      </c>
      <c r="F185" s="85"/>
      <c r="G185" s="85">
        <f>SUM(F249:F252)*13+SUM(F254:F257)*2</f>
        <v>76699.151100000003</v>
      </c>
      <c r="H185" s="85"/>
    </row>
    <row r="186" spans="1:10" s="37" customFormat="1" x14ac:dyDescent="0.35">
      <c r="A186" s="86" t="str">
        <f>A210</f>
        <v>Opal (E1)</v>
      </c>
      <c r="B186" s="86"/>
      <c r="C186" s="87">
        <f>COUNT(D213:D216)*8</f>
        <v>32</v>
      </c>
      <c r="D186" s="87"/>
      <c r="E186" s="85">
        <f>SUM(D213:D216)*8</f>
        <v>47277.106905600005</v>
      </c>
      <c r="F186" s="85"/>
      <c r="G186" s="85">
        <f>SUM(F213:F216)*8</f>
        <v>70915.660358400011</v>
      </c>
      <c r="H186" s="85"/>
    </row>
    <row r="187" spans="1:10" s="37" customFormat="1" x14ac:dyDescent="0.35">
      <c r="A187" s="144" t="s">
        <v>158</v>
      </c>
      <c r="B187" s="144"/>
      <c r="C187" s="88">
        <f>SUM(C182:D186)</f>
        <v>282</v>
      </c>
      <c r="D187" s="88"/>
      <c r="E187" s="143">
        <f>SUM(E182:F186)</f>
        <v>291603.41363204998</v>
      </c>
      <c r="F187" s="137"/>
      <c r="G187" s="143">
        <f>SUM(G182:G186)</f>
        <v>437405.12044807506</v>
      </c>
      <c r="H187" s="137"/>
    </row>
    <row r="188" spans="1:10" s="36" customFormat="1" x14ac:dyDescent="0.35">
      <c r="A188" s="84" t="s">
        <v>59</v>
      </c>
      <c r="B188" s="84"/>
      <c r="C188" s="84"/>
      <c r="D188" s="84"/>
      <c r="E188" s="84"/>
      <c r="F188" s="84"/>
      <c r="G188" s="84"/>
      <c r="H188" s="84"/>
    </row>
    <row r="189" spans="1:10" x14ac:dyDescent="0.35">
      <c r="A189" s="84" t="s">
        <v>60</v>
      </c>
      <c r="B189" s="84"/>
      <c r="C189" s="84"/>
      <c r="D189" s="84"/>
      <c r="E189" s="84"/>
      <c r="F189" s="84"/>
      <c r="G189" s="84"/>
      <c r="H189" s="84"/>
    </row>
    <row r="190" spans="1:10" ht="47.25" hidden="1" customHeight="1" x14ac:dyDescent="0.35">
      <c r="A190" s="138" t="s">
        <v>126</v>
      </c>
      <c r="B190" s="138" t="s">
        <v>125</v>
      </c>
      <c r="C190" s="138" t="s">
        <v>61</v>
      </c>
      <c r="D190" s="138" t="s">
        <v>62</v>
      </c>
      <c r="E190" s="145" t="s">
        <v>164</v>
      </c>
      <c r="F190" s="38" t="s">
        <v>157</v>
      </c>
      <c r="G190" s="183" t="s">
        <v>64</v>
      </c>
      <c r="H190" s="186"/>
    </row>
    <row r="191" spans="1:10" s="40" customFormat="1" hidden="1" x14ac:dyDescent="0.35">
      <c r="A191" s="139"/>
      <c r="B191" s="139"/>
      <c r="C191" s="139"/>
      <c r="D191" s="139"/>
      <c r="E191" s="146"/>
      <c r="F191" s="39">
        <v>0.6</v>
      </c>
      <c r="G191" s="184"/>
      <c r="H191" s="187"/>
    </row>
    <row r="192" spans="1:10" s="40" customFormat="1" hidden="1" x14ac:dyDescent="0.35">
      <c r="A192" s="140" t="s">
        <v>124</v>
      </c>
      <c r="B192" s="141"/>
      <c r="C192" s="141"/>
      <c r="D192" s="141"/>
      <c r="E192" s="141"/>
      <c r="F192" s="141"/>
      <c r="G192" s="141"/>
      <c r="H192" s="142"/>
      <c r="J192" s="41"/>
    </row>
    <row r="193" spans="1:14" s="40" customFormat="1" hidden="1" x14ac:dyDescent="0.35">
      <c r="A193" s="81">
        <v>1</v>
      </c>
      <c r="B193" s="82"/>
      <c r="C193" s="42"/>
      <c r="D193" s="42"/>
      <c r="E193" s="42">
        <v>0</v>
      </c>
      <c r="F193" s="42">
        <f>(D193+E193)*(($F$191)+1)</f>
        <v>0</v>
      </c>
      <c r="G193" s="81" t="str">
        <f>A192</f>
        <v>Ground Floor</v>
      </c>
      <c r="H193" s="82"/>
      <c r="I193" s="41"/>
      <c r="L193" s="89"/>
      <c r="M193" s="89"/>
      <c r="N193" s="41"/>
    </row>
    <row r="194" spans="1:14" s="40" customFormat="1" hidden="1" x14ac:dyDescent="0.35">
      <c r="A194" s="81">
        <f t="shared" ref="A194:A196" si="0">A193+1</f>
        <v>2</v>
      </c>
      <c r="B194" s="82"/>
      <c r="C194" s="42"/>
      <c r="D194" s="42"/>
      <c r="E194" s="42">
        <v>0</v>
      </c>
      <c r="F194" s="42">
        <f t="shared" ref="F194:F196" si="1">(D194+E194)*(($F$191)+1)</f>
        <v>0</v>
      </c>
      <c r="G194" s="81" t="str">
        <f t="shared" ref="G194:G196" si="2">G193</f>
        <v>Ground Floor</v>
      </c>
      <c r="H194" s="82"/>
      <c r="I194" s="41"/>
      <c r="L194" s="89"/>
      <c r="M194" s="89"/>
      <c r="N194" s="41"/>
    </row>
    <row r="195" spans="1:14" s="40" customFormat="1" hidden="1" x14ac:dyDescent="0.35">
      <c r="A195" s="81">
        <f t="shared" si="0"/>
        <v>3</v>
      </c>
      <c r="B195" s="82"/>
      <c r="C195" s="42"/>
      <c r="D195" s="42"/>
      <c r="E195" s="42">
        <v>0</v>
      </c>
      <c r="F195" s="42">
        <f t="shared" si="1"/>
        <v>0</v>
      </c>
      <c r="G195" s="81" t="str">
        <f t="shared" si="2"/>
        <v>Ground Floor</v>
      </c>
      <c r="H195" s="82"/>
      <c r="I195" s="41"/>
      <c r="L195" s="89"/>
      <c r="M195" s="89"/>
      <c r="N195" s="41"/>
    </row>
    <row r="196" spans="1:14" s="40" customFormat="1" hidden="1" x14ac:dyDescent="0.35">
      <c r="A196" s="81">
        <f t="shared" si="0"/>
        <v>4</v>
      </c>
      <c r="B196" s="82"/>
      <c r="C196" s="42"/>
      <c r="D196" s="42"/>
      <c r="E196" s="42">
        <v>0</v>
      </c>
      <c r="F196" s="42">
        <f t="shared" si="1"/>
        <v>0</v>
      </c>
      <c r="G196" s="81" t="str">
        <f t="shared" si="2"/>
        <v>Ground Floor</v>
      </c>
      <c r="H196" s="82"/>
      <c r="I196" s="41"/>
      <c r="L196" s="89"/>
      <c r="M196" s="89"/>
      <c r="N196" s="41"/>
    </row>
    <row r="197" spans="1:14" ht="47.25" customHeight="1" x14ac:dyDescent="0.35">
      <c r="A197" s="183" t="s">
        <v>127</v>
      </c>
      <c r="B197" s="183" t="s">
        <v>128</v>
      </c>
      <c r="C197" s="138" t="s">
        <v>61</v>
      </c>
      <c r="D197" s="138" t="s">
        <v>62</v>
      </c>
      <c r="E197" s="145" t="s">
        <v>63</v>
      </c>
      <c r="F197" s="38" t="s">
        <v>157</v>
      </c>
      <c r="G197" s="183" t="s">
        <v>64</v>
      </c>
      <c r="H197" s="186"/>
      <c r="I197" s="41"/>
    </row>
    <row r="198" spans="1:14" s="40" customFormat="1" x14ac:dyDescent="0.35">
      <c r="A198" s="184"/>
      <c r="B198" s="184"/>
      <c r="C198" s="139"/>
      <c r="D198" s="139"/>
      <c r="E198" s="146"/>
      <c r="F198" s="39">
        <v>0.5</v>
      </c>
      <c r="G198" s="184"/>
      <c r="H198" s="187"/>
      <c r="I198" s="41"/>
    </row>
    <row r="199" spans="1:14" s="36" customFormat="1" x14ac:dyDescent="0.35">
      <c r="A199" s="84" t="s">
        <v>220</v>
      </c>
      <c r="B199" s="84"/>
      <c r="C199" s="84"/>
      <c r="D199" s="84"/>
      <c r="E199" s="84"/>
      <c r="F199" s="84"/>
      <c r="G199" s="84"/>
      <c r="H199" s="84"/>
    </row>
    <row r="200" spans="1:14" s="36" customFormat="1" x14ac:dyDescent="0.35">
      <c r="A200" s="84" t="s">
        <v>221</v>
      </c>
      <c r="B200" s="84"/>
      <c r="C200" s="84"/>
      <c r="D200" s="84"/>
      <c r="E200" s="84"/>
      <c r="F200" s="84"/>
      <c r="G200" s="84"/>
      <c r="H200" s="84"/>
    </row>
    <row r="201" spans="1:14" s="36" customFormat="1" hidden="1" x14ac:dyDescent="0.35">
      <c r="A201" s="84" t="s">
        <v>222</v>
      </c>
      <c r="B201" s="84"/>
      <c r="C201" s="84"/>
      <c r="D201" s="84"/>
      <c r="E201" s="84"/>
      <c r="F201" s="84"/>
      <c r="G201" s="84"/>
      <c r="H201" s="84"/>
    </row>
    <row r="202" spans="1:14" s="40" customFormat="1" x14ac:dyDescent="0.35">
      <c r="A202" s="140" t="s">
        <v>223</v>
      </c>
      <c r="B202" s="141"/>
      <c r="C202" s="141"/>
      <c r="D202" s="141"/>
      <c r="E202" s="141"/>
      <c r="F202" s="141"/>
      <c r="G202" s="141"/>
      <c r="H202" s="142"/>
      <c r="J202" s="41"/>
    </row>
    <row r="203" spans="1:14" s="40" customFormat="1" ht="15.75" customHeight="1" x14ac:dyDescent="0.35">
      <c r="A203" s="81">
        <v>1</v>
      </c>
      <c r="B203" s="82"/>
      <c r="C203" s="42" t="s">
        <v>197</v>
      </c>
      <c r="D203" s="42">
        <f>(3.05*5.13+1.5*3.165+2.3*2.815+2.9*2.45+3.05*2.9+3.125*4.41+1.5*2.6+1.5*2.45+1.25*2.3+1.2*2.9+1.5*1+3.05*1+(1.2*3.05+1.2*2.265+2.9*1.2+3.05*1.1+1.2*4.212+1.2*4.41+0.75*2.265+0.75*2.9+0.75*3.2)+0.6*2.4)*10.764</f>
        <v>1144.7826156000001</v>
      </c>
      <c r="E203" s="42">
        <v>0</v>
      </c>
      <c r="F203" s="42">
        <f t="shared" ref="F203:F208" si="3">D203*(($F$198)+1)+(IF(E203&lt;101,E203,IF(E203&lt;201,E203/2,IF(E203&lt;=301,E203/3,E203/4))))</f>
        <v>1717.1739234000001</v>
      </c>
      <c r="G203" s="131" t="str">
        <f>A202</f>
        <v>1st to 7th Floor for Residential</v>
      </c>
      <c r="H203" s="132"/>
      <c r="I203" s="41">
        <f t="shared" ref="I203:I205" si="4">8500000/F203</f>
        <v>4949.9936402307003</v>
      </c>
      <c r="J203" s="41">
        <f>6*7</f>
        <v>42</v>
      </c>
      <c r="L203" s="89"/>
      <c r="M203" s="89"/>
      <c r="N203" s="41"/>
    </row>
    <row r="204" spans="1:14" s="40" customFormat="1" ht="15.75" customHeight="1" x14ac:dyDescent="0.35">
      <c r="A204" s="81">
        <f t="shared" ref="A204:A208" si="5">A203+1</f>
        <v>2</v>
      </c>
      <c r="B204" s="82"/>
      <c r="C204" s="42" t="s">
        <v>196</v>
      </c>
      <c r="D204" s="42">
        <f>(3.05*5.13+1.5*3.165+2.3*2.815+2.9*2.45+3.05*3.715+1.5*2.45+1.25*2.45+1*2.9+(1.2*3.05+1.2*2.3+2.9*1.2+1.2*3.05)+0.75*2.9+0.75*2.265+0.6*2.835+0.6*2.865)*10.764</f>
        <v>815.86276199999963</v>
      </c>
      <c r="E204" s="42">
        <v>0</v>
      </c>
      <c r="F204" s="42">
        <f t="shared" si="3"/>
        <v>1223.7941429999994</v>
      </c>
      <c r="G204" s="133"/>
      <c r="H204" s="134"/>
      <c r="I204" s="41">
        <f t="shared" si="4"/>
        <v>6945.6125841255998</v>
      </c>
      <c r="J204" s="41"/>
      <c r="L204" s="89"/>
      <c r="M204" s="89"/>
      <c r="N204" s="41"/>
    </row>
    <row r="205" spans="1:14" s="40" customFormat="1" ht="15.75" customHeight="1" x14ac:dyDescent="0.35">
      <c r="A205" s="81">
        <f t="shared" si="5"/>
        <v>3</v>
      </c>
      <c r="B205" s="82"/>
      <c r="C205" s="42" t="s">
        <v>196</v>
      </c>
      <c r="D205" s="42">
        <f>(3.05*5.13+1.5*3.165+2.3*2.815+2.9*2.45+3.05*3.715+1.5*2.45+1.25*2.4501*2.9+0.6*2.865+0.6*2.835+(2.265*1.2+1.2*3.05+2.9*1.2+1.2*3.05+0.75*2.3+0.75*2.9))*10.764</f>
        <v>847.11455594999984</v>
      </c>
      <c r="E205" s="42">
        <v>0</v>
      </c>
      <c r="F205" s="42">
        <f t="shared" si="3"/>
        <v>1270.6718339249996</v>
      </c>
      <c r="G205" s="133"/>
      <c r="H205" s="134"/>
      <c r="I205" s="41">
        <f t="shared" si="4"/>
        <v>6689.3746859440544</v>
      </c>
      <c r="J205" s="41"/>
      <c r="L205" s="89"/>
      <c r="M205" s="89"/>
      <c r="N205" s="41"/>
    </row>
    <row r="206" spans="1:14" s="40" customFormat="1" ht="15.75" customHeight="1" x14ac:dyDescent="0.35">
      <c r="A206" s="81">
        <f t="shared" si="5"/>
        <v>4</v>
      </c>
      <c r="B206" s="82"/>
      <c r="C206" s="42" t="s">
        <v>197</v>
      </c>
      <c r="D206" s="42">
        <f>(3.05*5.13+1.5*3.165+2.3*2.815+2.45*2.9+2.9*2.8+3.315*4.215+2.45*1.5+2.45*1.25+2.485*1.35+1.35*1.2+1*2.4+1*2.9+(1.2*3.05+2.265*1.2+2.9*1.2+3.05*1.2+1.2*1.8+0.75*2.8+0.75*3.05+0.75*2.265)+0.6*2.5+0.6*2.735)*10.764</f>
        <v>1054.6968159000003</v>
      </c>
      <c r="E206" s="42">
        <v>0</v>
      </c>
      <c r="F206" s="42">
        <f t="shared" si="3"/>
        <v>1582.0452238500004</v>
      </c>
      <c r="G206" s="133"/>
      <c r="H206" s="134"/>
      <c r="I206" s="41">
        <f>6500000/F206</f>
        <v>4108.6056845972244</v>
      </c>
      <c r="J206" s="41"/>
      <c r="L206" s="89"/>
      <c r="M206" s="89"/>
      <c r="N206" s="41"/>
    </row>
    <row r="207" spans="1:14" s="40" customFormat="1" ht="15.75" customHeight="1" x14ac:dyDescent="0.35">
      <c r="A207" s="81">
        <f t="shared" si="5"/>
        <v>5</v>
      </c>
      <c r="B207" s="82"/>
      <c r="C207" s="42" t="s">
        <v>197</v>
      </c>
      <c r="D207" s="42">
        <f>(3.05*5.13+1.5*3.165+2.3*2.815+2.45*2.9+2.8*4.15+3.315*3.015+2.45*1.5+2.45*1.25+2.485*1.35+1.35*1.2+1*2.4+1*2.9+(1.2*3.05+2.265*1.2+2.9*1.2+3.565*1.2+1.2*2.8+0.75*3.565+0.75*3.015+0.75*2.265)+0.6*2.5+0.6*2.735)*10.764</f>
        <v>1075.0138659000002</v>
      </c>
      <c r="E207" s="42">
        <v>0</v>
      </c>
      <c r="F207" s="42">
        <f t="shared" si="3"/>
        <v>1612.5207988500001</v>
      </c>
      <c r="G207" s="133"/>
      <c r="H207" s="134"/>
      <c r="I207" s="41">
        <f t="shared" ref="I207:I208" si="6">6500000/F207</f>
        <v>4030.9557586082601</v>
      </c>
      <c r="J207" s="41"/>
      <c r="L207" s="89"/>
      <c r="M207" s="89"/>
      <c r="N207" s="41"/>
    </row>
    <row r="208" spans="1:14" s="40" customFormat="1" ht="15.75" customHeight="1" x14ac:dyDescent="0.35">
      <c r="A208" s="81">
        <f t="shared" si="5"/>
        <v>6</v>
      </c>
      <c r="B208" s="82"/>
      <c r="C208" s="42" t="s">
        <v>196</v>
      </c>
      <c r="D208" s="42">
        <f>(3.05*5.13+1.5*3.165+2.3*2.815+2.9*2.45+3.95*3.05+3.95*3.05+1*2.9+1.5*2.45+2.45*1.25+(1.2*(3.05+2.265+2.9+3.05))+0.75*2.265+0.75*2.9+0.6*2.4)*10.764</f>
        <v>931.49234100000001</v>
      </c>
      <c r="E208" s="42">
        <v>0</v>
      </c>
      <c r="F208" s="42">
        <f t="shared" si="3"/>
        <v>1397.2385115</v>
      </c>
      <c r="G208" s="135"/>
      <c r="H208" s="136"/>
      <c r="I208" s="41">
        <f t="shared" si="6"/>
        <v>4652.0332402103277</v>
      </c>
      <c r="J208" s="41"/>
      <c r="L208" s="89"/>
      <c r="M208" s="89"/>
      <c r="N208" s="41"/>
    </row>
    <row r="209" spans="1:14" s="36" customFormat="1" x14ac:dyDescent="0.35">
      <c r="A209" s="84" t="s">
        <v>213</v>
      </c>
      <c r="B209" s="84"/>
      <c r="C209" s="84"/>
      <c r="D209" s="84"/>
      <c r="E209" s="84"/>
      <c r="F209" s="84"/>
      <c r="G209" s="84"/>
      <c r="H209" s="84"/>
    </row>
    <row r="210" spans="1:14" s="36" customFormat="1" x14ac:dyDescent="0.35">
      <c r="A210" s="84" t="s">
        <v>203</v>
      </c>
      <c r="B210" s="84"/>
      <c r="C210" s="84"/>
      <c r="D210" s="84"/>
      <c r="E210" s="84"/>
      <c r="F210" s="84"/>
      <c r="G210" s="84"/>
      <c r="H210" s="84"/>
    </row>
    <row r="211" spans="1:14" s="36" customFormat="1" x14ac:dyDescent="0.35">
      <c r="A211" s="84" t="s">
        <v>195</v>
      </c>
      <c r="B211" s="84"/>
      <c r="C211" s="84"/>
      <c r="D211" s="84"/>
      <c r="E211" s="84"/>
      <c r="F211" s="84"/>
      <c r="G211" s="84"/>
      <c r="H211" s="84"/>
    </row>
    <row r="212" spans="1:14" s="40" customFormat="1" ht="15.75" customHeight="1" x14ac:dyDescent="0.35">
      <c r="A212" s="140" t="s">
        <v>202</v>
      </c>
      <c r="B212" s="141"/>
      <c r="C212" s="141"/>
      <c r="D212" s="141"/>
      <c r="E212" s="141"/>
      <c r="F212" s="141"/>
      <c r="G212" s="141"/>
      <c r="H212" s="142"/>
      <c r="I212" s="41"/>
    </row>
    <row r="213" spans="1:14" s="40" customFormat="1" ht="15.75" customHeight="1" x14ac:dyDescent="0.35">
      <c r="A213" s="81">
        <v>1</v>
      </c>
      <c r="B213" s="82"/>
      <c r="C213" s="42" t="s">
        <v>200</v>
      </c>
      <c r="D213" s="42">
        <f>((3.65*6+2.87*3.45+2.75*2.53+3.2*3.05+3.4*4.7+2.7*3.05+3.61*3.52+1.2*2.29+1.58*2.6+1.35*2.35+1.85*2.75+1.5*3.1+1*1.6+1.5*1+1.6*1.2)+(0.9*3.5+1.2*3.05+1.2*3.2+0.97*2.75+1.2*3.6+0.75*(2.75+3.2+3.05+3.52)))*10.764</f>
        <v>1477.4095908000002</v>
      </c>
      <c r="E213" s="42">
        <v>0</v>
      </c>
      <c r="F213" s="42">
        <f>D213*(($F$198)+1)+(IF(E213&lt;101,E213,IF(E213&lt;201,E213/2,IF(E213&lt;=301,E213/3,E213/4))))</f>
        <v>2216.1143862000004</v>
      </c>
      <c r="G213" s="131" t="str">
        <f>A212</f>
        <v>1st to 8th Floor</v>
      </c>
      <c r="H213" s="132"/>
      <c r="I213" s="41">
        <f>12500000/F213</f>
        <v>5640.5030705269282</v>
      </c>
    </row>
    <row r="214" spans="1:14" s="40" customFormat="1" ht="15.75" customHeight="1" x14ac:dyDescent="0.35">
      <c r="A214" s="81">
        <v>2</v>
      </c>
      <c r="B214" s="82"/>
      <c r="C214" s="42" t="s">
        <v>200</v>
      </c>
      <c r="D214" s="42">
        <f t="shared" ref="D214:D216" si="7">((3.65*6+2.87*3.45+2.75*2.53+3.2*3.05+3.4*4.7+2.7*3.05+3.61*3.52+1.2*2.29+1.58*2.6+1.35*2.35+1.85*2.75+1.5*3.1+1*1.6+1.5*1+1.6*1.2)+(0.9*3.5+1.2*3.05+1.2*3.2+0.97*2.75+1.2*3.6+0.75*(2.75+3.2+3.05+3.52)))*10.764</f>
        <v>1477.4095908000002</v>
      </c>
      <c r="E214" s="42">
        <v>0</v>
      </c>
      <c r="F214" s="42">
        <f>D214*(($F$198)+1)+(IF(E214&lt;101,E214,IF(E214&lt;201,E214/2,IF(E214&lt;=301,E214/3,E214/4))))</f>
        <v>2216.1143862000004</v>
      </c>
      <c r="G214" s="133"/>
      <c r="H214" s="134"/>
      <c r="I214" s="41"/>
    </row>
    <row r="215" spans="1:14" s="40" customFormat="1" ht="15.75" customHeight="1" x14ac:dyDescent="0.35">
      <c r="A215" s="81">
        <v>3</v>
      </c>
      <c r="B215" s="82"/>
      <c r="C215" s="42" t="s">
        <v>200</v>
      </c>
      <c r="D215" s="42">
        <f t="shared" si="7"/>
        <v>1477.4095908000002</v>
      </c>
      <c r="E215" s="42">
        <v>0</v>
      </c>
      <c r="F215" s="42">
        <f>D215*(($F$198)+1)+(IF(E215&lt;101,E215,IF(E215&lt;201,E215/2,IF(E215&lt;=301,E215/3,E215/4))))</f>
        <v>2216.1143862000004</v>
      </c>
      <c r="G215" s="133"/>
      <c r="H215" s="134"/>
      <c r="I215" s="41"/>
    </row>
    <row r="216" spans="1:14" s="40" customFormat="1" ht="15.75" customHeight="1" x14ac:dyDescent="0.35">
      <c r="A216" s="81">
        <v>4</v>
      </c>
      <c r="B216" s="82"/>
      <c r="C216" s="42" t="s">
        <v>200</v>
      </c>
      <c r="D216" s="42">
        <f t="shared" si="7"/>
        <v>1477.4095908000002</v>
      </c>
      <c r="E216" s="42">
        <v>0</v>
      </c>
      <c r="F216" s="42">
        <f>D216*(($F$198)+1)+(IF(E216&lt;101,E216,IF(E216&lt;201,E216/2,IF(E216&lt;=301,E216/3,E216/4))))</f>
        <v>2216.1143862000004</v>
      </c>
      <c r="G216" s="135"/>
      <c r="H216" s="136"/>
      <c r="I216" s="41"/>
    </row>
    <row r="217" spans="1:14" s="36" customFormat="1" x14ac:dyDescent="0.35">
      <c r="A217" s="84" t="s">
        <v>209</v>
      </c>
      <c r="B217" s="84"/>
      <c r="C217" s="84"/>
      <c r="D217" s="84"/>
      <c r="E217" s="84"/>
      <c r="F217" s="84"/>
      <c r="G217" s="84"/>
      <c r="H217" s="84"/>
    </row>
    <row r="218" spans="1:14" s="36" customFormat="1" x14ac:dyDescent="0.35">
      <c r="A218" s="84" t="s">
        <v>210</v>
      </c>
      <c r="B218" s="84"/>
      <c r="C218" s="84"/>
      <c r="D218" s="84"/>
      <c r="E218" s="84"/>
      <c r="F218" s="84"/>
      <c r="G218" s="84"/>
      <c r="H218" s="84"/>
    </row>
    <row r="219" spans="1:14" s="36" customFormat="1" x14ac:dyDescent="0.35">
      <c r="A219" s="84" t="s">
        <v>195</v>
      </c>
      <c r="B219" s="84"/>
      <c r="C219" s="84"/>
      <c r="D219" s="84"/>
      <c r="E219" s="84"/>
      <c r="F219" s="84"/>
      <c r="G219" s="84"/>
      <c r="H219" s="84"/>
    </row>
    <row r="220" spans="1:14" s="40" customFormat="1" x14ac:dyDescent="0.35">
      <c r="A220" s="190" t="s">
        <v>198</v>
      </c>
      <c r="B220" s="190"/>
      <c r="C220" s="190"/>
      <c r="D220" s="190"/>
      <c r="E220" s="190"/>
      <c r="F220" s="190"/>
      <c r="G220" s="190"/>
      <c r="H220" s="190"/>
      <c r="J220" s="41"/>
    </row>
    <row r="221" spans="1:14" s="40" customFormat="1" ht="15.75" customHeight="1" x14ac:dyDescent="0.35">
      <c r="A221" s="147">
        <v>1</v>
      </c>
      <c r="B221" s="147"/>
      <c r="C221" s="64" t="s">
        <v>197</v>
      </c>
      <c r="D221" s="64">
        <f>(93.969+7.965)*10.764</f>
        <v>1097.217576</v>
      </c>
      <c r="E221" s="64">
        <v>0</v>
      </c>
      <c r="F221" s="64">
        <f t="shared" ref="F221:F226" si="8">D221*(($F$198)+1)+(IF(E221&lt;101,E221,IF(E221&lt;201,E221/2,IF(E221&lt;=301,E221/3,E221/4))))</f>
        <v>1645.826364</v>
      </c>
      <c r="G221" s="147" t="str">
        <f>A220</f>
        <v>1st to 6th, 8th to 11th, 13th to 15th Floor for Residential</v>
      </c>
      <c r="H221" s="147"/>
      <c r="I221" s="41">
        <f t="shared" ref="I221:I223" si="9">8500000/F221</f>
        <v>5164.5788315978152</v>
      </c>
      <c r="J221" s="41"/>
      <c r="L221" s="89"/>
      <c r="M221" s="89"/>
      <c r="N221" s="41"/>
    </row>
    <row r="222" spans="1:14" s="40" customFormat="1" ht="15.75" customHeight="1" x14ac:dyDescent="0.35">
      <c r="A222" s="147">
        <f t="shared" ref="A222:A226" si="10">A221+1</f>
        <v>2</v>
      </c>
      <c r="B222" s="147"/>
      <c r="C222" s="64" t="s">
        <v>197</v>
      </c>
      <c r="D222" s="64">
        <f t="shared" ref="D222" si="11">(93.969+7.965)*10.764</f>
        <v>1097.217576</v>
      </c>
      <c r="E222" s="64">
        <v>0</v>
      </c>
      <c r="F222" s="64">
        <f t="shared" si="8"/>
        <v>1645.826364</v>
      </c>
      <c r="G222" s="147"/>
      <c r="H222" s="147"/>
      <c r="I222" s="41">
        <f t="shared" si="9"/>
        <v>5164.5788315978152</v>
      </c>
      <c r="J222" s="41"/>
      <c r="L222" s="89"/>
      <c r="M222" s="89"/>
      <c r="N222" s="41"/>
    </row>
    <row r="223" spans="1:14" s="40" customFormat="1" ht="15.75" customHeight="1" x14ac:dyDescent="0.35">
      <c r="A223" s="147">
        <f t="shared" si="10"/>
        <v>3</v>
      </c>
      <c r="B223" s="147"/>
      <c r="C223" s="64" t="s">
        <v>197</v>
      </c>
      <c r="D223" s="64">
        <f>(106.465+7.965)*10.764</f>
        <v>1231.72452</v>
      </c>
      <c r="E223" s="64">
        <v>0</v>
      </c>
      <c r="F223" s="64">
        <f t="shared" si="8"/>
        <v>1847.5867800000001</v>
      </c>
      <c r="G223" s="147"/>
      <c r="H223" s="147"/>
      <c r="I223" s="41">
        <f t="shared" si="9"/>
        <v>4600.5958107147744</v>
      </c>
      <c r="J223" s="41"/>
      <c r="L223" s="89"/>
      <c r="M223" s="89"/>
      <c r="N223" s="41"/>
    </row>
    <row r="224" spans="1:14" s="40" customFormat="1" ht="15.75" customHeight="1" x14ac:dyDescent="0.35">
      <c r="A224" s="147">
        <f t="shared" si="10"/>
        <v>4</v>
      </c>
      <c r="B224" s="147"/>
      <c r="C224" s="64" t="s">
        <v>196</v>
      </c>
      <c r="D224" s="64">
        <f>(72.913+10.98)*10.764</f>
        <v>903.02425199999993</v>
      </c>
      <c r="E224" s="64">
        <v>0</v>
      </c>
      <c r="F224" s="64">
        <f t="shared" si="8"/>
        <v>1354.5363779999998</v>
      </c>
      <c r="G224" s="147"/>
      <c r="H224" s="147"/>
      <c r="I224" s="41">
        <f>6500000/F224</f>
        <v>4798.6898732076734</v>
      </c>
      <c r="J224" s="41"/>
      <c r="L224" s="89"/>
      <c r="M224" s="89"/>
      <c r="N224" s="41"/>
    </row>
    <row r="225" spans="1:14" s="40" customFormat="1" ht="15.75" customHeight="1" x14ac:dyDescent="0.35">
      <c r="A225" s="147">
        <f t="shared" si="10"/>
        <v>5</v>
      </c>
      <c r="B225" s="147"/>
      <c r="C225" s="64" t="s">
        <v>196</v>
      </c>
      <c r="D225" s="64">
        <f>(66.598+10.865)*10.764</f>
        <v>833.81173199999989</v>
      </c>
      <c r="E225" s="64">
        <v>0</v>
      </c>
      <c r="F225" s="64">
        <f t="shared" si="8"/>
        <v>1250.7175979999997</v>
      </c>
      <c r="G225" s="147"/>
      <c r="H225" s="147"/>
      <c r="I225" s="41">
        <f t="shared" ref="I225:I226" si="12">6500000/F225</f>
        <v>5197.0165050799915</v>
      </c>
      <c r="J225" s="41"/>
      <c r="L225" s="89"/>
      <c r="M225" s="89"/>
      <c r="N225" s="41"/>
    </row>
    <row r="226" spans="1:14" s="40" customFormat="1" ht="15.75" customHeight="1" x14ac:dyDescent="0.35">
      <c r="A226" s="147">
        <f t="shared" si="10"/>
        <v>6</v>
      </c>
      <c r="B226" s="147"/>
      <c r="C226" s="64" t="s">
        <v>196</v>
      </c>
      <c r="D226" s="64">
        <f>(69.113+7.965)*10.764</f>
        <v>829.66759200000001</v>
      </c>
      <c r="E226" s="64">
        <v>0</v>
      </c>
      <c r="F226" s="64">
        <f t="shared" si="8"/>
        <v>1244.5013880000001</v>
      </c>
      <c r="G226" s="147"/>
      <c r="H226" s="147"/>
      <c r="I226" s="41">
        <f t="shared" si="12"/>
        <v>5222.9752916916786</v>
      </c>
      <c r="J226" s="41"/>
      <c r="L226" s="89"/>
      <c r="M226" s="89"/>
      <c r="N226" s="41"/>
    </row>
    <row r="227" spans="1:14" s="40" customFormat="1" x14ac:dyDescent="0.35">
      <c r="A227" s="190" t="s">
        <v>199</v>
      </c>
      <c r="B227" s="190"/>
      <c r="C227" s="190"/>
      <c r="D227" s="190"/>
      <c r="E227" s="190"/>
      <c r="F227" s="190"/>
      <c r="G227" s="190"/>
      <c r="H227" s="190"/>
      <c r="I227" s="41"/>
      <c r="L227" s="89"/>
      <c r="M227" s="89"/>
    </row>
    <row r="228" spans="1:14" s="40" customFormat="1" ht="15.75" customHeight="1" x14ac:dyDescent="0.35">
      <c r="A228" s="147">
        <v>1</v>
      </c>
      <c r="B228" s="147"/>
      <c r="C228" s="42" t="s">
        <v>197</v>
      </c>
      <c r="D228" s="42">
        <f>(93.969+7.965)*10.764</f>
        <v>1097.217576</v>
      </c>
      <c r="E228" s="42">
        <v>0</v>
      </c>
      <c r="F228" s="42">
        <f t="shared" ref="F228:F229" si="13">D228*(($F$198)+1)+(IF(E228&lt;101,E228,IF(E228&lt;201,E228/2,IF(E228&lt;=301,E228/3,E228/4))))</f>
        <v>1645.826364</v>
      </c>
      <c r="G228" s="131" t="str">
        <f>A227</f>
        <v>7th &amp; 12th Floor (Part Refuge Floor)</v>
      </c>
      <c r="H228" s="132"/>
      <c r="I228" s="41"/>
      <c r="N228" s="41"/>
    </row>
    <row r="229" spans="1:14" s="40" customFormat="1" ht="15.75" customHeight="1" x14ac:dyDescent="0.35">
      <c r="A229" s="147">
        <f>A228+1</f>
        <v>2</v>
      </c>
      <c r="B229" s="147"/>
      <c r="C229" s="42" t="s">
        <v>197</v>
      </c>
      <c r="D229" s="42">
        <f t="shared" ref="D229" si="14">(93.969+7.965)*10.764</f>
        <v>1097.217576</v>
      </c>
      <c r="E229" s="42">
        <v>0</v>
      </c>
      <c r="F229" s="42">
        <f t="shared" si="13"/>
        <v>1645.826364</v>
      </c>
      <c r="G229" s="133"/>
      <c r="H229" s="134"/>
      <c r="I229" s="41"/>
      <c r="N229" s="41"/>
    </row>
    <row r="230" spans="1:14" s="40" customFormat="1" ht="15.75" customHeight="1" x14ac:dyDescent="0.35">
      <c r="A230" s="147">
        <f>A229+1</f>
        <v>3</v>
      </c>
      <c r="B230" s="147"/>
      <c r="C230" s="42" t="s">
        <v>200</v>
      </c>
      <c r="D230" s="42">
        <f>(128.777+7.965)*10.764</f>
        <v>1471.8908879999999</v>
      </c>
      <c r="E230" s="42">
        <v>0</v>
      </c>
      <c r="F230" s="42">
        <f>D230*(($F$198)+1)+(IF(E230&lt;101,E230,IF(E230&lt;201,E230/2,IF(E230&lt;=301,E230/3,E230/4))))</f>
        <v>2207.8363319999999</v>
      </c>
      <c r="G230" s="133"/>
      <c r="H230" s="134"/>
      <c r="I230" s="41"/>
      <c r="N230" s="41"/>
    </row>
    <row r="231" spans="1:14" s="40" customFormat="1" ht="15.75" customHeight="1" x14ac:dyDescent="0.35">
      <c r="A231" s="147">
        <f>A230+1</f>
        <v>4</v>
      </c>
      <c r="B231" s="147"/>
      <c r="C231" s="81" t="s">
        <v>201</v>
      </c>
      <c r="D231" s="185"/>
      <c r="E231" s="185"/>
      <c r="F231" s="82"/>
      <c r="G231" s="133"/>
      <c r="H231" s="134"/>
      <c r="I231" s="41"/>
      <c r="N231" s="41"/>
    </row>
    <row r="232" spans="1:14" s="40" customFormat="1" ht="15.75" customHeight="1" x14ac:dyDescent="0.35">
      <c r="A232" s="147">
        <f>A231+1</f>
        <v>5</v>
      </c>
      <c r="B232" s="147"/>
      <c r="C232" s="42" t="s">
        <v>197</v>
      </c>
      <c r="D232" s="42">
        <f>(82.848+15.89)*10.764</f>
        <v>1062.815832</v>
      </c>
      <c r="E232" s="42">
        <v>0</v>
      </c>
      <c r="F232" s="42">
        <f>D232*(($F$198)+1)+(IF(E232&lt;101,E232,IF(E232&lt;201,E232/2,IF(E232&lt;=301,E232/3,E232/4))))</f>
        <v>1594.2237479999999</v>
      </c>
      <c r="G232" s="133"/>
      <c r="H232" s="134"/>
      <c r="I232" s="41"/>
      <c r="N232" s="41"/>
    </row>
    <row r="233" spans="1:14" s="40" customFormat="1" ht="15.75" customHeight="1" x14ac:dyDescent="0.35">
      <c r="A233" s="147">
        <f>A232+1</f>
        <v>6</v>
      </c>
      <c r="B233" s="147"/>
      <c r="C233" s="42" t="s">
        <v>196</v>
      </c>
      <c r="D233" s="42">
        <f>(69.113+7.965)*10.764</f>
        <v>829.66759200000001</v>
      </c>
      <c r="E233" s="42">
        <v>0</v>
      </c>
      <c r="F233" s="42">
        <f>D233*(($F$198)+1)+(IF(E233&lt;101,E233,IF(E233&lt;201,E233/2,IF(E233&lt;=301,E233/3,E233/4))))</f>
        <v>1244.5013880000001</v>
      </c>
      <c r="G233" s="135"/>
      <c r="H233" s="136"/>
      <c r="I233" s="41"/>
      <c r="N233" s="41"/>
    </row>
    <row r="234" spans="1:14" s="36" customFormat="1" x14ac:dyDescent="0.35">
      <c r="A234" s="84" t="s">
        <v>211</v>
      </c>
      <c r="B234" s="84"/>
      <c r="C234" s="84"/>
      <c r="D234" s="84"/>
      <c r="E234" s="84"/>
      <c r="F234" s="84"/>
      <c r="G234" s="84"/>
      <c r="H234" s="84"/>
    </row>
    <row r="235" spans="1:14" s="36" customFormat="1" x14ac:dyDescent="0.35">
      <c r="A235" s="84" t="s">
        <v>195</v>
      </c>
      <c r="B235" s="84"/>
      <c r="C235" s="84"/>
      <c r="D235" s="84"/>
      <c r="E235" s="84"/>
      <c r="F235" s="84"/>
      <c r="G235" s="84"/>
      <c r="H235" s="84"/>
    </row>
    <row r="236" spans="1:14" s="40" customFormat="1" ht="15.75" customHeight="1" x14ac:dyDescent="0.35">
      <c r="A236" s="140" t="s">
        <v>198</v>
      </c>
      <c r="B236" s="141"/>
      <c r="C236" s="141"/>
      <c r="D236" s="141"/>
      <c r="E236" s="141"/>
      <c r="F236" s="141"/>
      <c r="G236" s="141"/>
      <c r="H236" s="142"/>
      <c r="I236" s="41"/>
    </row>
    <row r="237" spans="1:14" s="40" customFormat="1" ht="15.75" customHeight="1" x14ac:dyDescent="0.35">
      <c r="A237" s="81">
        <v>1</v>
      </c>
      <c r="B237" s="82"/>
      <c r="C237" s="42" t="s">
        <v>197</v>
      </c>
      <c r="D237" s="42">
        <f>(91.418+14.88)*10.764</f>
        <v>1144.1916719999999</v>
      </c>
      <c r="E237" s="42">
        <v>0</v>
      </c>
      <c r="F237" s="42">
        <f>D237*(($F$198)+1)+(IF(E237&lt;101,E237,IF(E237&lt;201,E237/2,IF(E237&lt;=301,E237/3,E237/4))))</f>
        <v>1716.2875079999999</v>
      </c>
      <c r="G237" s="131" t="str">
        <f>A236</f>
        <v>1st to 6th, 8th to 11th, 13th to 15th Floor for Residential</v>
      </c>
      <c r="H237" s="132"/>
      <c r="I237" s="41"/>
    </row>
    <row r="238" spans="1:14" s="40" customFormat="1" ht="15.75" customHeight="1" x14ac:dyDescent="0.35">
      <c r="A238" s="81">
        <v>2</v>
      </c>
      <c r="B238" s="82"/>
      <c r="C238" s="42" t="s">
        <v>197</v>
      </c>
      <c r="D238" s="42">
        <f>(94.841+10.962)*10.764</f>
        <v>1138.863492</v>
      </c>
      <c r="E238" s="42">
        <v>0</v>
      </c>
      <c r="F238" s="42">
        <f>D238*(($F$198)+1)+(IF(E238&lt;101,E238,IF(E238&lt;201,E238/2,IF(E238&lt;=301,E238/3,E238/4))))</f>
        <v>1708.2952379999999</v>
      </c>
      <c r="G238" s="133"/>
      <c r="H238" s="134"/>
      <c r="I238" s="41"/>
    </row>
    <row r="239" spans="1:14" s="40" customFormat="1" ht="15.75" customHeight="1" x14ac:dyDescent="0.35">
      <c r="A239" s="81">
        <v>3</v>
      </c>
      <c r="B239" s="82"/>
      <c r="C239" s="42" t="s">
        <v>197</v>
      </c>
      <c r="D239" s="42">
        <f>(88.795+13.827)*10.764</f>
        <v>1104.623208</v>
      </c>
      <c r="E239" s="42">
        <v>0</v>
      </c>
      <c r="F239" s="42">
        <f>D239*(($F$198)+1)+(IF(E239&lt;101,E239,IF(E239&lt;201,E239/2,IF(E239&lt;=301,E239/3,E239/4))))</f>
        <v>1656.934812</v>
      </c>
      <c r="G239" s="133"/>
      <c r="H239" s="134"/>
      <c r="I239" s="41"/>
    </row>
    <row r="240" spans="1:14" s="40" customFormat="1" ht="15.75" customHeight="1" x14ac:dyDescent="0.35">
      <c r="A240" s="81">
        <v>4</v>
      </c>
      <c r="B240" s="82"/>
      <c r="C240" s="42" t="s">
        <v>196</v>
      </c>
      <c r="D240" s="42">
        <f>(61.734+14.281)*10.764</f>
        <v>818.22546</v>
      </c>
      <c r="E240" s="42">
        <v>0</v>
      </c>
      <c r="F240" s="42">
        <f>D240*(($F$198)+1)+(IF(E240&lt;101,E240,IF(E240&lt;201,E240/2,IF(E240&lt;=301,E240/3,E240/4))))</f>
        <v>1227.3381899999999</v>
      </c>
      <c r="G240" s="135"/>
      <c r="H240" s="136"/>
      <c r="I240" s="41"/>
    </row>
    <row r="241" spans="1:9" s="40" customFormat="1" x14ac:dyDescent="0.35">
      <c r="A241" s="140" t="s">
        <v>199</v>
      </c>
      <c r="B241" s="141"/>
      <c r="C241" s="141"/>
      <c r="D241" s="141"/>
      <c r="E241" s="141"/>
      <c r="F241" s="141"/>
      <c r="G241" s="141"/>
      <c r="H241" s="142"/>
      <c r="I241" s="41"/>
    </row>
    <row r="242" spans="1:9" s="40" customFormat="1" ht="15.75" customHeight="1" x14ac:dyDescent="0.35">
      <c r="A242" s="81">
        <v>1</v>
      </c>
      <c r="B242" s="82"/>
      <c r="C242" s="42" t="s">
        <v>197</v>
      </c>
      <c r="D242" s="42">
        <f>(91.418+14.88)*10.764</f>
        <v>1144.1916719999999</v>
      </c>
      <c r="E242" s="42">
        <v>0</v>
      </c>
      <c r="F242" s="42">
        <f>D242*(($F$198)+1)+(IF(E242&lt;101,E242,IF(E242&lt;201,E242/2,IF(E242&lt;=301,E242/3,E242/4))))</f>
        <v>1716.2875079999999</v>
      </c>
      <c r="G242" s="131" t="str">
        <f>A241</f>
        <v>7th &amp; 12th Floor (Part Refuge Floor)</v>
      </c>
      <c r="H242" s="132"/>
      <c r="I242" s="41"/>
    </row>
    <row r="243" spans="1:9" s="40" customFormat="1" ht="15.75" customHeight="1" x14ac:dyDescent="0.35">
      <c r="A243" s="81">
        <v>2</v>
      </c>
      <c r="B243" s="82"/>
      <c r="C243" s="42" t="s">
        <v>197</v>
      </c>
      <c r="D243" s="42">
        <f>(94.841+10.962)*10.764</f>
        <v>1138.863492</v>
      </c>
      <c r="E243" s="42">
        <v>0</v>
      </c>
      <c r="F243" s="42">
        <f>D243*(($F$198)+1)+(IF(E243&lt;101,E243,IF(E243&lt;201,E243/2,IF(E243&lt;=301,E243/3,E243/4))))</f>
        <v>1708.2952379999999</v>
      </c>
      <c r="G243" s="133"/>
      <c r="H243" s="134"/>
      <c r="I243" s="41"/>
    </row>
    <row r="244" spans="1:9" s="40" customFormat="1" ht="15.75" customHeight="1" x14ac:dyDescent="0.35">
      <c r="A244" s="81">
        <v>3</v>
      </c>
      <c r="B244" s="82"/>
      <c r="C244" s="42" t="s">
        <v>197</v>
      </c>
      <c r="D244" s="42">
        <f>(88.795+13.827)*10.764</f>
        <v>1104.623208</v>
      </c>
      <c r="E244" s="42">
        <v>0</v>
      </c>
      <c r="F244" s="42">
        <f>D244*(($F$198)+1)+(IF(E244&lt;101,E244,IF(E244&lt;201,E244/2,IF(E244&lt;=301,E244/3,E244/4))))</f>
        <v>1656.934812</v>
      </c>
      <c r="G244" s="133"/>
      <c r="H244" s="134"/>
      <c r="I244" s="41"/>
    </row>
    <row r="245" spans="1:9" s="40" customFormat="1" ht="15.75" customHeight="1" x14ac:dyDescent="0.35">
      <c r="A245" s="81">
        <v>4</v>
      </c>
      <c r="B245" s="82"/>
      <c r="C245" s="42" t="s">
        <v>196</v>
      </c>
      <c r="D245" s="42">
        <f>(61.734+14.281)*10.764</f>
        <v>818.22546</v>
      </c>
      <c r="E245" s="42">
        <v>0</v>
      </c>
      <c r="F245" s="42">
        <f>D245*(($F$198)+1)+(IF(E245&lt;101,E245,IF(E245&lt;201,E245/2,IF(E245&lt;=301,E245/3,E245/4))))</f>
        <v>1227.3381899999999</v>
      </c>
      <c r="G245" s="135"/>
      <c r="H245" s="136"/>
      <c r="I245" s="41"/>
    </row>
    <row r="246" spans="1:9" s="36" customFormat="1" x14ac:dyDescent="0.35">
      <c r="A246" s="84" t="s">
        <v>212</v>
      </c>
      <c r="B246" s="84"/>
      <c r="C246" s="84"/>
      <c r="D246" s="84"/>
      <c r="E246" s="84"/>
      <c r="F246" s="84"/>
      <c r="G246" s="84"/>
      <c r="H246" s="84"/>
    </row>
    <row r="247" spans="1:9" s="36" customFormat="1" x14ac:dyDescent="0.35">
      <c r="A247" s="84" t="s">
        <v>195</v>
      </c>
      <c r="B247" s="84"/>
      <c r="C247" s="84"/>
      <c r="D247" s="84"/>
      <c r="E247" s="84"/>
      <c r="F247" s="84"/>
      <c r="G247" s="84"/>
      <c r="H247" s="84"/>
    </row>
    <row r="248" spans="1:9" s="40" customFormat="1" ht="15.75" customHeight="1" x14ac:dyDescent="0.35">
      <c r="A248" s="140" t="s">
        <v>198</v>
      </c>
      <c r="B248" s="141"/>
      <c r="C248" s="141"/>
      <c r="D248" s="141"/>
      <c r="E248" s="141"/>
      <c r="F248" s="141"/>
      <c r="G248" s="141"/>
      <c r="H248" s="142"/>
      <c r="I248" s="41"/>
    </row>
    <row r="249" spans="1:9" s="40" customFormat="1" ht="15.75" customHeight="1" x14ac:dyDescent="0.35">
      <c r="A249" s="81">
        <v>1</v>
      </c>
      <c r="B249" s="82"/>
      <c r="C249" s="42" t="s">
        <v>196</v>
      </c>
      <c r="D249" s="42">
        <f>(70.123+10.812)*10.764</f>
        <v>871.18434000000002</v>
      </c>
      <c r="E249" s="42">
        <v>0</v>
      </c>
      <c r="F249" s="42">
        <f>D249*(($F$198)+1)+(IF(E249&lt;101,E249,IF(E249&lt;201,E249/2,IF(E249&lt;=301,E249/3,E249/4))))</f>
        <v>1306.7765100000001</v>
      </c>
      <c r="G249" s="131" t="str">
        <f>A248</f>
        <v>1st to 6th, 8th to 11th, 13th to 15th Floor for Residential</v>
      </c>
      <c r="H249" s="132"/>
      <c r="I249" s="41"/>
    </row>
    <row r="250" spans="1:9" s="40" customFormat="1" ht="15.75" customHeight="1" x14ac:dyDescent="0.35">
      <c r="A250" s="81">
        <v>2</v>
      </c>
      <c r="B250" s="82"/>
      <c r="C250" s="42" t="s">
        <v>196</v>
      </c>
      <c r="D250" s="42">
        <f t="shared" ref="D250" si="15">(70.123+10.812)*10.764</f>
        <v>871.18434000000002</v>
      </c>
      <c r="E250" s="42">
        <v>0</v>
      </c>
      <c r="F250" s="42">
        <f>D250*(($F$198)+1)+(IF(E250&lt;101,E250,IF(E250&lt;201,E250/2,IF(E250&lt;=301,E250/3,E250/4))))</f>
        <v>1306.7765100000001</v>
      </c>
      <c r="G250" s="133"/>
      <c r="H250" s="134"/>
      <c r="I250" s="41"/>
    </row>
    <row r="251" spans="1:9" s="40" customFormat="1" ht="15.75" customHeight="1" x14ac:dyDescent="0.35">
      <c r="A251" s="81">
        <v>3</v>
      </c>
      <c r="B251" s="82"/>
      <c r="C251" s="42" t="s">
        <v>196</v>
      </c>
      <c r="D251" s="42">
        <f>(66.598+10.812)*10.764</f>
        <v>833.24123999999995</v>
      </c>
      <c r="E251" s="42">
        <v>0</v>
      </c>
      <c r="F251" s="42">
        <f>D251*(($F$198)+1)+(IF(E251&lt;101,E251,IF(E251&lt;201,E251/2,IF(E251&lt;=301,E251/3,E251/4))))</f>
        <v>1249.86186</v>
      </c>
      <c r="G251" s="133"/>
      <c r="H251" s="134"/>
      <c r="I251" s="41"/>
    </row>
    <row r="252" spans="1:9" s="40" customFormat="1" ht="15.75" customHeight="1" x14ac:dyDescent="0.35">
      <c r="A252" s="81">
        <v>4</v>
      </c>
      <c r="B252" s="82"/>
      <c r="C252" s="42" t="s">
        <v>196</v>
      </c>
      <c r="D252" s="42">
        <f>(66.598+10.812)*10.764</f>
        <v>833.24123999999995</v>
      </c>
      <c r="E252" s="42">
        <v>0</v>
      </c>
      <c r="F252" s="42">
        <f>D252*(($F$198)+1)+(IF(E252&lt;101,E252,IF(E252&lt;201,E252/2,IF(E252&lt;=301,E252/3,E252/4))))</f>
        <v>1249.86186</v>
      </c>
      <c r="G252" s="135"/>
      <c r="H252" s="136"/>
      <c r="I252" s="41"/>
    </row>
    <row r="253" spans="1:9" s="40" customFormat="1" x14ac:dyDescent="0.35">
      <c r="A253" s="190" t="s">
        <v>199</v>
      </c>
      <c r="B253" s="190"/>
      <c r="C253" s="190"/>
      <c r="D253" s="190"/>
      <c r="E253" s="190"/>
      <c r="F253" s="190"/>
      <c r="G253" s="190"/>
      <c r="H253" s="190"/>
      <c r="I253" s="41"/>
    </row>
    <row r="254" spans="1:9" s="40" customFormat="1" ht="15.75" customHeight="1" x14ac:dyDescent="0.35">
      <c r="A254" s="147">
        <v>1</v>
      </c>
      <c r="B254" s="147"/>
      <c r="C254" s="64" t="s">
        <v>196</v>
      </c>
      <c r="D254" s="64">
        <f>(70.123+10.812)*10.764</f>
        <v>871.18434000000002</v>
      </c>
      <c r="E254" s="64">
        <v>0</v>
      </c>
      <c r="F254" s="64">
        <f>D254*(($F$198)+1)+(IF(E254&lt;101,E254,IF(E254&lt;201,E254/2,IF(E254&lt;=301,E254/3,E254/4))))</f>
        <v>1306.7765100000001</v>
      </c>
      <c r="G254" s="147" t="str">
        <f>A253</f>
        <v>7th &amp; 12th Floor (Part Refuge Floor)</v>
      </c>
      <c r="H254" s="147"/>
      <c r="I254" s="41"/>
    </row>
    <row r="255" spans="1:9" s="40" customFormat="1" ht="15.75" customHeight="1" x14ac:dyDescent="0.35">
      <c r="A255" s="147">
        <v>2</v>
      </c>
      <c r="B255" s="147"/>
      <c r="C255" s="64" t="s">
        <v>196</v>
      </c>
      <c r="D255" s="64">
        <f t="shared" ref="D255" si="16">(70.123+10.812)*10.764</f>
        <v>871.18434000000002</v>
      </c>
      <c r="E255" s="64">
        <v>0</v>
      </c>
      <c r="F255" s="64">
        <f>D255*(($F$198)+1)+(IF(E255&lt;101,E255,IF(E255&lt;201,E255/2,IF(E255&lt;=301,E255/3,E255/4))))</f>
        <v>1306.7765100000001</v>
      </c>
      <c r="G255" s="147"/>
      <c r="H255" s="147"/>
      <c r="I255" s="41"/>
    </row>
    <row r="256" spans="1:9" s="40" customFormat="1" ht="15.75" customHeight="1" x14ac:dyDescent="0.35">
      <c r="A256" s="147">
        <v>3</v>
      </c>
      <c r="B256" s="147"/>
      <c r="C256" s="64" t="s">
        <v>196</v>
      </c>
      <c r="D256" s="64">
        <f>(66.598+10.812)*10.764</f>
        <v>833.24123999999995</v>
      </c>
      <c r="E256" s="64">
        <v>0</v>
      </c>
      <c r="F256" s="64">
        <f>D256*(($F$198)+1)+(IF(E256&lt;101,E256,IF(E256&lt;201,E256/2,IF(E256&lt;=301,E256/3,E256/4))))</f>
        <v>1249.86186</v>
      </c>
      <c r="G256" s="147"/>
      <c r="H256" s="147"/>
      <c r="I256" s="41"/>
    </row>
    <row r="257" spans="1:9" s="40" customFormat="1" ht="15.75" customHeight="1" x14ac:dyDescent="0.35">
      <c r="A257" s="147">
        <v>4</v>
      </c>
      <c r="B257" s="147"/>
      <c r="C257" s="64" t="s">
        <v>196</v>
      </c>
      <c r="D257" s="64">
        <f>(66.598+10.812)*10.764</f>
        <v>833.24123999999995</v>
      </c>
      <c r="E257" s="64">
        <v>0</v>
      </c>
      <c r="F257" s="64">
        <f>D257*(($F$198)+1)+(IF(E257&lt;101,E257,IF(E257&lt;201,E257/2,IF(E257&lt;=301,E257/3,E257/4))))</f>
        <v>1249.86186</v>
      </c>
      <c r="G257" s="147"/>
      <c r="H257" s="147"/>
      <c r="I257" s="41"/>
    </row>
    <row r="258" spans="1:9" s="37" customFormat="1" x14ac:dyDescent="0.35">
      <c r="A258" s="150" t="s">
        <v>72</v>
      </c>
      <c r="B258" s="150"/>
      <c r="C258" s="150"/>
      <c r="D258" s="150"/>
      <c r="E258" s="150"/>
      <c r="F258" s="150"/>
      <c r="G258" s="150"/>
      <c r="H258" s="150"/>
    </row>
    <row r="259" spans="1:9" s="37" customFormat="1" ht="64.5" customHeight="1" x14ac:dyDescent="0.35">
      <c r="A259" s="62" t="s">
        <v>161</v>
      </c>
      <c r="B259" s="151" t="s">
        <v>250</v>
      </c>
      <c r="C259" s="151"/>
      <c r="D259" s="151"/>
      <c r="E259" s="151"/>
      <c r="F259" s="151"/>
      <c r="G259" s="151"/>
      <c r="H259" s="151"/>
    </row>
    <row r="260" spans="1:9" s="37" customFormat="1" x14ac:dyDescent="0.35">
      <c r="A260" s="58" t="s">
        <v>161</v>
      </c>
      <c r="B260" s="151" t="str">
        <f>(IF(F197="Saleable area Loading :","We have considered Saleable area of Flats as per our Calculation.","We considered Saleable area of Flat as per Builder area Sheet."))</f>
        <v>We have considered Saleable area of Flats as per our Calculation.</v>
      </c>
      <c r="C260" s="151"/>
      <c r="D260" s="151"/>
      <c r="E260" s="151"/>
      <c r="F260" s="151"/>
      <c r="G260" s="151"/>
      <c r="H260" s="151"/>
    </row>
    <row r="261" spans="1:9" s="37" customFormat="1" x14ac:dyDescent="0.35">
      <c r="A261" s="58" t="s">
        <v>161</v>
      </c>
      <c r="B261" s="151" t="str">
        <f>(IF(F190="Saleable area Loading :","We have considered Saleable area of Commercial as per our Calculation.","We considered Saleable area of Commercial as per Builder area Sheet."))</f>
        <v>We have considered Saleable area of Commercial as per our Calculation.</v>
      </c>
      <c r="C261" s="151"/>
      <c r="D261" s="151"/>
      <c r="E261" s="151"/>
      <c r="F261" s="151"/>
      <c r="G261" s="151"/>
      <c r="H261" s="151"/>
    </row>
    <row r="262" spans="1:9" s="37" customFormat="1" x14ac:dyDescent="0.35">
      <c r="A262" s="58" t="s">
        <v>161</v>
      </c>
      <c r="B262" s="151" t="s">
        <v>131</v>
      </c>
      <c r="C262" s="151"/>
      <c r="D262" s="151"/>
      <c r="E262" s="151"/>
      <c r="F262" s="151"/>
      <c r="G262" s="151"/>
      <c r="H262" s="151"/>
    </row>
    <row r="263" spans="1:9" s="37" customFormat="1" x14ac:dyDescent="0.35">
      <c r="A263" s="58" t="s">
        <v>161</v>
      </c>
      <c r="B263" s="151" t="s">
        <v>208</v>
      </c>
      <c r="C263" s="151"/>
      <c r="D263" s="151"/>
      <c r="E263" s="151"/>
      <c r="F263" s="151"/>
      <c r="G263" s="151"/>
      <c r="H263" s="151"/>
    </row>
    <row r="264" spans="1:9" s="37" customFormat="1" x14ac:dyDescent="0.35">
      <c r="A264" s="58" t="s">
        <v>161</v>
      </c>
      <c r="B264" s="151" t="s">
        <v>160</v>
      </c>
      <c r="C264" s="151"/>
      <c r="D264" s="151"/>
      <c r="E264" s="151"/>
      <c r="F264" s="151"/>
      <c r="G264" s="151"/>
      <c r="H264" s="151"/>
    </row>
    <row r="265" spans="1:9" s="37" customFormat="1" x14ac:dyDescent="0.35">
      <c r="A265" s="58" t="s">
        <v>161</v>
      </c>
      <c r="B265" s="151" t="s">
        <v>132</v>
      </c>
      <c r="C265" s="151"/>
      <c r="D265" s="151"/>
      <c r="E265" s="151"/>
      <c r="F265" s="151"/>
      <c r="G265" s="151"/>
      <c r="H265" s="151"/>
    </row>
    <row r="266" spans="1:9" s="37" customFormat="1" ht="34.5" customHeight="1" x14ac:dyDescent="0.35">
      <c r="A266" s="58" t="s">
        <v>161</v>
      </c>
      <c r="B266" s="151" t="s">
        <v>162</v>
      </c>
      <c r="C266" s="151"/>
      <c r="D266" s="151"/>
      <c r="E266" s="151"/>
      <c r="F266" s="151"/>
      <c r="G266" s="151"/>
      <c r="H266" s="151"/>
    </row>
    <row r="267" spans="1:9" s="37" customFormat="1" x14ac:dyDescent="0.35">
      <c r="A267" s="58" t="s">
        <v>161</v>
      </c>
      <c r="B267" s="153" t="s">
        <v>133</v>
      </c>
      <c r="C267" s="153"/>
      <c r="D267" s="153"/>
      <c r="E267" s="153"/>
      <c r="F267" s="153"/>
      <c r="G267" s="153"/>
      <c r="H267" s="153"/>
    </row>
    <row r="268" spans="1:9" s="37" customFormat="1" ht="31.5" customHeight="1" x14ac:dyDescent="0.35">
      <c r="A268" s="43" t="s">
        <v>161</v>
      </c>
      <c r="B268" s="67" t="s">
        <v>216</v>
      </c>
      <c r="C268" s="68"/>
      <c r="D268" s="68"/>
      <c r="E268" s="68"/>
      <c r="F268" s="68"/>
      <c r="G268" s="68"/>
      <c r="H268" s="69"/>
    </row>
    <row r="269" spans="1:9" s="37" customFormat="1" ht="49.5" customHeight="1" x14ac:dyDescent="0.35">
      <c r="A269" s="43" t="s">
        <v>161</v>
      </c>
      <c r="B269" s="67" t="s">
        <v>227</v>
      </c>
      <c r="C269" s="68"/>
      <c r="D269" s="68"/>
      <c r="E269" s="68"/>
      <c r="F269" s="68"/>
      <c r="G269" s="68"/>
      <c r="H269" s="69"/>
    </row>
    <row r="270" spans="1:9" s="37" customFormat="1" hidden="1" x14ac:dyDescent="0.35">
      <c r="A270" s="43" t="s">
        <v>161</v>
      </c>
      <c r="B270" s="67" t="s">
        <v>238</v>
      </c>
      <c r="C270" s="68"/>
      <c r="D270" s="68"/>
      <c r="E270" s="68"/>
      <c r="F270" s="68"/>
      <c r="G270" s="68"/>
      <c r="H270" s="69"/>
    </row>
    <row r="271" spans="1:9" s="37" customFormat="1" ht="79.5" customHeight="1" x14ac:dyDescent="0.35">
      <c r="A271" s="43" t="s">
        <v>161</v>
      </c>
      <c r="B271" s="67" t="s">
        <v>231</v>
      </c>
      <c r="C271" s="68"/>
      <c r="D271" s="68"/>
      <c r="E271" s="68"/>
      <c r="F271" s="68"/>
      <c r="G271" s="68"/>
      <c r="H271" s="69"/>
    </row>
    <row r="272" spans="1:9" s="37" customFormat="1" ht="34.5" customHeight="1" x14ac:dyDescent="0.35">
      <c r="A272" s="43" t="s">
        <v>161</v>
      </c>
      <c r="B272" s="67" t="s">
        <v>232</v>
      </c>
      <c r="C272" s="68"/>
      <c r="D272" s="68"/>
      <c r="E272" s="68"/>
      <c r="F272" s="68"/>
      <c r="G272" s="68"/>
      <c r="H272" s="69"/>
    </row>
    <row r="273" spans="1:8" s="37" customFormat="1" x14ac:dyDescent="0.35">
      <c r="A273" s="43" t="s">
        <v>161</v>
      </c>
      <c r="B273" s="67" t="s">
        <v>226</v>
      </c>
      <c r="C273" s="68"/>
      <c r="D273" s="68"/>
      <c r="E273" s="68"/>
      <c r="F273" s="68"/>
      <c r="G273" s="68"/>
      <c r="H273" s="69"/>
    </row>
    <row r="274" spans="1:8" s="37" customFormat="1" x14ac:dyDescent="0.35">
      <c r="A274" s="54" t="s">
        <v>161</v>
      </c>
      <c r="B274" s="67" t="s">
        <v>239</v>
      </c>
      <c r="C274" s="68"/>
      <c r="D274" s="68"/>
      <c r="E274" s="68"/>
      <c r="F274" s="68"/>
      <c r="G274" s="68"/>
      <c r="H274" s="69"/>
    </row>
    <row r="275" spans="1:8" s="37" customFormat="1" hidden="1" x14ac:dyDescent="0.35">
      <c r="A275" s="57" t="s">
        <v>161</v>
      </c>
      <c r="B275" s="67" t="s">
        <v>251</v>
      </c>
      <c r="C275" s="68"/>
      <c r="D275" s="68"/>
      <c r="E275" s="68"/>
      <c r="F275" s="68"/>
      <c r="G275" s="68"/>
      <c r="H275" s="69"/>
    </row>
    <row r="276" spans="1:8" s="37" customFormat="1" ht="32.5" customHeight="1" x14ac:dyDescent="0.35">
      <c r="A276" s="62" t="s">
        <v>161</v>
      </c>
      <c r="B276" s="217" t="s">
        <v>253</v>
      </c>
      <c r="C276" s="218"/>
      <c r="D276" s="218"/>
      <c r="E276" s="218"/>
      <c r="F276" s="218"/>
      <c r="G276" s="218"/>
      <c r="H276" s="219"/>
    </row>
    <row r="277" spans="1:8" x14ac:dyDescent="0.35">
      <c r="A277" s="154" t="s">
        <v>65</v>
      </c>
      <c r="B277" s="154"/>
      <c r="C277" s="154"/>
      <c r="D277" s="154"/>
      <c r="E277" s="154"/>
      <c r="F277" s="154"/>
      <c r="G277" s="154"/>
      <c r="H277" s="154"/>
    </row>
    <row r="278" spans="1:8" x14ac:dyDescent="0.35">
      <c r="A278" s="95" t="s">
        <v>66</v>
      </c>
      <c r="B278" s="95"/>
      <c r="C278" s="95"/>
      <c r="D278" s="95"/>
      <c r="E278" s="95"/>
      <c r="F278" s="95"/>
      <c r="G278" s="95"/>
      <c r="H278" s="95"/>
    </row>
    <row r="279" spans="1:8" ht="15.75" customHeight="1" x14ac:dyDescent="0.35">
      <c r="A279" s="152" t="s">
        <v>67</v>
      </c>
      <c r="B279" s="152"/>
      <c r="C279" s="152"/>
      <c r="D279" s="152"/>
      <c r="E279" s="152"/>
      <c r="F279" s="152"/>
      <c r="G279" s="152"/>
      <c r="H279" s="152"/>
    </row>
    <row r="280" spans="1:8" x14ac:dyDescent="0.35">
      <c r="A280" s="95" t="s">
        <v>68</v>
      </c>
      <c r="B280" s="95"/>
      <c r="C280" s="95"/>
      <c r="D280" s="95"/>
      <c r="E280" s="95"/>
      <c r="F280" s="95"/>
      <c r="G280" s="95"/>
      <c r="H280" s="95"/>
    </row>
    <row r="281" spans="1:8" x14ac:dyDescent="0.35">
      <c r="A281" s="95" t="s">
        <v>69</v>
      </c>
      <c r="B281" s="95"/>
      <c r="C281" s="95"/>
      <c r="D281" s="95"/>
      <c r="E281" s="95"/>
      <c r="F281" s="95"/>
      <c r="G281" s="95"/>
      <c r="H281" s="95"/>
    </row>
    <row r="282" spans="1:8" x14ac:dyDescent="0.35">
      <c r="A282" s="95" t="s">
        <v>134</v>
      </c>
      <c r="B282" s="95"/>
      <c r="C282" s="95"/>
      <c r="D282" s="95"/>
      <c r="E282" s="95"/>
      <c r="F282" s="95"/>
      <c r="G282" s="95"/>
      <c r="H282" s="95"/>
    </row>
    <row r="283" spans="1:8" ht="35.25" hidden="1" customHeight="1" x14ac:dyDescent="0.35">
      <c r="A283" s="90" t="s">
        <v>135</v>
      </c>
      <c r="B283" s="90"/>
      <c r="C283" s="90"/>
      <c r="D283" s="90"/>
      <c r="E283" s="90"/>
      <c r="F283" s="90"/>
      <c r="G283" s="90"/>
      <c r="H283" s="90"/>
    </row>
    <row r="284" spans="1:8" x14ac:dyDescent="0.35">
      <c r="A284" s="149" t="s">
        <v>82</v>
      </c>
      <c r="B284" s="149"/>
      <c r="C284" s="149" t="s">
        <v>252</v>
      </c>
      <c r="D284" s="149"/>
      <c r="E284" s="149" t="s">
        <v>111</v>
      </c>
      <c r="F284" s="149"/>
      <c r="G284" s="149" t="s">
        <v>247</v>
      </c>
      <c r="H284" s="149"/>
    </row>
    <row r="285" spans="1:8" x14ac:dyDescent="0.35">
      <c r="A285" s="148" t="s">
        <v>84</v>
      </c>
      <c r="B285" s="148"/>
      <c r="C285" s="148"/>
      <c r="D285" s="148"/>
      <c r="E285" s="148"/>
      <c r="F285" s="148"/>
      <c r="G285" s="148"/>
      <c r="H285" s="148"/>
    </row>
    <row r="286" spans="1:8" x14ac:dyDescent="0.35">
      <c r="A286" s="148"/>
      <c r="B286" s="148"/>
      <c r="C286" s="148"/>
      <c r="D286" s="148"/>
      <c r="E286" s="148"/>
      <c r="F286" s="148"/>
      <c r="G286" s="148"/>
      <c r="H286" s="148"/>
    </row>
    <row r="287" spans="1:8" x14ac:dyDescent="0.35">
      <c r="A287" s="148"/>
      <c r="B287" s="148"/>
      <c r="C287" s="148"/>
      <c r="D287" s="148"/>
      <c r="E287" s="148"/>
      <c r="F287" s="148"/>
      <c r="G287" s="148"/>
      <c r="H287" s="148"/>
    </row>
    <row r="288" spans="1:8" x14ac:dyDescent="0.35">
      <c r="A288" s="148"/>
      <c r="B288" s="148"/>
      <c r="C288" s="148"/>
      <c r="D288" s="148"/>
      <c r="E288" s="148"/>
      <c r="F288" s="148"/>
      <c r="G288" s="148"/>
      <c r="H288" s="148"/>
    </row>
    <row r="289" spans="1:11" x14ac:dyDescent="0.35">
      <c r="A289" s="44" t="s">
        <v>70</v>
      </c>
      <c r="B289" s="45"/>
      <c r="C289" s="45"/>
      <c r="D289" s="44" t="str">
        <f>E8</f>
        <v>Tharwani Solitaire Phase II, III, IV</v>
      </c>
      <c r="F289" s="45"/>
      <c r="G289" s="45"/>
      <c r="H289" s="45"/>
    </row>
    <row r="290" spans="1:11" x14ac:dyDescent="0.35">
      <c r="A290" s="45"/>
      <c r="B290" s="45"/>
      <c r="C290" s="45"/>
      <c r="D290" s="45"/>
      <c r="E290" s="45"/>
      <c r="F290" s="45"/>
      <c r="G290" s="45"/>
      <c r="H290" s="45"/>
    </row>
    <row r="291" spans="1:11" x14ac:dyDescent="0.35">
      <c r="A291" s="45"/>
      <c r="B291" s="45"/>
      <c r="C291" s="45"/>
      <c r="D291" s="45"/>
      <c r="E291" s="45"/>
      <c r="F291" s="45"/>
      <c r="G291" s="45"/>
      <c r="H291" s="45"/>
    </row>
    <row r="292" spans="1:11" ht="15" customHeight="1" x14ac:dyDescent="0.35"/>
    <row r="294" spans="1:11" x14ac:dyDescent="0.35">
      <c r="K294" s="13" t="s">
        <v>249</v>
      </c>
    </row>
    <row r="332" spans="1:1" x14ac:dyDescent="0.35">
      <c r="A332" s="47" t="s">
        <v>71</v>
      </c>
    </row>
  </sheetData>
  <mergeCells count="488">
    <mergeCell ref="B276:H276"/>
    <mergeCell ref="B275:H275"/>
    <mergeCell ref="A36:B36"/>
    <mergeCell ref="C36:H36"/>
    <mergeCell ref="A55:B55"/>
    <mergeCell ref="C55:E55"/>
    <mergeCell ref="G55:H55"/>
    <mergeCell ref="B274:H274"/>
    <mergeCell ref="A244:B244"/>
    <mergeCell ref="A240:B240"/>
    <mergeCell ref="A181:B181"/>
    <mergeCell ref="D197:D198"/>
    <mergeCell ref="E197:E198"/>
    <mergeCell ref="G197:H198"/>
    <mergeCell ref="C184:D184"/>
    <mergeCell ref="E184:F184"/>
    <mergeCell ref="G184:H184"/>
    <mergeCell ref="A185:B185"/>
    <mergeCell ref="C185:D185"/>
    <mergeCell ref="E185:F185"/>
    <mergeCell ref="A110:B110"/>
    <mergeCell ref="A111:B111"/>
    <mergeCell ref="A127:B127"/>
    <mergeCell ref="A210:H210"/>
    <mergeCell ref="C183:D183"/>
    <mergeCell ref="A67:C67"/>
    <mergeCell ref="D67:H67"/>
    <mergeCell ref="A254:B254"/>
    <mergeCell ref="G186:H186"/>
    <mergeCell ref="G195:H195"/>
    <mergeCell ref="G193:H193"/>
    <mergeCell ref="G194:H194"/>
    <mergeCell ref="G196:H196"/>
    <mergeCell ref="A76:B77"/>
    <mergeCell ref="C76:D77"/>
    <mergeCell ref="E76:F77"/>
    <mergeCell ref="G76:H77"/>
    <mergeCell ref="A92:B93"/>
    <mergeCell ref="C92:D93"/>
    <mergeCell ref="E92:F93"/>
    <mergeCell ref="G92:H93"/>
    <mergeCell ref="A211:H211"/>
    <mergeCell ref="A212:H212"/>
    <mergeCell ref="A241:H241"/>
    <mergeCell ref="A235:H235"/>
    <mergeCell ref="A169:E169"/>
    <mergeCell ref="A91:B91"/>
    <mergeCell ref="A187:B187"/>
    <mergeCell ref="F164:H164"/>
    <mergeCell ref="D190:D191"/>
    <mergeCell ref="A165:E165"/>
    <mergeCell ref="F167:H167"/>
    <mergeCell ref="B266:H266"/>
    <mergeCell ref="B265:H265"/>
    <mergeCell ref="B261:H261"/>
    <mergeCell ref="B259:H259"/>
    <mergeCell ref="B260:H260"/>
    <mergeCell ref="B262:H262"/>
    <mergeCell ref="B263:H263"/>
    <mergeCell ref="A245:B245"/>
    <mergeCell ref="A252:B252"/>
    <mergeCell ref="A253:H253"/>
    <mergeCell ref="A256:B256"/>
    <mergeCell ref="A257:B257"/>
    <mergeCell ref="A251:B251"/>
    <mergeCell ref="A246:H246"/>
    <mergeCell ref="A248:H248"/>
    <mergeCell ref="A255:B255"/>
    <mergeCell ref="A247:H247"/>
    <mergeCell ref="A183:B183"/>
    <mergeCell ref="F171:H171"/>
    <mergeCell ref="C91:H91"/>
    <mergeCell ref="A176:B176"/>
    <mergeCell ref="G176:H176"/>
    <mergeCell ref="A171:E171"/>
    <mergeCell ref="A94:B94"/>
    <mergeCell ref="E94:F94"/>
    <mergeCell ref="G94:H94"/>
    <mergeCell ref="G95:H104"/>
    <mergeCell ref="A96:B96"/>
    <mergeCell ref="A97:B97"/>
    <mergeCell ref="A98:B98"/>
    <mergeCell ref="F163:H163"/>
    <mergeCell ref="A163:E163"/>
    <mergeCell ref="A184:B184"/>
    <mergeCell ref="G190:H191"/>
    <mergeCell ref="C181:D181"/>
    <mergeCell ref="G181:H181"/>
    <mergeCell ref="A218:H218"/>
    <mergeCell ref="A112:B112"/>
    <mergeCell ref="L196:M196"/>
    <mergeCell ref="A196:B196"/>
    <mergeCell ref="A177:B177"/>
    <mergeCell ref="A180:H180"/>
    <mergeCell ref="C190:C191"/>
    <mergeCell ref="A188:H188"/>
    <mergeCell ref="G185:H185"/>
    <mergeCell ref="A186:B186"/>
    <mergeCell ref="C186:D186"/>
    <mergeCell ref="E186:F186"/>
    <mergeCell ref="A167:E167"/>
    <mergeCell ref="G183:H183"/>
    <mergeCell ref="F168:H168"/>
    <mergeCell ref="A145:B145"/>
    <mergeCell ref="A146:B146"/>
    <mergeCell ref="A164:E164"/>
    <mergeCell ref="E187:F187"/>
    <mergeCell ref="C187:D187"/>
    <mergeCell ref="A237:B237"/>
    <mergeCell ref="A234:H234"/>
    <mergeCell ref="A217:H217"/>
    <mergeCell ref="C231:F231"/>
    <mergeCell ref="A220:H220"/>
    <mergeCell ref="A228:B228"/>
    <mergeCell ref="B197:B198"/>
    <mergeCell ref="A226:B226"/>
    <mergeCell ref="A224:B224"/>
    <mergeCell ref="A209:H209"/>
    <mergeCell ref="G221:H226"/>
    <mergeCell ref="G228:H233"/>
    <mergeCell ref="A227:H227"/>
    <mergeCell ref="L227:M227"/>
    <mergeCell ref="A197:A198"/>
    <mergeCell ref="A232:B232"/>
    <mergeCell ref="A229:B229"/>
    <mergeCell ref="A230:B230"/>
    <mergeCell ref="A231:B231"/>
    <mergeCell ref="L224:M224"/>
    <mergeCell ref="L221:M221"/>
    <mergeCell ref="A222:B222"/>
    <mergeCell ref="L222:M222"/>
    <mergeCell ref="L223:M223"/>
    <mergeCell ref="L225:M225"/>
    <mergeCell ref="L226:M226"/>
    <mergeCell ref="A101:B101"/>
    <mergeCell ref="G109:H118"/>
    <mergeCell ref="E136:F136"/>
    <mergeCell ref="G136:H136"/>
    <mergeCell ref="A137:B137"/>
    <mergeCell ref="A131:B131"/>
    <mergeCell ref="A175:H175"/>
    <mergeCell ref="A173:E173"/>
    <mergeCell ref="F173:H173"/>
    <mergeCell ref="A174:E174"/>
    <mergeCell ref="F174:H174"/>
    <mergeCell ref="A130:B130"/>
    <mergeCell ref="A132:B132"/>
    <mergeCell ref="A124:B124"/>
    <mergeCell ref="A113:B113"/>
    <mergeCell ref="A114:B114"/>
    <mergeCell ref="A117:B117"/>
    <mergeCell ref="A105:B105"/>
    <mergeCell ref="C105:H105"/>
    <mergeCell ref="A115:B115"/>
    <mergeCell ref="A108:B108"/>
    <mergeCell ref="E108:F108"/>
    <mergeCell ref="A123:B123"/>
    <mergeCell ref="F172:H172"/>
    <mergeCell ref="E38:H38"/>
    <mergeCell ref="D66:H66"/>
    <mergeCell ref="A40:D40"/>
    <mergeCell ref="E40:H40"/>
    <mergeCell ref="E41:H41"/>
    <mergeCell ref="E42:H42"/>
    <mergeCell ref="E43:H43"/>
    <mergeCell ref="A41:D41"/>
    <mergeCell ref="A42:D42"/>
    <mergeCell ref="A43:D43"/>
    <mergeCell ref="A44:H44"/>
    <mergeCell ref="D59:H59"/>
    <mergeCell ref="A59:C59"/>
    <mergeCell ref="G47:H47"/>
    <mergeCell ref="A48:B49"/>
    <mergeCell ref="A47:B47"/>
    <mergeCell ref="A54:B54"/>
    <mergeCell ref="C54:E54"/>
    <mergeCell ref="A38:D38"/>
    <mergeCell ref="D64:H64"/>
    <mergeCell ref="A60:C64"/>
    <mergeCell ref="E39:H39"/>
    <mergeCell ref="A39:D39"/>
    <mergeCell ref="A46:B46"/>
    <mergeCell ref="A69:C69"/>
    <mergeCell ref="G213:H216"/>
    <mergeCell ref="D69:H69"/>
    <mergeCell ref="A31:B31"/>
    <mergeCell ref="C31:E31"/>
    <mergeCell ref="A34:H34"/>
    <mergeCell ref="A33:B33"/>
    <mergeCell ref="A37:H37"/>
    <mergeCell ref="C33:E33"/>
    <mergeCell ref="F33:H33"/>
    <mergeCell ref="A35:B35"/>
    <mergeCell ref="A65:C65"/>
    <mergeCell ref="D65:H65"/>
    <mergeCell ref="A56:H56"/>
    <mergeCell ref="A57:C57"/>
    <mergeCell ref="A58:C58"/>
    <mergeCell ref="D58:H58"/>
    <mergeCell ref="E35:F35"/>
    <mergeCell ref="C35:D35"/>
    <mergeCell ref="G35:H35"/>
    <mergeCell ref="G53:H53"/>
    <mergeCell ref="A45:B45"/>
    <mergeCell ref="G54:H54"/>
    <mergeCell ref="C45:H45"/>
    <mergeCell ref="E23:H23"/>
    <mergeCell ref="A25:D25"/>
    <mergeCell ref="E25:H25"/>
    <mergeCell ref="A22:D22"/>
    <mergeCell ref="E22:H22"/>
    <mergeCell ref="A26:D26"/>
    <mergeCell ref="E26:H26"/>
    <mergeCell ref="A23:D23"/>
    <mergeCell ref="A32:B32"/>
    <mergeCell ref="C32:E32"/>
    <mergeCell ref="A27:D27"/>
    <mergeCell ref="E27:H27"/>
    <mergeCell ref="A28:D28"/>
    <mergeCell ref="E28:H28"/>
    <mergeCell ref="A24:D24"/>
    <mergeCell ref="E24:H24"/>
    <mergeCell ref="F30:H30"/>
    <mergeCell ref="F31:H31"/>
    <mergeCell ref="C29:E29"/>
    <mergeCell ref="F32:H32"/>
    <mergeCell ref="F29:H29"/>
    <mergeCell ref="A30:B30"/>
    <mergeCell ref="A29:B29"/>
    <mergeCell ref="C30:E30"/>
    <mergeCell ref="A19:D20"/>
    <mergeCell ref="E19:H20"/>
    <mergeCell ref="E12:H12"/>
    <mergeCell ref="A13:B13"/>
    <mergeCell ref="C13:H13"/>
    <mergeCell ref="C14:H14"/>
    <mergeCell ref="A21:D21"/>
    <mergeCell ref="E21:H21"/>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0:D10"/>
    <mergeCell ref="E10:H10"/>
    <mergeCell ref="A5:D5"/>
    <mergeCell ref="E5:H5"/>
    <mergeCell ref="A6:D6"/>
    <mergeCell ref="E6:H6"/>
    <mergeCell ref="A7:D7"/>
    <mergeCell ref="E7:H7"/>
    <mergeCell ref="A14:B14"/>
    <mergeCell ref="A11:D11"/>
    <mergeCell ref="E11:H11"/>
    <mergeCell ref="A12:D12"/>
    <mergeCell ref="A1:H1"/>
    <mergeCell ref="A2:H2"/>
    <mergeCell ref="A3:D3"/>
    <mergeCell ref="E3:H3"/>
    <mergeCell ref="A4:D4"/>
    <mergeCell ref="A8:D8"/>
    <mergeCell ref="E8:H8"/>
    <mergeCell ref="A9:D9"/>
    <mergeCell ref="E9:H9"/>
    <mergeCell ref="E4:H4"/>
    <mergeCell ref="A72:C72"/>
    <mergeCell ref="D72:H72"/>
    <mergeCell ref="A70:C70"/>
    <mergeCell ref="D70:H70"/>
    <mergeCell ref="A71:C71"/>
    <mergeCell ref="D71:H71"/>
    <mergeCell ref="A75:B75"/>
    <mergeCell ref="A73:B73"/>
    <mergeCell ref="C73:H73"/>
    <mergeCell ref="E79:F88"/>
    <mergeCell ref="G79:H88"/>
    <mergeCell ref="A87:B87"/>
    <mergeCell ref="A88:B88"/>
    <mergeCell ref="A85:B85"/>
    <mergeCell ref="A78:B78"/>
    <mergeCell ref="A81:B81"/>
    <mergeCell ref="A86:B86"/>
    <mergeCell ref="E78:F78"/>
    <mergeCell ref="A83:B83"/>
    <mergeCell ref="A84:B84"/>
    <mergeCell ref="A202:H202"/>
    <mergeCell ref="A221:B221"/>
    <mergeCell ref="A285:H288"/>
    <mergeCell ref="A284:B284"/>
    <mergeCell ref="E284:F284"/>
    <mergeCell ref="C284:D284"/>
    <mergeCell ref="G284:H284"/>
    <mergeCell ref="A280:H280"/>
    <mergeCell ref="A283:H283"/>
    <mergeCell ref="A281:H281"/>
    <mergeCell ref="A258:H258"/>
    <mergeCell ref="B264:H264"/>
    <mergeCell ref="A282:H282"/>
    <mergeCell ref="A279:H279"/>
    <mergeCell ref="B270:H270"/>
    <mergeCell ref="B267:H267"/>
    <mergeCell ref="A277:H277"/>
    <mergeCell ref="A278:H278"/>
    <mergeCell ref="B268:H268"/>
    <mergeCell ref="B269:H269"/>
    <mergeCell ref="A223:B223"/>
    <mergeCell ref="G254:H257"/>
    <mergeCell ref="A250:B250"/>
    <mergeCell ref="A238:B238"/>
    <mergeCell ref="G242:H245"/>
    <mergeCell ref="G249:H252"/>
    <mergeCell ref="E181:F181"/>
    <mergeCell ref="E176:F176"/>
    <mergeCell ref="B190:B191"/>
    <mergeCell ref="A190:A191"/>
    <mergeCell ref="C197:C198"/>
    <mergeCell ref="A236:H236"/>
    <mergeCell ref="A178:B178"/>
    <mergeCell ref="G187:H187"/>
    <mergeCell ref="C178:D178"/>
    <mergeCell ref="E178:F178"/>
    <mergeCell ref="G178:H178"/>
    <mergeCell ref="A179:B179"/>
    <mergeCell ref="C179:D179"/>
    <mergeCell ref="E179:F179"/>
    <mergeCell ref="A193:B193"/>
    <mergeCell ref="A194:B194"/>
    <mergeCell ref="A195:B195"/>
    <mergeCell ref="A213:B213"/>
    <mergeCell ref="A192:H192"/>
    <mergeCell ref="E190:E191"/>
    <mergeCell ref="A219:H219"/>
    <mergeCell ref="A233:B233"/>
    <mergeCell ref="F161:H161"/>
    <mergeCell ref="F166:H166"/>
    <mergeCell ref="A166:E166"/>
    <mergeCell ref="G179:H179"/>
    <mergeCell ref="A160:B160"/>
    <mergeCell ref="C177:D177"/>
    <mergeCell ref="E177:F177"/>
    <mergeCell ref="F162:H162"/>
    <mergeCell ref="G177:H177"/>
    <mergeCell ref="A172:E172"/>
    <mergeCell ref="A162:E162"/>
    <mergeCell ref="A168:E168"/>
    <mergeCell ref="A170:E170"/>
    <mergeCell ref="F165:H165"/>
    <mergeCell ref="A158:B158"/>
    <mergeCell ref="A159:B159"/>
    <mergeCell ref="A139:B139"/>
    <mergeCell ref="A140:B140"/>
    <mergeCell ref="A141:B141"/>
    <mergeCell ref="A142:B142"/>
    <mergeCell ref="A143:B143"/>
    <mergeCell ref="A144:B144"/>
    <mergeCell ref="A161:E161"/>
    <mergeCell ref="A128:B128"/>
    <mergeCell ref="A129:B129"/>
    <mergeCell ref="A138:B138"/>
    <mergeCell ref="E123:F132"/>
    <mergeCell ref="A135:B135"/>
    <mergeCell ref="C135:H135"/>
    <mergeCell ref="A136:B136"/>
    <mergeCell ref="G123:H132"/>
    <mergeCell ref="A133:B133"/>
    <mergeCell ref="C133:H133"/>
    <mergeCell ref="A125:B125"/>
    <mergeCell ref="A126:B126"/>
    <mergeCell ref="E137:F146"/>
    <mergeCell ref="G137:H146"/>
    <mergeCell ref="A121:B121"/>
    <mergeCell ref="C121:H121"/>
    <mergeCell ref="A122:B122"/>
    <mergeCell ref="E122:F122"/>
    <mergeCell ref="G122:H122"/>
    <mergeCell ref="A118:B118"/>
    <mergeCell ref="A66:C66"/>
    <mergeCell ref="A95:B95"/>
    <mergeCell ref="E95:F104"/>
    <mergeCell ref="A102:B102"/>
    <mergeCell ref="A103:B103"/>
    <mergeCell ref="A104:B104"/>
    <mergeCell ref="A107:B107"/>
    <mergeCell ref="C107:H107"/>
    <mergeCell ref="A99:B99"/>
    <mergeCell ref="A100:B100"/>
    <mergeCell ref="G108:H108"/>
    <mergeCell ref="A109:B109"/>
    <mergeCell ref="E109:F118"/>
    <mergeCell ref="A116:B116"/>
    <mergeCell ref="A89:B89"/>
    <mergeCell ref="C89:H89"/>
    <mergeCell ref="A79:B79"/>
    <mergeCell ref="G78:H78"/>
    <mergeCell ref="C46:E46"/>
    <mergeCell ref="G46:H46"/>
    <mergeCell ref="G48:H48"/>
    <mergeCell ref="D57:H57"/>
    <mergeCell ref="C48:E48"/>
    <mergeCell ref="D60:H60"/>
    <mergeCell ref="D61:H61"/>
    <mergeCell ref="C47:E47"/>
    <mergeCell ref="A53:B53"/>
    <mergeCell ref="C53:E53"/>
    <mergeCell ref="C49:H49"/>
    <mergeCell ref="A80:B80"/>
    <mergeCell ref="A82:B82"/>
    <mergeCell ref="A68:C68"/>
    <mergeCell ref="D62:H62"/>
    <mergeCell ref="D63:H63"/>
    <mergeCell ref="L195:M195"/>
    <mergeCell ref="A147:B147"/>
    <mergeCell ref="C147:H147"/>
    <mergeCell ref="A149:B149"/>
    <mergeCell ref="C149:H149"/>
    <mergeCell ref="A150:B150"/>
    <mergeCell ref="E150:F150"/>
    <mergeCell ref="G150:H150"/>
    <mergeCell ref="A151:B151"/>
    <mergeCell ref="E151:F160"/>
    <mergeCell ref="G151:H160"/>
    <mergeCell ref="A152:B152"/>
    <mergeCell ref="A153:B153"/>
    <mergeCell ref="A154:B154"/>
    <mergeCell ref="A155:B155"/>
    <mergeCell ref="A156:B156"/>
    <mergeCell ref="A157:B157"/>
    <mergeCell ref="A119:B119"/>
    <mergeCell ref="C119:H119"/>
    <mergeCell ref="L208:M208"/>
    <mergeCell ref="B272:H272"/>
    <mergeCell ref="L203:M203"/>
    <mergeCell ref="L204:M204"/>
    <mergeCell ref="L205:M205"/>
    <mergeCell ref="L206:M206"/>
    <mergeCell ref="L207:M207"/>
    <mergeCell ref="L194:M194"/>
    <mergeCell ref="L193:M193"/>
    <mergeCell ref="A225:B225"/>
    <mergeCell ref="A249:B249"/>
    <mergeCell ref="A239:B239"/>
    <mergeCell ref="A242:B242"/>
    <mergeCell ref="A243:B243"/>
    <mergeCell ref="A199:H199"/>
    <mergeCell ref="A200:H200"/>
    <mergeCell ref="A201:H201"/>
    <mergeCell ref="A203:B203"/>
    <mergeCell ref="G203:H208"/>
    <mergeCell ref="A208:B208"/>
    <mergeCell ref="A214:B214"/>
    <mergeCell ref="A215:B215"/>
    <mergeCell ref="A216:B216"/>
    <mergeCell ref="G237:H240"/>
    <mergeCell ref="B273:H273"/>
    <mergeCell ref="B271:H271"/>
    <mergeCell ref="A50:B50"/>
    <mergeCell ref="C50:E50"/>
    <mergeCell ref="G50:H50"/>
    <mergeCell ref="A51:B52"/>
    <mergeCell ref="C51:E51"/>
    <mergeCell ref="G51:H51"/>
    <mergeCell ref="C52:H52"/>
    <mergeCell ref="A204:B204"/>
    <mergeCell ref="A205:B205"/>
    <mergeCell ref="A206:B206"/>
    <mergeCell ref="A207:B207"/>
    <mergeCell ref="F170:H170"/>
    <mergeCell ref="A189:H189"/>
    <mergeCell ref="E183:F183"/>
    <mergeCell ref="A182:B182"/>
    <mergeCell ref="C182:D182"/>
    <mergeCell ref="E182:F182"/>
    <mergeCell ref="G182:H182"/>
    <mergeCell ref="F169:H169"/>
    <mergeCell ref="C176:D176"/>
    <mergeCell ref="D68:H68"/>
    <mergeCell ref="C75:H75"/>
  </mergeCells>
  <hyperlinks>
    <hyperlink ref="C36" r:id="rId1"/>
  </hyperlinks>
  <printOptions horizontalCentered="1"/>
  <pageMargins left="0.39370078740157483" right="0.39370078740157483" top="0.82677165354330717" bottom="0.78740157480314965" header="0.15748031496062992" footer="0.19685039370078741"/>
  <pageSetup paperSize="2" fitToHeight="0" orientation="portrait" r:id="rId2"/>
  <headerFooter>
    <oddHeader>&amp;C&amp;G</oddHeader>
    <oddFooter>&amp;L&amp;"Times New Roman,Bold"&amp;12Ref No: &amp;F&amp;C&amp;G&amp;R&amp;"Times New Roman,Bold"&amp;12&amp;P</oddFooter>
  </headerFooter>
  <rowBreaks count="5" manualBreakCount="5">
    <brk id="55" max="16383" man="1"/>
    <brk id="104" max="16383" man="1"/>
    <brk id="257" max="16383" man="1"/>
    <brk id="288" max="16383" man="1"/>
    <brk id="331" max="16383" man="1"/>
  </rowBreaks>
  <drawing r:id="rId3"/>
  <legacyDrawingHF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16"/>
  <sheetViews>
    <sheetView zoomScale="85" zoomScaleNormal="85" workbookViewId="0">
      <selection activeCell="C20" sqref="C20"/>
    </sheetView>
  </sheetViews>
  <sheetFormatPr defaultColWidth="8.7265625" defaultRowHeight="14.5" x14ac:dyDescent="0.35"/>
  <cols>
    <col min="1" max="1" width="8.7265625" style="1"/>
    <col min="2" max="2" width="22.1796875" style="1" customWidth="1"/>
    <col min="3" max="3" width="37" style="1" customWidth="1"/>
    <col min="4" max="5" width="11.453125" style="1" customWidth="1"/>
    <col min="6" max="6" width="14" style="1" customWidth="1"/>
    <col min="7" max="7" width="20" style="1" customWidth="1"/>
    <col min="8" max="8" width="16.453125" style="1" customWidth="1"/>
    <col min="9" max="16384" width="8.7265625" style="1"/>
  </cols>
  <sheetData>
    <row r="1" spans="1:9" ht="15" customHeight="1" x14ac:dyDescent="0.35"/>
    <row r="2" spans="1:9" ht="15" customHeight="1" x14ac:dyDescent="0.35">
      <c r="A2" s="2"/>
      <c r="B2" s="2"/>
      <c r="C2" s="2"/>
      <c r="D2" s="2"/>
      <c r="E2" s="2"/>
      <c r="F2" s="2"/>
      <c r="G2" s="2"/>
      <c r="H2" s="2"/>
    </row>
    <row r="3" spans="1:9" ht="15.75" customHeight="1" x14ac:dyDescent="0.35">
      <c r="A3" s="2"/>
      <c r="B3" s="208" t="s">
        <v>112</v>
      </c>
      <c r="C3" s="208"/>
      <c r="D3" s="208"/>
      <c r="E3" s="208"/>
      <c r="F3" s="208"/>
      <c r="G3" s="208"/>
      <c r="H3" s="208"/>
    </row>
    <row r="4" spans="1:9" x14ac:dyDescent="0.35">
      <c r="A4" s="2"/>
      <c r="B4" s="3" t="s">
        <v>113</v>
      </c>
      <c r="C4" s="3" t="s">
        <v>114</v>
      </c>
      <c r="D4" s="3" t="s">
        <v>73</v>
      </c>
      <c r="E4" s="3" t="s">
        <v>115</v>
      </c>
      <c r="F4" s="3" t="s">
        <v>121</v>
      </c>
      <c r="G4" s="3" t="s">
        <v>122</v>
      </c>
      <c r="H4" s="3" t="s">
        <v>116</v>
      </c>
    </row>
    <row r="5" spans="1:9" ht="15" customHeight="1" x14ac:dyDescent="0.35">
      <c r="A5" s="2"/>
      <c r="B5" s="5" t="s">
        <v>117</v>
      </c>
      <c r="C5" s="6"/>
      <c r="D5" s="5"/>
      <c r="E5" s="5"/>
      <c r="F5" s="7">
        <f>E5*1.6</f>
        <v>0</v>
      </c>
      <c r="G5" s="7" t="e">
        <f>H5/F5</f>
        <v>#DIV/0!</v>
      </c>
      <c r="H5" s="8"/>
    </row>
    <row r="6" spans="1:9" x14ac:dyDescent="0.35">
      <c r="A6" s="2"/>
      <c r="B6" s="5" t="s">
        <v>117</v>
      </c>
      <c r="C6" s="9"/>
      <c r="D6" s="5"/>
      <c r="E6" s="5"/>
      <c r="F6" s="7">
        <f t="shared" ref="F6:F11" si="0">E6*1.6</f>
        <v>0</v>
      </c>
      <c r="G6" s="7" t="e">
        <f t="shared" ref="G6:G11" si="1">H6/F6</f>
        <v>#DIV/0!</v>
      </c>
      <c r="H6" s="8"/>
    </row>
    <row r="7" spans="1:9" ht="15" customHeight="1" x14ac:dyDescent="0.35">
      <c r="A7" s="2"/>
      <c r="B7" s="5" t="s">
        <v>117</v>
      </c>
      <c r="C7" s="6"/>
      <c r="D7" s="5"/>
      <c r="E7" s="5"/>
      <c r="F7" s="7">
        <f t="shared" si="0"/>
        <v>0</v>
      </c>
      <c r="G7" s="7" t="e">
        <f t="shared" si="1"/>
        <v>#DIV/0!</v>
      </c>
      <c r="H7" s="8"/>
    </row>
    <row r="8" spans="1:9" x14ac:dyDescent="0.35">
      <c r="A8" s="2"/>
      <c r="B8" s="5" t="s">
        <v>117</v>
      </c>
      <c r="C8" s="9"/>
      <c r="D8" s="5"/>
      <c r="E8" s="5"/>
      <c r="F8" s="7">
        <f t="shared" si="0"/>
        <v>0</v>
      </c>
      <c r="G8" s="7" t="e">
        <f t="shared" si="1"/>
        <v>#DIV/0!</v>
      </c>
      <c r="H8" s="8"/>
    </row>
    <row r="9" spans="1:9" ht="15" customHeight="1" x14ac:dyDescent="0.35">
      <c r="A9" s="2"/>
      <c r="B9" s="5" t="s">
        <v>117</v>
      </c>
      <c r="C9" s="9"/>
      <c r="D9" s="5"/>
      <c r="E9" s="5"/>
      <c r="F9" s="7">
        <f t="shared" si="0"/>
        <v>0</v>
      </c>
      <c r="G9" s="7" t="e">
        <f t="shared" si="1"/>
        <v>#DIV/0!</v>
      </c>
      <c r="H9" s="8"/>
    </row>
    <row r="10" spans="1:9" ht="15" customHeight="1" x14ac:dyDescent="0.35">
      <c r="A10" s="2"/>
      <c r="B10" s="5" t="s">
        <v>118</v>
      </c>
      <c r="C10" s="6"/>
      <c r="D10" s="5"/>
      <c r="E10" s="5"/>
      <c r="F10" s="7">
        <f t="shared" si="0"/>
        <v>0</v>
      </c>
      <c r="G10" s="7" t="e">
        <f t="shared" si="1"/>
        <v>#DIV/0!</v>
      </c>
      <c r="H10" s="8"/>
    </row>
    <row r="11" spans="1:9" ht="15" customHeight="1" x14ac:dyDescent="0.35">
      <c r="A11" s="2"/>
      <c r="B11" s="5" t="s">
        <v>118</v>
      </c>
      <c r="C11" s="6"/>
      <c r="D11" s="5"/>
      <c r="E11" s="5"/>
      <c r="F11" s="7">
        <f t="shared" si="0"/>
        <v>0</v>
      </c>
      <c r="G11" s="7" t="e">
        <f t="shared" si="1"/>
        <v>#DIV/0!</v>
      </c>
      <c r="H11" s="8"/>
    </row>
    <row r="12" spans="1:9" ht="15" customHeight="1" x14ac:dyDescent="0.35">
      <c r="A12" s="2"/>
      <c r="B12" s="10" t="s">
        <v>119</v>
      </c>
      <c r="C12" s="5"/>
      <c r="D12" s="5"/>
      <c r="E12" s="5"/>
      <c r="F12" s="5"/>
      <c r="G12" s="11" t="e">
        <f>AVERAGE(G5:G11)</f>
        <v>#DIV/0!</v>
      </c>
      <c r="H12" s="5"/>
    </row>
    <row r="13" spans="1:9" ht="15" customHeight="1" x14ac:dyDescent="0.35">
      <c r="B13" s="10" t="s">
        <v>120</v>
      </c>
      <c r="C13" s="5"/>
      <c r="D13" s="5"/>
      <c r="E13" s="5"/>
      <c r="F13" s="12"/>
      <c r="G13" s="10"/>
      <c r="H13" s="10"/>
      <c r="I13" s="4"/>
    </row>
    <row r="14" spans="1:9" ht="15" customHeight="1" x14ac:dyDescent="0.35"/>
    <row r="15" spans="1:9" ht="15" customHeight="1" x14ac:dyDescent="0.35"/>
    <row r="16" spans="1:9" ht="15" customHeight="1" x14ac:dyDescent="0.35"/>
  </sheetData>
  <mergeCells count="1">
    <mergeCell ref="B3:H3"/>
  </mergeCells>
  <pageMargins left="0.7" right="0.7" top="0.75" bottom="0.75" header="0.3" footer="0.3"/>
  <pageSetup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3"/>
  <sheetViews>
    <sheetView zoomScale="190" zoomScaleNormal="190" workbookViewId="0">
      <selection activeCell="B4" sqref="B4"/>
    </sheetView>
  </sheetViews>
  <sheetFormatPr defaultRowHeight="14.5" x14ac:dyDescent="0.35"/>
  <sheetData>
    <row r="3" spans="2:2" x14ac:dyDescent="0.35">
      <c r="B3">
        <f>(3.35*5.5+2.45*3.05+2.9*3.95+3.05*4.27+1.85*3.27+1.35*2.45+1.2*2.15+2.45*1.5+4.4*3.265+1*4.7+1.4*1+1.35*1.2)</f>
        <v>88.074000000000012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Report</vt:lpstr>
      <vt:lpstr>valuation</vt:lpstr>
      <vt:lpstr>Note</vt:lpstr>
      <vt:lpstr>Report!Print_Area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Hp Elitebook 840 G6</cp:lastModifiedBy>
  <cp:lastPrinted>2025-08-01T05:30:24Z</cp:lastPrinted>
  <dcterms:created xsi:type="dcterms:W3CDTF">2019-07-16T09:29:46Z</dcterms:created>
  <dcterms:modified xsi:type="dcterms:W3CDTF">2025-08-01T05:31:55Z</dcterms:modified>
</cp:coreProperties>
</file>