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D:\Kunal\July 25\YesB\Update\New folder\"/>
    </mc:Choice>
  </mc:AlternateContent>
  <xr:revisionPtr revIDLastSave="0" documentId="13_ncr:1_{F1CC7ECB-5646-4F1B-84E1-92E368A86D68}" xr6:coauthVersionLast="47" xr6:coauthVersionMax="47" xr10:uidLastSave="{00000000-0000-0000-0000-000000000000}"/>
  <bookViews>
    <workbookView xWindow="-108" yWindow="-108" windowWidth="23256" windowHeight="12456" tabRatio="745" xr2:uid="{00000000-000D-0000-FFFF-FFFF00000000}"/>
  </bookViews>
  <sheets>
    <sheet name="Report" sheetId="15" r:id="rId1"/>
    <sheet name="Valuation" sheetId="23" r:id="rId2"/>
  </sheets>
  <definedNames>
    <definedName name="_xlnm.Print_Area" localSheetId="0">Report!$A$1:$J$383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5" l="1"/>
  <c r="F42" i="15" l="1"/>
  <c r="K41" i="15"/>
  <c r="E207" i="15"/>
  <c r="D207" i="15"/>
  <c r="C207" i="15"/>
  <c r="E206" i="15"/>
  <c r="D206" i="15"/>
  <c r="C206" i="15"/>
  <c r="E205" i="15"/>
  <c r="D205" i="15"/>
  <c r="C205" i="15"/>
  <c r="E204" i="15"/>
  <c r="D204" i="15"/>
  <c r="C204" i="15"/>
  <c r="E203" i="15"/>
  <c r="D203" i="15"/>
  <c r="C203" i="15"/>
  <c r="E202" i="15"/>
  <c r="D202" i="15"/>
  <c r="C202" i="15"/>
  <c r="E201" i="15"/>
  <c r="D201" i="15"/>
  <c r="C201" i="15"/>
  <c r="F201" i="15" s="1"/>
  <c r="H201" i="15" s="1"/>
  <c r="E200" i="15"/>
  <c r="D200" i="15"/>
  <c r="C200" i="15"/>
  <c r="E199" i="15"/>
  <c r="D199" i="15"/>
  <c r="C199" i="15"/>
  <c r="E198" i="15"/>
  <c r="D198" i="15"/>
  <c r="C198" i="15"/>
  <c r="E197" i="15"/>
  <c r="D197" i="15"/>
  <c r="C197" i="15"/>
  <c r="E196" i="15"/>
  <c r="D196" i="15"/>
  <c r="C196" i="15"/>
  <c r="E195" i="15"/>
  <c r="D195" i="15"/>
  <c r="C195" i="15"/>
  <c r="E191" i="15"/>
  <c r="D191" i="15"/>
  <c r="C191" i="15"/>
  <c r="A191" i="15"/>
  <c r="A192" i="15" s="1"/>
  <c r="A193" i="15" s="1"/>
  <c r="A194" i="15" s="1"/>
  <c r="A195" i="15" s="1"/>
  <c r="A196" i="15" s="1"/>
  <c r="A197" i="15" s="1"/>
  <c r="A198" i="15" s="1"/>
  <c r="A199" i="15" s="1"/>
  <c r="A200" i="15" s="1"/>
  <c r="A201" i="15" s="1"/>
  <c r="A202" i="15" s="1"/>
  <c r="A203" i="15" s="1"/>
  <c r="A204" i="15" s="1"/>
  <c r="A205" i="15" s="1"/>
  <c r="A206" i="15" s="1"/>
  <c r="A207" i="15" s="1"/>
  <c r="E190" i="15"/>
  <c r="D190" i="15"/>
  <c r="C190" i="15"/>
  <c r="E189" i="15"/>
  <c r="D189" i="15"/>
  <c r="C189" i="15"/>
  <c r="E188" i="15"/>
  <c r="D188" i="15"/>
  <c r="C188" i="15"/>
  <c r="E187" i="15"/>
  <c r="D187" i="15"/>
  <c r="C187" i="15"/>
  <c r="E186" i="15"/>
  <c r="D186" i="15"/>
  <c r="C186" i="15"/>
  <c r="E185" i="15"/>
  <c r="D185" i="15"/>
  <c r="C185" i="15"/>
  <c r="E184" i="15"/>
  <c r="D184" i="15"/>
  <c r="C184" i="15"/>
  <c r="E183" i="15"/>
  <c r="D183" i="15"/>
  <c r="C183" i="15"/>
  <c r="E182" i="15"/>
  <c r="D182" i="15"/>
  <c r="C182" i="15"/>
  <c r="E181" i="15"/>
  <c r="D181" i="15"/>
  <c r="C181" i="15"/>
  <c r="A181" i="15"/>
  <c r="A182" i="15" s="1"/>
  <c r="A183" i="15" s="1"/>
  <c r="A184" i="15" s="1"/>
  <c r="A185" i="15" s="1"/>
  <c r="A186" i="15" s="1"/>
  <c r="A187" i="15" s="1"/>
  <c r="A188" i="15" s="1"/>
  <c r="A189" i="15" s="1"/>
  <c r="I180" i="15"/>
  <c r="E180" i="15"/>
  <c r="D180" i="15"/>
  <c r="C180" i="15"/>
  <c r="I151" i="15"/>
  <c r="E152" i="15"/>
  <c r="E153" i="15"/>
  <c r="E154" i="15"/>
  <c r="E155" i="15"/>
  <c r="E156" i="15"/>
  <c r="E157" i="15"/>
  <c r="E158" i="15"/>
  <c r="E159" i="15"/>
  <c r="E160" i="15"/>
  <c r="E161" i="15"/>
  <c r="E162" i="15"/>
  <c r="E163" i="15"/>
  <c r="E164" i="15"/>
  <c r="E165" i="15"/>
  <c r="E166" i="15"/>
  <c r="E167" i="15"/>
  <c r="E168" i="15"/>
  <c r="E169" i="15"/>
  <c r="E170" i="15"/>
  <c r="E171" i="15"/>
  <c r="E172" i="15"/>
  <c r="E173" i="15"/>
  <c r="E174" i="15"/>
  <c r="E175" i="15"/>
  <c r="E176" i="15"/>
  <c r="E177" i="15"/>
  <c r="E178" i="15"/>
  <c r="E151" i="15"/>
  <c r="D178" i="15"/>
  <c r="C178" i="15"/>
  <c r="F178" i="15" s="1"/>
  <c r="H178" i="15" s="1"/>
  <c r="D177" i="15"/>
  <c r="C177" i="15"/>
  <c r="D176" i="15"/>
  <c r="C176" i="15"/>
  <c r="D175" i="15"/>
  <c r="C175" i="15"/>
  <c r="D174" i="15"/>
  <c r="C174" i="15"/>
  <c r="D173" i="15"/>
  <c r="C173" i="15"/>
  <c r="D172" i="15"/>
  <c r="C172" i="15"/>
  <c r="D171" i="15"/>
  <c r="C171" i="15"/>
  <c r="D170" i="15"/>
  <c r="C170" i="15"/>
  <c r="F170" i="15" s="1"/>
  <c r="H170" i="15" s="1"/>
  <c r="D169" i="15"/>
  <c r="C169" i="15"/>
  <c r="D168" i="15"/>
  <c r="C168" i="15"/>
  <c r="D167" i="15"/>
  <c r="C167" i="15"/>
  <c r="D166" i="15"/>
  <c r="C166" i="15"/>
  <c r="D165" i="15"/>
  <c r="C165" i="15"/>
  <c r="D164" i="15"/>
  <c r="C164" i="15"/>
  <c r="D163" i="15"/>
  <c r="C163" i="15"/>
  <c r="D162" i="15"/>
  <c r="C162" i="15"/>
  <c r="D161" i="15"/>
  <c r="C161" i="15"/>
  <c r="D160" i="15"/>
  <c r="C160" i="15"/>
  <c r="D159" i="15"/>
  <c r="C159" i="15"/>
  <c r="D158" i="15"/>
  <c r="C158" i="15"/>
  <c r="D157" i="15"/>
  <c r="C157" i="15"/>
  <c r="D156" i="15"/>
  <c r="C156" i="15"/>
  <c r="D155" i="15"/>
  <c r="C155" i="15"/>
  <c r="D154" i="15"/>
  <c r="C154" i="15"/>
  <c r="D153" i="15"/>
  <c r="C153" i="15"/>
  <c r="D152" i="15"/>
  <c r="C152" i="15"/>
  <c r="D151" i="15"/>
  <c r="C151" i="15"/>
  <c r="C128" i="15"/>
  <c r="C129" i="15"/>
  <c r="C130" i="15"/>
  <c r="C131" i="15"/>
  <c r="C132" i="15"/>
  <c r="C133" i="15"/>
  <c r="C134" i="15"/>
  <c r="C135" i="15"/>
  <c r="C136" i="15"/>
  <c r="C137" i="15"/>
  <c r="C138" i="15"/>
  <c r="C139" i="15"/>
  <c r="C140" i="15"/>
  <c r="C141" i="15"/>
  <c r="C142" i="15"/>
  <c r="C143" i="15"/>
  <c r="C144" i="15"/>
  <c r="C145" i="15"/>
  <c r="C146" i="15"/>
  <c r="C147" i="15"/>
  <c r="C148" i="15"/>
  <c r="C149" i="15"/>
  <c r="C123" i="15"/>
  <c r="C124" i="15"/>
  <c r="C125" i="15"/>
  <c r="C126" i="15"/>
  <c r="C127" i="15"/>
  <c r="C122" i="15"/>
  <c r="A162" i="15"/>
  <c r="A163" i="15" s="1"/>
  <c r="A164" i="15" s="1"/>
  <c r="A165" i="15" s="1"/>
  <c r="A166" i="15" s="1"/>
  <c r="A167" i="15" s="1"/>
  <c r="A168" i="15" s="1"/>
  <c r="A169" i="15" s="1"/>
  <c r="A170" i="15" s="1"/>
  <c r="A171" i="15" s="1"/>
  <c r="A172" i="15" s="1"/>
  <c r="A173" i="15" s="1"/>
  <c r="A174" i="15" s="1"/>
  <c r="A175" i="15" s="1"/>
  <c r="A176" i="15" s="1"/>
  <c r="A177" i="15" s="1"/>
  <c r="A178" i="15" s="1"/>
  <c r="A152" i="15"/>
  <c r="A153" i="15" s="1"/>
  <c r="A154" i="15" s="1"/>
  <c r="A155" i="15" s="1"/>
  <c r="A156" i="15" s="1"/>
  <c r="A157" i="15" s="1"/>
  <c r="A158" i="15" s="1"/>
  <c r="A159" i="15" s="1"/>
  <c r="A160" i="15" s="1"/>
  <c r="F199" i="15" l="1"/>
  <c r="H199" i="15" s="1"/>
  <c r="F166" i="15"/>
  <c r="H166" i="15" s="1"/>
  <c r="F174" i="15"/>
  <c r="H174" i="15" s="1"/>
  <c r="F167" i="15"/>
  <c r="H167" i="15" s="1"/>
  <c r="F171" i="15"/>
  <c r="H171" i="15" s="1"/>
  <c r="F175" i="15"/>
  <c r="H175" i="15" s="1"/>
  <c r="F207" i="15"/>
  <c r="H207" i="15" s="1"/>
  <c r="F191" i="15"/>
  <c r="H191" i="15" s="1"/>
  <c r="F181" i="15"/>
  <c r="H181" i="15" s="1"/>
  <c r="F185" i="15"/>
  <c r="H185" i="15" s="1"/>
  <c r="F165" i="15"/>
  <c r="H165" i="15" s="1"/>
  <c r="F169" i="15"/>
  <c r="H169" i="15" s="1"/>
  <c r="F173" i="15"/>
  <c r="H173" i="15" s="1"/>
  <c r="F177" i="15"/>
  <c r="H177" i="15" s="1"/>
  <c r="F182" i="15"/>
  <c r="H182" i="15" s="1"/>
  <c r="F186" i="15"/>
  <c r="H186" i="15" s="1"/>
  <c r="F196" i="15"/>
  <c r="H196" i="15" s="1"/>
  <c r="F197" i="15"/>
  <c r="H197" i="15" s="1"/>
  <c r="F164" i="15"/>
  <c r="H164" i="15" s="1"/>
  <c r="F168" i="15"/>
  <c r="H168" i="15" s="1"/>
  <c r="F172" i="15"/>
  <c r="H172" i="15" s="1"/>
  <c r="F176" i="15"/>
  <c r="H176" i="15" s="1"/>
  <c r="F195" i="15"/>
  <c r="H195" i="15" s="1"/>
  <c r="F203" i="15"/>
  <c r="H203" i="15" s="1"/>
  <c r="F204" i="15"/>
  <c r="H204" i="15" s="1"/>
  <c r="F205" i="15"/>
  <c r="H205" i="15" s="1"/>
  <c r="F189" i="15"/>
  <c r="H189" i="15" s="1"/>
  <c r="F180" i="15"/>
  <c r="H180" i="15" s="1"/>
  <c r="F183" i="15"/>
  <c r="H183" i="15" s="1"/>
  <c r="F187" i="15"/>
  <c r="H187" i="15" s="1"/>
  <c r="F190" i="15"/>
  <c r="H190" i="15" s="1"/>
  <c r="F200" i="15"/>
  <c r="H200" i="15" s="1"/>
  <c r="F202" i="15"/>
  <c r="H202" i="15" s="1"/>
  <c r="F184" i="15"/>
  <c r="H184" i="15" s="1"/>
  <c r="F188" i="15"/>
  <c r="H188" i="15" s="1"/>
  <c r="F198" i="15"/>
  <c r="H198" i="15" s="1"/>
  <c r="F206" i="15"/>
  <c r="H206" i="15" s="1"/>
  <c r="F153" i="15" l="1"/>
  <c r="H153" i="15" s="1"/>
  <c r="E149" i="15"/>
  <c r="D149" i="15"/>
  <c r="E148" i="15"/>
  <c r="D148" i="15"/>
  <c r="D147" i="15"/>
  <c r="E146" i="15"/>
  <c r="D146" i="15"/>
  <c r="E145" i="15"/>
  <c r="D145" i="15"/>
  <c r="D144" i="15"/>
  <c r="E143" i="15"/>
  <c r="D143" i="15"/>
  <c r="E142" i="15"/>
  <c r="D142" i="15"/>
  <c r="D141" i="15"/>
  <c r="E140" i="15"/>
  <c r="D140" i="15"/>
  <c r="D139" i="15"/>
  <c r="D138" i="15"/>
  <c r="E137" i="15"/>
  <c r="D137" i="15"/>
  <c r="E136" i="15"/>
  <c r="D136" i="15"/>
  <c r="D135" i="15"/>
  <c r="D134" i="15"/>
  <c r="E133" i="15"/>
  <c r="D133" i="15"/>
  <c r="E132" i="15"/>
  <c r="D132" i="15"/>
  <c r="D131" i="15"/>
  <c r="D130" i="15"/>
  <c r="E129" i="15"/>
  <c r="D129" i="15"/>
  <c r="D128" i="15"/>
  <c r="E127" i="15"/>
  <c r="D127" i="15"/>
  <c r="E126" i="15"/>
  <c r="D126" i="15"/>
  <c r="E125" i="15"/>
  <c r="D125" i="15"/>
  <c r="E124" i="15"/>
  <c r="D124" i="15"/>
  <c r="E123" i="15"/>
  <c r="D123" i="15"/>
  <c r="E122" i="15"/>
  <c r="D122" i="15"/>
  <c r="G148" i="15"/>
  <c r="G143" i="15"/>
  <c r="G146" i="15"/>
  <c r="G145" i="15"/>
  <c r="G137" i="15"/>
  <c r="G136" i="15"/>
  <c r="G133" i="15"/>
  <c r="G132" i="15"/>
  <c r="G129" i="15"/>
  <c r="G147" i="15"/>
  <c r="G144" i="15"/>
  <c r="G141" i="15"/>
  <c r="G140" i="15"/>
  <c r="G131" i="15"/>
  <c r="G130" i="15"/>
  <c r="G128" i="15"/>
  <c r="G125" i="15"/>
  <c r="I122" i="15"/>
  <c r="G139" i="15" l="1"/>
  <c r="G138" i="15"/>
  <c r="K122" i="15" l="1"/>
  <c r="G149" i="15"/>
  <c r="G142" i="15"/>
  <c r="G135" i="15"/>
  <c r="G134" i="15"/>
  <c r="G127" i="15"/>
  <c r="G126" i="15"/>
  <c r="G124" i="15"/>
  <c r="G123" i="15"/>
  <c r="G122" i="15"/>
  <c r="F142" i="15"/>
  <c r="A133" i="15"/>
  <c r="A134" i="15" s="1"/>
  <c r="A135" i="15" s="1"/>
  <c r="A136" i="15" s="1"/>
  <c r="A137" i="15" s="1"/>
  <c r="A138" i="15" s="1"/>
  <c r="A139" i="15" s="1"/>
  <c r="A140" i="15" s="1"/>
  <c r="A141" i="15" s="1"/>
  <c r="A142" i="15" s="1"/>
  <c r="A143" i="15" s="1"/>
  <c r="A144" i="15" s="1"/>
  <c r="A145" i="15" s="1"/>
  <c r="A146" i="15" s="1"/>
  <c r="A147" i="15" s="1"/>
  <c r="A148" i="15" s="1"/>
  <c r="A149" i="15" s="1"/>
  <c r="D115" i="15"/>
  <c r="D114" i="15"/>
  <c r="D113" i="15"/>
  <c r="D112" i="15"/>
  <c r="D111" i="15"/>
  <c r="D110" i="15"/>
  <c r="D109" i="15"/>
  <c r="D108" i="15"/>
  <c r="D107" i="15"/>
  <c r="D106" i="15"/>
  <c r="D105" i="15"/>
  <c r="D104" i="15"/>
  <c r="D103" i="15"/>
  <c r="D102" i="15"/>
  <c r="D101" i="15"/>
  <c r="D100" i="15"/>
  <c r="D99" i="15"/>
  <c r="D98" i="15"/>
  <c r="D97" i="15"/>
  <c r="D96" i="15"/>
  <c r="D95" i="15"/>
  <c r="D94" i="15"/>
  <c r="D93" i="15"/>
  <c r="D92" i="15"/>
  <c r="D91" i="15"/>
  <c r="E91" i="15"/>
  <c r="E115" i="15"/>
  <c r="E114" i="15"/>
  <c r="E113" i="15"/>
  <c r="E112" i="15"/>
  <c r="E111" i="15"/>
  <c r="E110" i="15"/>
  <c r="E109" i="15"/>
  <c r="E108" i="15"/>
  <c r="E107" i="15"/>
  <c r="E106" i="15"/>
  <c r="E105" i="15"/>
  <c r="E104" i="15"/>
  <c r="E103" i="15"/>
  <c r="E102" i="15"/>
  <c r="E101" i="15"/>
  <c r="E100" i="15"/>
  <c r="E99" i="15"/>
  <c r="E98" i="15"/>
  <c r="E97" i="15"/>
  <c r="E96" i="15"/>
  <c r="E95" i="15"/>
  <c r="E94" i="15"/>
  <c r="E93" i="15"/>
  <c r="E92" i="15"/>
  <c r="C115" i="15"/>
  <c r="C114" i="15"/>
  <c r="C113" i="15"/>
  <c r="C112" i="15"/>
  <c r="C111" i="15"/>
  <c r="C110" i="15"/>
  <c r="C109" i="15"/>
  <c r="C108" i="15"/>
  <c r="C107" i="15"/>
  <c r="C106" i="15"/>
  <c r="C105" i="15"/>
  <c r="C104" i="15"/>
  <c r="C103" i="15"/>
  <c r="C102" i="15"/>
  <c r="C101" i="15"/>
  <c r="C100" i="15"/>
  <c r="C99" i="15"/>
  <c r="C98" i="15"/>
  <c r="C97" i="15"/>
  <c r="C96" i="15"/>
  <c r="C95" i="15"/>
  <c r="C94" i="15"/>
  <c r="C93" i="15"/>
  <c r="C92" i="15"/>
  <c r="C91" i="15"/>
  <c r="H142" i="15" l="1"/>
  <c r="F131" i="15"/>
  <c r="H131" i="15" s="1"/>
  <c r="F91" i="15"/>
  <c r="I91" i="15"/>
  <c r="F115" i="15"/>
  <c r="H115" i="15" s="1"/>
  <c r="F114" i="15"/>
  <c r="H114" i="15" s="1"/>
  <c r="F113" i="15"/>
  <c r="H113" i="15" s="1"/>
  <c r="F112" i="15"/>
  <c r="H112" i="15" s="1"/>
  <c r="F111" i="15"/>
  <c r="H111" i="15" s="1"/>
  <c r="F110" i="15"/>
  <c r="H110" i="15" s="1"/>
  <c r="F109" i="15"/>
  <c r="H109" i="15" s="1"/>
  <c r="F108" i="15"/>
  <c r="H108" i="15" s="1"/>
  <c r="F107" i="15"/>
  <c r="H107" i="15" s="1"/>
  <c r="F106" i="15"/>
  <c r="H106" i="15" s="1"/>
  <c r="F105" i="15"/>
  <c r="H105" i="15" s="1"/>
  <c r="F104" i="15"/>
  <c r="H104" i="15" s="1"/>
  <c r="F103" i="15"/>
  <c r="H103" i="15" s="1"/>
  <c r="F102" i="15"/>
  <c r="H102" i="15" s="1"/>
  <c r="F101" i="15"/>
  <c r="H101" i="15" s="1"/>
  <c r="F100" i="15"/>
  <c r="H100" i="15" s="1"/>
  <c r="F99" i="15"/>
  <c r="H99" i="15" s="1"/>
  <c r="F98" i="15"/>
  <c r="H98" i="15" s="1"/>
  <c r="F97" i="15"/>
  <c r="H97" i="15" s="1"/>
  <c r="F96" i="15"/>
  <c r="H96" i="15" s="1"/>
  <c r="H91" i="15" l="1"/>
  <c r="F46" i="15" l="1"/>
  <c r="H75" i="15" l="1"/>
  <c r="C75" i="15"/>
  <c r="F33" i="15"/>
  <c r="F13" i="15"/>
  <c r="D251" i="15" l="1"/>
  <c r="L60" i="15" l="1"/>
  <c r="L59" i="15"/>
  <c r="F152" i="15"/>
  <c r="H152" i="15" s="1"/>
  <c r="F151" i="15"/>
  <c r="H151" i="15" s="1"/>
  <c r="F149" i="15"/>
  <c r="H149" i="15" s="1"/>
  <c r="F148" i="15"/>
  <c r="H148" i="15" s="1"/>
  <c r="F147" i="15"/>
  <c r="H147" i="15" s="1"/>
  <c r="F146" i="15"/>
  <c r="H146" i="15" s="1"/>
  <c r="F145" i="15"/>
  <c r="H145" i="15" s="1"/>
  <c r="F144" i="15"/>
  <c r="H144" i="15" s="1"/>
  <c r="F143" i="15"/>
  <c r="H143" i="15" s="1"/>
  <c r="Q128" i="15"/>
  <c r="R128" i="15"/>
  <c r="I50" i="15"/>
  <c r="D55" i="15" l="1"/>
  <c r="D62" i="15"/>
  <c r="D58" i="15"/>
  <c r="L54" i="15"/>
  <c r="C53" i="15" s="1"/>
  <c r="D53" i="15" s="1"/>
  <c r="L52" i="15"/>
  <c r="D61" i="15"/>
  <c r="D57" i="15"/>
  <c r="L53" i="15"/>
  <c r="D60" i="15"/>
  <c r="D56" i="15"/>
  <c r="L55" i="15"/>
  <c r="L56" i="15" s="1"/>
  <c r="L61" i="15" s="1"/>
  <c r="D59" i="15"/>
  <c r="P128" i="15"/>
  <c r="R129" i="15"/>
  <c r="R130" i="15" s="1"/>
  <c r="R131" i="15" s="1"/>
  <c r="R132" i="15" s="1"/>
  <c r="R133" i="15" s="1"/>
  <c r="R134" i="15" s="1"/>
  <c r="R135" i="15" s="1"/>
  <c r="R136" i="15" s="1"/>
  <c r="R137" i="15" s="1"/>
  <c r="Q129" i="15"/>
  <c r="F163" i="15"/>
  <c r="H163" i="15" s="1"/>
  <c r="F162" i="15"/>
  <c r="H162" i="15" s="1"/>
  <c r="F161" i="15"/>
  <c r="H161" i="15" s="1"/>
  <c r="F160" i="15"/>
  <c r="H160" i="15" s="1"/>
  <c r="F159" i="15"/>
  <c r="H159" i="15" s="1"/>
  <c r="F158" i="15"/>
  <c r="H158" i="15" s="1"/>
  <c r="F157" i="15"/>
  <c r="H157" i="15" s="1"/>
  <c r="F156" i="15"/>
  <c r="H156" i="15" s="1"/>
  <c r="F155" i="15"/>
  <c r="H155" i="15" s="1"/>
  <c r="F154" i="15"/>
  <c r="H154" i="15" s="1"/>
  <c r="R139" i="15"/>
  <c r="Q139" i="15"/>
  <c r="L57" i="15" l="1"/>
  <c r="L58" i="15" s="1"/>
  <c r="P129" i="15"/>
  <c r="Q130" i="15"/>
  <c r="P130" i="15" s="1"/>
  <c r="P139" i="15"/>
  <c r="Q140" i="15"/>
  <c r="R140" i="15"/>
  <c r="R141" i="15" s="1"/>
  <c r="R142" i="15" s="1"/>
  <c r="R143" i="15" s="1"/>
  <c r="R144" i="15" s="1"/>
  <c r="R145" i="15" s="1"/>
  <c r="R146" i="15" s="1"/>
  <c r="R147" i="15" s="1"/>
  <c r="R148" i="15" s="1"/>
  <c r="A123" i="15"/>
  <c r="A124" i="15" s="1"/>
  <c r="A125" i="15" s="1"/>
  <c r="A126" i="15" s="1"/>
  <c r="A127" i="15" s="1"/>
  <c r="A128" i="15" s="1"/>
  <c r="A129" i="15" s="1"/>
  <c r="A130" i="15" s="1"/>
  <c r="A131" i="15" s="1"/>
  <c r="Q116" i="15"/>
  <c r="R116" i="15"/>
  <c r="R117" i="15" l="1"/>
  <c r="R118" i="15" s="1"/>
  <c r="R120" i="15" s="1"/>
  <c r="R121" i="15" s="1"/>
  <c r="R122" i="15" s="1"/>
  <c r="R123" i="15" s="1"/>
  <c r="R124" i="15" s="1"/>
  <c r="R125" i="15" s="1"/>
  <c r="R126" i="15" s="1"/>
  <c r="P116" i="15"/>
  <c r="Q117" i="15"/>
  <c r="Q118" i="15" s="1"/>
  <c r="L62" i="15"/>
  <c r="C54" i="15" s="1"/>
  <c r="Q131" i="15"/>
  <c r="P131" i="15" s="1"/>
  <c r="P140" i="15"/>
  <c r="Q141" i="15"/>
  <c r="P141" i="15" s="1"/>
  <c r="P117" i="15" l="1"/>
  <c r="F53" i="15"/>
  <c r="K49" i="15" s="1"/>
  <c r="C51" i="15" s="1"/>
  <c r="D54" i="15"/>
  <c r="H53" i="15"/>
  <c r="Q132" i="15"/>
  <c r="P132" i="15" s="1"/>
  <c r="Q142" i="15"/>
  <c r="P142" i="15" s="1"/>
  <c r="Q120" i="15"/>
  <c r="P118" i="15"/>
  <c r="Q133" i="15" l="1"/>
  <c r="P133" i="15" s="1"/>
  <c r="Q143" i="15"/>
  <c r="P143" i="15" s="1"/>
  <c r="Q121" i="15"/>
  <c r="P120" i="15"/>
  <c r="Q134" i="15" l="1"/>
  <c r="P134" i="15" s="1"/>
  <c r="Q144" i="15"/>
  <c r="P144" i="15" s="1"/>
  <c r="Q122" i="15"/>
  <c r="P121" i="15"/>
  <c r="Q135" i="15" l="1"/>
  <c r="P135" i="15" s="1"/>
  <c r="Q145" i="15"/>
  <c r="P145" i="15" s="1"/>
  <c r="Q123" i="15"/>
  <c r="P122" i="15"/>
  <c r="Q136" i="15" l="1"/>
  <c r="P136" i="15" s="1"/>
  <c r="Q146" i="15"/>
  <c r="P146" i="15" s="1"/>
  <c r="Q124" i="15"/>
  <c r="P123" i="15"/>
  <c r="Q137" i="15" l="1"/>
  <c r="P137" i="15" s="1"/>
  <c r="Q147" i="15"/>
  <c r="P147" i="15" s="1"/>
  <c r="Q125" i="15"/>
  <c r="P124" i="15"/>
  <c r="Q148" i="15" l="1"/>
  <c r="P148" i="15" s="1"/>
  <c r="Q126" i="15"/>
  <c r="P125" i="15"/>
  <c r="P126" i="15" l="1"/>
  <c r="I234" i="15" l="1"/>
  <c r="F125" i="15"/>
  <c r="H125" i="15" s="1"/>
  <c r="F136" i="15"/>
  <c r="H136" i="15" s="1"/>
  <c r="F140" i="15"/>
  <c r="H140" i="15" s="1"/>
  <c r="F134" i="15"/>
  <c r="H134" i="15" s="1"/>
  <c r="F141" i="15"/>
  <c r="H141" i="15" s="1"/>
  <c r="F139" i="15"/>
  <c r="H139" i="15" s="1"/>
  <c r="F138" i="15"/>
  <c r="H138" i="15" s="1"/>
  <c r="F137" i="15"/>
  <c r="H137" i="15" s="1"/>
  <c r="F133" i="15"/>
  <c r="H133" i="15" s="1"/>
  <c r="F132" i="15"/>
  <c r="H132" i="15" s="1"/>
  <c r="F130" i="15"/>
  <c r="H130" i="15" s="1"/>
  <c r="F129" i="15"/>
  <c r="H129" i="15" s="1"/>
  <c r="F128" i="15"/>
  <c r="H128" i="15" s="1"/>
  <c r="F127" i="15"/>
  <c r="H127" i="15" s="1"/>
  <c r="F126" i="15"/>
  <c r="H126" i="15" s="1"/>
  <c r="F122" i="15"/>
  <c r="H122" i="15" l="1"/>
  <c r="F135" i="15"/>
  <c r="H135" i="15" s="1"/>
  <c r="F123" i="15"/>
  <c r="H123" i="15" s="1"/>
  <c r="F124" i="15"/>
  <c r="H124" i="15" s="1"/>
  <c r="E83" i="15" l="1"/>
  <c r="C83" i="15"/>
  <c r="H83" i="15"/>
  <c r="F94" i="15"/>
  <c r="H94" i="15" s="1"/>
  <c r="F93" i="15"/>
  <c r="H93" i="15" s="1"/>
  <c r="F92" i="15"/>
  <c r="H92" i="15" l="1"/>
  <c r="F95" i="15"/>
  <c r="H95" i="15" s="1"/>
  <c r="H80" i="15" l="1"/>
  <c r="E80" i="15"/>
  <c r="C80"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SACHIN</author>
  </authors>
  <commentList>
    <comment ref="F20" authorId="0" shapeId="0" xr:uid="{00000000-0006-0000-0000-000001000000}">
      <text>
        <r>
          <rPr>
            <b/>
            <sz val="9"/>
            <color indexed="81"/>
            <rFont val="Tahoma"/>
            <family val="2"/>
          </rPr>
          <t>Sachin:</t>
        </r>
        <r>
          <rPr>
            <sz val="9"/>
            <color indexed="81"/>
            <rFont val="Tahoma"/>
            <family val="2"/>
          </rPr>
          <t xml:space="preserve">
Name mentioned in initiation mail</t>
        </r>
      </text>
    </comment>
    <comment ref="F22" authorId="1" shapeId="0" xr:uid="{00000000-0006-0000-0000-000002000000}">
      <text>
        <r>
          <rPr>
            <b/>
            <sz val="9"/>
            <color indexed="81"/>
            <rFont val="Tahoma"/>
            <family val="2"/>
          </rPr>
          <t xml:space="preserve">Visit Date </t>
        </r>
      </text>
    </comment>
    <comment ref="F23" authorId="1" shapeId="0" xr:uid="{00000000-0006-0000-0000-000003000000}">
      <text>
        <r>
          <rPr>
            <b/>
            <sz val="9"/>
            <color indexed="81"/>
            <rFont val="Tahoma"/>
            <family val="2"/>
          </rPr>
          <t xml:space="preserve">Visitor Name </t>
        </r>
        <r>
          <rPr>
            <sz val="9"/>
            <color indexed="81"/>
            <rFont val="Tahoma"/>
            <family val="2"/>
          </rPr>
          <t xml:space="preserve">
</t>
        </r>
      </text>
    </comment>
    <comment ref="F24" authorId="0" shapeId="0" xr:uid="{00000000-0006-0000-0000-000004000000}">
      <text>
        <r>
          <rPr>
            <b/>
            <sz val="9"/>
            <color indexed="81"/>
            <rFont val="Tahoma"/>
            <family val="2"/>
          </rPr>
          <t>Sachin:</t>
        </r>
        <r>
          <rPr>
            <sz val="9"/>
            <color indexed="81"/>
            <rFont val="Tahoma"/>
            <family val="2"/>
          </rPr>
          <t xml:space="preserve">
Name mentioned in initiation mail</t>
        </r>
      </text>
    </comment>
    <comment ref="F26" authorId="1" shapeId="0" xr:uid="{00000000-0006-0000-0000-000005000000}">
      <text>
        <r>
          <rPr>
            <b/>
            <sz val="9"/>
            <color indexed="81"/>
            <rFont val="Tahoma"/>
            <family val="2"/>
          </rPr>
          <t>mention it if provided by builder or else NA</t>
        </r>
      </text>
    </comment>
    <comment ref="F32" authorId="0" shapeId="0" xr:uid="{00000000-0006-0000-0000-000006000000}">
      <text>
        <r>
          <rPr>
            <b/>
            <sz val="9"/>
            <color indexed="81"/>
            <rFont val="Tahoma"/>
            <family val="2"/>
          </rPr>
          <t>Sachin:</t>
        </r>
        <r>
          <rPr>
            <sz val="9"/>
            <color indexed="81"/>
            <rFont val="Tahoma"/>
            <family val="2"/>
          </rPr>
          <t xml:space="preserve">
Authority Name </t>
        </r>
      </text>
    </comment>
    <comment ref="F63" authorId="0" shapeId="0" xr:uid="{00000000-0006-0000-0000-000007000000}">
      <text>
        <r>
          <rPr>
            <b/>
            <sz val="9"/>
            <color indexed="81"/>
            <rFont val="Tahoma"/>
            <family val="2"/>
          </rPr>
          <t>Sachin:</t>
        </r>
        <r>
          <rPr>
            <sz val="9"/>
            <color indexed="81"/>
            <rFont val="Tahoma"/>
            <family val="2"/>
          </rPr>
          <t xml:space="preserve">
Take from RERA</t>
        </r>
      </text>
    </comment>
    <comment ref="F65" authorId="1" shapeId="0" xr:uid="{00000000-0006-0000-0000-000008000000}">
      <text>
        <r>
          <rPr>
            <b/>
            <sz val="9"/>
            <color indexed="81"/>
            <rFont val="Tahoma"/>
            <family val="2"/>
          </rPr>
          <t>2 School
2 Shopping Centre or mall
2 Hospital</t>
        </r>
        <r>
          <rPr>
            <sz val="9"/>
            <color indexed="81"/>
            <rFont val="Tahoma"/>
            <family val="2"/>
          </rPr>
          <t xml:space="preserve">
</t>
        </r>
      </text>
    </comment>
    <comment ref="F66" authorId="1" shapeId="0" xr:uid="{00000000-0006-0000-0000-000009000000}">
      <text>
        <r>
          <rPr>
            <b/>
            <sz val="9"/>
            <color indexed="81"/>
            <rFont val="Tahoma"/>
            <family val="2"/>
          </rPr>
          <t>2 School
2 Shopping Centre or mall
2 Hospital</t>
        </r>
        <r>
          <rPr>
            <sz val="9"/>
            <color indexed="81"/>
            <rFont val="Tahoma"/>
            <family val="2"/>
          </rPr>
          <t xml:space="preserve">
</t>
        </r>
      </text>
    </comment>
    <comment ref="F67" authorId="1" shapeId="0" xr:uid="{00000000-0006-0000-0000-00000A000000}">
      <text>
        <r>
          <rPr>
            <b/>
            <sz val="9"/>
            <color indexed="81"/>
            <rFont val="Tahoma"/>
            <family val="2"/>
          </rPr>
          <t>2 School
2 Shopping Centre or mall
2 Hospital</t>
        </r>
        <r>
          <rPr>
            <sz val="9"/>
            <color indexed="81"/>
            <rFont val="Tahoma"/>
            <family val="2"/>
          </rPr>
          <t xml:space="preserve">
</t>
        </r>
      </text>
    </comment>
    <comment ref="F68" authorId="1" shapeId="0" xr:uid="{00000000-0006-0000-0000-00000B000000}">
      <text>
        <r>
          <rPr>
            <b/>
            <sz val="9"/>
            <color indexed="81"/>
            <rFont val="Tahoma"/>
            <family val="2"/>
          </rPr>
          <t>2 School
2 Shopping Centre or mall
2 Hospital</t>
        </r>
        <r>
          <rPr>
            <sz val="9"/>
            <color indexed="81"/>
            <rFont val="Tahoma"/>
            <family val="2"/>
          </rPr>
          <t xml:space="preserve">
</t>
        </r>
      </text>
    </comment>
    <comment ref="F208" authorId="1" shapeId="0" xr:uid="{00000000-0006-0000-0000-00000C000000}">
      <text>
        <r>
          <rPr>
            <b/>
            <sz val="9"/>
            <color indexed="81"/>
            <rFont val="Tahoma"/>
            <family val="2"/>
          </rPr>
          <t>Proposed Structure</t>
        </r>
      </text>
    </comment>
  </commentList>
</comments>
</file>

<file path=xl/sharedStrings.xml><?xml version="1.0" encoding="utf-8"?>
<sst xmlns="http://schemas.openxmlformats.org/spreadsheetml/2006/main" count="375" uniqueCount="230">
  <si>
    <t>Undertaking :</t>
  </si>
  <si>
    <t>2) I/We have no direct or Indirect Interest in the property being valued</t>
  </si>
  <si>
    <t>Description</t>
  </si>
  <si>
    <t>1) We have personally visited the property &amp; identified the same based on the documents provided</t>
  </si>
  <si>
    <t>Type of Work</t>
  </si>
  <si>
    <t>Plinth</t>
  </si>
  <si>
    <t>3) The information furnished above is true and correct to my/our knowledge.</t>
  </si>
  <si>
    <t>5) Legal title of the property is not verified by us.</t>
  </si>
  <si>
    <t xml:space="preserve">Valuation Report </t>
  </si>
  <si>
    <t xml:space="preserve">Details of Flats in Building   </t>
  </si>
  <si>
    <t>Yes</t>
  </si>
  <si>
    <t>NA</t>
  </si>
  <si>
    <t xml:space="preserve">4)  The saleable area is as per Our Calculation.  </t>
  </si>
  <si>
    <t>Development charges Per Sq. Ft.</t>
  </si>
  <si>
    <t>Total</t>
  </si>
  <si>
    <t xml:space="preserve">Recommended rate of Parking </t>
  </si>
  <si>
    <t>Building details Floor Wise</t>
  </si>
  <si>
    <t>Floor</t>
  </si>
  <si>
    <t>Particulars</t>
  </si>
  <si>
    <t>Google Map :</t>
  </si>
  <si>
    <t>Sr.No.</t>
  </si>
  <si>
    <t>Details</t>
  </si>
  <si>
    <t>Name of the project</t>
  </si>
  <si>
    <t>Address as per the site visit</t>
  </si>
  <si>
    <t>Closest landmark</t>
  </si>
  <si>
    <t>Address as per the Sale brochure</t>
  </si>
  <si>
    <t>Address as per the plans &amp; permissions</t>
  </si>
  <si>
    <t>Address as per the legal documentation</t>
  </si>
  <si>
    <t>Date of APF initiation from YBL</t>
  </si>
  <si>
    <t>Date of documents delivery / receipt</t>
  </si>
  <si>
    <t>List of documents provided</t>
  </si>
  <si>
    <t>Queries communicated to YBL regarding discrepancies in documentation, details etc</t>
  </si>
  <si>
    <t>Date of query resolution from YBL</t>
  </si>
  <si>
    <t>Any further documentation that needs to be complied prior to start of disbursement in the project? Provide complete details.</t>
  </si>
  <si>
    <t>Date of contacting concerned developer personnel for site visit</t>
  </si>
  <si>
    <t>Date, day &amp; timing of Site visit</t>
  </si>
  <si>
    <t>Name of the person conducting the site visit &amp; contact details</t>
  </si>
  <si>
    <t>Details of Financial Institutions who's APF Approval Letters / Boards were displayed on site</t>
  </si>
  <si>
    <t>Details of sold v/s unsold units</t>
  </si>
  <si>
    <t>Has the developer availed any kind of construction / project finance? If yes, details are required.</t>
  </si>
  <si>
    <t>Developer name</t>
  </si>
  <si>
    <t>Developer group parent company</t>
  </si>
  <si>
    <t>Developer office address along with contact details</t>
  </si>
  <si>
    <t>Architect details ( Name, office address, mobile number, registration number )</t>
  </si>
  <si>
    <t>Authority jurisdiction for the project location</t>
  </si>
  <si>
    <t>Zoning Approval for the project location as per the MDP</t>
  </si>
  <si>
    <t>Does the proposed development match with the Zoning Approval? Detailed feedback</t>
  </si>
  <si>
    <t>Project type ( Residential / Mixed / Flats / Villas / Row Houses etc )</t>
  </si>
  <si>
    <t>Does the ongoing construction match with the Approved Site Layout? If no, details expected.</t>
  </si>
  <si>
    <t>Project launch date</t>
  </si>
  <si>
    <t>Average weighted stage of construction for the project with construction stages of individual wings</t>
  </si>
  <si>
    <t>Phase, building &amp; wingwise naming &amp; numbering details</t>
  </si>
  <si>
    <t>Are there any deviations between the ongoing construction &amp; the available plans &amp; permissions. If yes, details are expected.</t>
  </si>
  <si>
    <t>Pricing comparisons ( Builder pricing v/s Resale v/s Nearby Projects with Rationale &amp; justification )</t>
  </si>
  <si>
    <t>Transaction documentation details ( Black / White percentages etc )</t>
  </si>
  <si>
    <t>All details payable as per Total Cost of Acquisition such as Parking Charges, Water Connection Charges, Water Meter Charges, Electricity Connection Charges, Electricity Meter Charges, Club House Charges, Infrastructure Development Charges, Society Charges, Advance Maintenance Charges with details, Service Tax, VAT etc )</t>
  </si>
  <si>
    <t>Different types of payment schemes offered such as CLPP, TLPP, C &amp; TLPP, Interest Subvention Plans etc</t>
  </si>
  <si>
    <t>Schedule of Payment as per the developer</t>
  </si>
  <si>
    <t>Are there any discrepancies in the legal / technical documentation that may affect the business interests of YBL? If yes, please elaborate.</t>
  </si>
  <si>
    <t>Any evidences of social disturbances at the project site that may affect the business interests of YBL? If yes, please elaborate.</t>
  </si>
  <si>
    <t>Any notices or boards of litigation at project site / developer office that may affect the business interests of YBL? If yes, please elaborate.</t>
  </si>
  <si>
    <t>Any further documentation that needs to be tracked by the Financial Institution &amp; obtained from the customer / developer post project completion? Provide complete details.</t>
  </si>
  <si>
    <t>Declarations :-</t>
  </si>
  <si>
    <t>(a)</t>
  </si>
  <si>
    <t>Have you done APF technical for this project for any other Financial Institution?</t>
  </si>
  <si>
    <t>Have you done evaluation of this project for the Project / Construction Finance perspective for any Financial Insitution?</t>
  </si>
  <si>
    <t>(b)</t>
  </si>
  <si>
    <t>Expected completion date for the project as projected by the developer</t>
  </si>
  <si>
    <t>Physical &amp; social infrastructure availability details ( Bus stop, railway station, public park, main road, airport, hospital, public transport, school, market etc )</t>
  </si>
  <si>
    <t>Internal &amp; external amenities</t>
  </si>
  <si>
    <t>Boundary details ( Are they matching as per the legal &amp; technical documentation )</t>
  </si>
  <si>
    <t>Phase, building &amp; wingwise structure details ( Approvals v/s proposed v/s constructed ( If 100 % complete ) ( Deviations to be pointed out )</t>
  </si>
  <si>
    <t>None</t>
  </si>
  <si>
    <t>As per Site Details :</t>
  </si>
  <si>
    <t>No</t>
  </si>
  <si>
    <t>Yes its comes under Residential zone</t>
  </si>
  <si>
    <t>Plot area in sqmt</t>
  </si>
  <si>
    <t>Yes as per plan. But NA order not provided to verify.</t>
  </si>
  <si>
    <t>Permissions applicable v/s available (Detailed analysis)</t>
  </si>
  <si>
    <t>Building &amp; Wing</t>
  </si>
  <si>
    <t>No. of Units</t>
  </si>
  <si>
    <t>Total Carpet Area</t>
  </si>
  <si>
    <t>Total Saleable Area</t>
  </si>
  <si>
    <t>Gross Carpet area</t>
  </si>
  <si>
    <t>Attached Terrace area</t>
  </si>
  <si>
    <t xml:space="preserve">Approval Detail : Plan approval </t>
  </si>
  <si>
    <t>Dated</t>
  </si>
  <si>
    <t xml:space="preserve">O. Certificate No.: </t>
  </si>
  <si>
    <t>NA
Approved upto :</t>
  </si>
  <si>
    <t xml:space="preserve">Date of approval: </t>
  </si>
  <si>
    <t xml:space="preserve">Residential </t>
  </si>
  <si>
    <t>Does the Plot Area match as per the legal documentation?</t>
  </si>
  <si>
    <t>Does the Plot Area match as per the Non Agriculture documentation?</t>
  </si>
  <si>
    <t>PHOTOGRAPHS OF PROPERTY :</t>
  </si>
  <si>
    <t>RERA Name &amp; No.</t>
  </si>
  <si>
    <t>Basement</t>
  </si>
  <si>
    <t>Podium</t>
  </si>
  <si>
    <t>Ground</t>
  </si>
  <si>
    <t>Excavation in process</t>
  </si>
  <si>
    <t>Excavation Completed</t>
  </si>
  <si>
    <t>Footing in Process</t>
  </si>
  <si>
    <t>Footing Completed</t>
  </si>
  <si>
    <t>Plinth in process</t>
  </si>
  <si>
    <t>Plinth completed</t>
  </si>
  <si>
    <t xml:space="preserve">Layout plan No. </t>
  </si>
  <si>
    <t>Approved Floor plan No</t>
  </si>
  <si>
    <t>Grill Cost</t>
  </si>
  <si>
    <t>Maintainace Charges Per Sq. Ft. ( on Saleable area)</t>
  </si>
  <si>
    <t>Society Formation Charges</t>
  </si>
  <si>
    <t>Shop</t>
  </si>
  <si>
    <t>Carpet area</t>
  </si>
  <si>
    <t>On Possession</t>
  </si>
  <si>
    <t>Flat No. 
(as per Approved  Plan)</t>
  </si>
  <si>
    <t>Saleable area
Loading :</t>
  </si>
  <si>
    <t>Name of developer personnel for site visit coordination with contact details (Mobile, landline, email)</t>
  </si>
  <si>
    <t>Name of person met at site (Full Name, Designation, Mobile Number, Landline Number, email id)</t>
  </si>
  <si>
    <t>Construction details:</t>
  </si>
  <si>
    <t>Floors</t>
  </si>
  <si>
    <t xml:space="preserve">Stage of construction: </t>
  </si>
  <si>
    <t>All work Completed. OC Received.</t>
  </si>
  <si>
    <t>Slab/Floor</t>
  </si>
  <si>
    <t>Complition %</t>
  </si>
  <si>
    <t>Progress %</t>
  </si>
  <si>
    <t>Disbursement %</t>
  </si>
  <si>
    <t>Piling Work in process</t>
  </si>
  <si>
    <t>Excavation</t>
  </si>
  <si>
    <t>RCC (Including podiums)</t>
  </si>
  <si>
    <t>Brickwork</t>
  </si>
  <si>
    <t>Brickwork &amp; Internal Plaster</t>
  </si>
  <si>
    <t>Internal Plaster</t>
  </si>
  <si>
    <t>Basement 1</t>
  </si>
  <si>
    <t>Ext. Plaster &amp; Plumbing</t>
  </si>
  <si>
    <t>External Plaster &amp; Plumbing</t>
  </si>
  <si>
    <t>Basement 2</t>
  </si>
  <si>
    <t>Flooring &amp; Fitting</t>
  </si>
  <si>
    <t>Basement 3</t>
  </si>
  <si>
    <t>Painting &amp; Wooden</t>
  </si>
  <si>
    <t>Basement 4</t>
  </si>
  <si>
    <t>Building Common Amenities</t>
  </si>
  <si>
    <t>Possession</t>
  </si>
  <si>
    <t>Authorized Signatory
Name &amp; Seal of the agency</t>
  </si>
  <si>
    <t>Name of Engineer Visited the property</t>
  </si>
  <si>
    <t>Phase, building, wing, unit wise pricing details (Base pricing, floor rise, location / view specific, etc)</t>
  </si>
  <si>
    <t xml:space="preserve">Same </t>
  </si>
  <si>
    <t>Location Link</t>
  </si>
  <si>
    <t>Approved Floor =</t>
  </si>
  <si>
    <t>Proposed Floor =</t>
  </si>
  <si>
    <t>Layout</t>
  </si>
  <si>
    <t>Office No. 1031, Wing J, Akshar Business Park, Plot No. 03 Sector 25, Near APMC Market, Vashi, Navi Mumbai, Maharashtra 400703 TEL: 022-46090378/79/80                                                                       
E mail : vsjcapf@gmail.com. Web site : www.vsjadon.com</t>
  </si>
  <si>
    <t>Latitude, Longitude :</t>
  </si>
  <si>
    <t>Commencement Certificate No. 
Valid upto:</t>
  </si>
  <si>
    <t xml:space="preserve">We considered Carpet area as per Approved Plan.
</t>
  </si>
  <si>
    <t xml:space="preserve">We considered  Saleable area as per our calculation.
</t>
  </si>
  <si>
    <t xml:space="preserve">We have considered rate by verifying it from market inquire.
</t>
  </si>
  <si>
    <t xml:space="preserve">Car parking is subjected to authentic documentation.
</t>
  </si>
  <si>
    <t xml:space="preserve">Remarks:  </t>
  </si>
  <si>
    <t>Net Plot Area</t>
  </si>
  <si>
    <t>Built Up Area</t>
  </si>
  <si>
    <t>Basic FSI / FAR</t>
  </si>
  <si>
    <t xml:space="preserve">Premium FSI / FAR
</t>
  </si>
  <si>
    <t xml:space="preserve">Approved TDR
</t>
  </si>
  <si>
    <t>Total FSI</t>
  </si>
  <si>
    <t>Ancillary FSI</t>
  </si>
  <si>
    <t>As per Market Inquiry :</t>
  </si>
  <si>
    <t>Suraksha Smart City Phase I</t>
  </si>
  <si>
    <t>Building No. 14</t>
  </si>
  <si>
    <t>Name / No of the Building</t>
  </si>
  <si>
    <t>Suraksha Smart City Phase I &amp; P99000023396</t>
  </si>
  <si>
    <t>19.387389,72.848000</t>
  </si>
  <si>
    <t>https://maps.app.goo.gl/8Gn5dF7DYrB1rTxT9</t>
  </si>
  <si>
    <t>CASL RMC Plant</t>
  </si>
  <si>
    <t>Suraksha Smart City,  Building No.14, Madhuban Township, Golani Naka, Vasai East, Vasai-Virar, Tal. Vasai, Dist.Palghar 401208</t>
  </si>
  <si>
    <t xml:space="preserve">Mr. Pradip Yadav 9699477577 
</t>
  </si>
  <si>
    <t>Mr.Navnath Bhatkar</t>
  </si>
  <si>
    <t>M/s.Conceptual Advisory Services LLP</t>
  </si>
  <si>
    <t>3 Narayan Building 23, LN Road Dadar Mumbai 400014</t>
  </si>
  <si>
    <t>Sanat Mehata &amp; Associates 
Civil Enginerring and Architectural Project Consultants
Rameshwar Tower, A - 103, Shimpoli Road, Next to Gokhale School Borivali (W),  Mumabi 400 092 
Email : sanatmehata0310@gmail.com
Phone No.022-28999298
L.No.VVCMC/ENGR/09</t>
  </si>
  <si>
    <t xml:space="preserve">SCHOOL :
Trinity High School &amp; Junior Collage Of Science,Comerce &amp; Art's - 2Km
Convent English High School - 2.5 Km
</t>
  </si>
  <si>
    <t xml:space="preserve">SHOPPING :
Utsav Shopping Centre -1.9Km
Vrindavan Shopping Centre - 2.2Km
</t>
  </si>
  <si>
    <t xml:space="preserve">HOSPITALS :
Astavinayak Maternity &amp; General Hospital - 2.4Km
Iasis Hospital - 3.2Km
</t>
  </si>
  <si>
    <t xml:space="preserve">PETROL PUMP :
HP Petrol Pump Omkar Petroleum - 3Km
IndianOil Petrol PumpBassein Terminal  - 3.6Km
</t>
  </si>
  <si>
    <t>https://www.humanarms.in/project.php?title=suraksha-smart-city#</t>
  </si>
  <si>
    <t>Themed Garden, Kids Play Area, Jogging Track, Cricket Turf, Outdoor Gymnasium, Internal Roads, Sewage Treatment Plant, Yoga/Meditation Area, 24X7 Water Supply, Fire Fighting System, Water Conservation, Rainwater Harvesting, Open Parking, Community Buildings, Basketball Court, Children's Play Area, Gated Community, Multipurpose Room, Cycling &amp; Jogging Track Gymnasium, Cricket Pitch, Storm Water, Drains Solid Waste Management And Disposal Landscaping &amp; Tree Planting, Energy Management, Meter Room, Closed Car Parking.</t>
  </si>
  <si>
    <t xml:space="preserve">Construction work is in process at the time of Visit.
</t>
  </si>
  <si>
    <t>VVCMC/TP/AMEND/VP/PMAY-1/102/2021-22</t>
  </si>
  <si>
    <t>Ground Floor for Entrance Lobby, Meter Room, Society Office, Letter Box, Commercial &amp; Parking</t>
  </si>
  <si>
    <t>Loft Area</t>
  </si>
  <si>
    <t>Building No.14</t>
  </si>
  <si>
    <t>1st Floor For Residential</t>
  </si>
  <si>
    <t>Sector IV A</t>
  </si>
  <si>
    <t>1BHK</t>
  </si>
  <si>
    <t>Enclosed Balcony</t>
  </si>
  <si>
    <t>AF
Area</t>
  </si>
  <si>
    <t>2nd to 7th, 9th to 11th, 13th to 15th, 17th to 19th &amp; 21st to 23rd Floor</t>
  </si>
  <si>
    <t>Refuge area</t>
  </si>
  <si>
    <t>8th, 12th, 16th &amp; 20th Floor (Part Refuge Area)</t>
  </si>
  <si>
    <t>Residential Area Details :Flats</t>
  </si>
  <si>
    <t>Commercial Area Details :Shops</t>
  </si>
  <si>
    <t>Flats = 632
Shop = 25</t>
  </si>
  <si>
    <t>On Booking</t>
  </si>
  <si>
    <t>On Completion of Plinth</t>
  </si>
  <si>
    <t>On Completion of 1st Slab</t>
  </si>
  <si>
    <t>On Completion of 7th Slab</t>
  </si>
  <si>
    <t>On Completion of 13th Slab</t>
  </si>
  <si>
    <t>On Completion of 19th Slab</t>
  </si>
  <si>
    <t>On Completion of 23rd Slab</t>
  </si>
  <si>
    <t>On Completion of flooring and Internal Plaster</t>
  </si>
  <si>
    <t>On Completion of Sanitary Fittings</t>
  </si>
  <si>
    <t>We considered Gross carpet area = Net carpet + Enclose Balcony + C.B Area + A.F Area</t>
  </si>
  <si>
    <t>Building No. 14 = Gr/St + 1st to 23rd Floor</t>
  </si>
  <si>
    <t xml:space="preserve">Building No. 14 = Gr/St + 1st to 23rd Floor.
</t>
  </si>
  <si>
    <t xml:space="preserve">Vasai -Virar City Municipal Corporation. (VVCMC)
</t>
  </si>
  <si>
    <t>Mr. Navnath Bhatkar</t>
  </si>
  <si>
    <t>Otla
Area</t>
  </si>
  <si>
    <t>Carpet area
 +
 C.B Area</t>
  </si>
  <si>
    <t xml:space="preserve">VVCMC/TP/RDP/VP-PMAY-1/852/2021-
22
Sector IVA (Building No. 14) = Gr/St + 1st to 23rd Floor
</t>
  </si>
  <si>
    <t>Proposed Residential With Shopline Buildings in PMAY Scheme Known as Suraksha Smart City, S. No. 3, S.No. 4, S.No. 5, Hissa No. 1,2,3,4…, others, At Village : Rajavali, Taluka : Vasai, Dist - Palghar</t>
  </si>
  <si>
    <t>022-43341999</t>
  </si>
  <si>
    <t>Not Resolved</t>
  </si>
  <si>
    <t>Approved Floor Plan (Refuge Floor Plan)
C.C
RERA Certificate
Builder Profile
Cost Sheet</t>
  </si>
  <si>
    <t xml:space="preserve">Other charges can be considered from cost sheet. </t>
  </si>
  <si>
    <t>Realizable Rate of the flat Per Sq. Ft. (on Saleable area)</t>
  </si>
  <si>
    <t>Realizable Rate of the Shop Per Sq. Ft. (on Saleable area)</t>
  </si>
  <si>
    <t>Realizable Rate of the Flat Per Sq. Ft. (on Saleable area)</t>
  </si>
  <si>
    <t>Suraksha Smart City Phase I (Building No. 14)</t>
  </si>
  <si>
    <t xml:space="preserve">5000 to 5300 </t>
  </si>
  <si>
    <t>Rate Matched with Building no 15 YesB report</t>
  </si>
  <si>
    <t xml:space="preserve"> </t>
  </si>
  <si>
    <t>31/07/2025, Thursday @ 04:38PM</t>
  </si>
  <si>
    <t>Approved plans are referred from RERA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</si>
</sst>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4" x14ac:knownFonts="1">
    <font>
      <sz val="11"/>
      <color theme="1"/>
      <name val="Calibri"/>
      <family val="2"/>
      <scheme val="minor"/>
    </font>
    <font>
      <sz val="11"/>
      <color indexed="8"/>
      <name val="Calibri"/>
      <family val="2"/>
    </font>
    <font>
      <b/>
      <sz val="11"/>
      <color indexed="8"/>
      <name val="Times New Roman"/>
      <family val="1"/>
    </font>
    <font>
      <sz val="11"/>
      <color indexed="8"/>
      <name val="Times New Roman"/>
      <family val="1"/>
    </font>
    <font>
      <sz val="11"/>
      <name val="Times New Roman"/>
      <family val="1"/>
    </font>
    <font>
      <b/>
      <sz val="11"/>
      <name val="Times New Roman"/>
      <family val="1"/>
    </font>
    <font>
      <sz val="11"/>
      <color theme="1"/>
      <name val="Calibri"/>
      <family val="2"/>
      <scheme val="minor"/>
    </font>
    <font>
      <b/>
      <sz val="11"/>
      <color theme="1"/>
      <name val="Times New Roman"/>
      <family val="1"/>
    </font>
    <font>
      <sz val="11"/>
      <color theme="1"/>
      <name val="Times New Roman"/>
      <family val="1"/>
    </font>
    <font>
      <sz val="11"/>
      <color rgb="FFFF0000"/>
      <name val="Times New Roman"/>
      <family val="1"/>
    </font>
    <font>
      <sz val="9"/>
      <color indexed="81"/>
      <name val="Tahoma"/>
      <family val="2"/>
    </font>
    <font>
      <b/>
      <sz val="9"/>
      <color indexed="81"/>
      <name val="Tahoma"/>
      <family val="2"/>
    </font>
    <font>
      <u/>
      <sz val="11"/>
      <color theme="10"/>
      <name val="Calibri"/>
      <family val="2"/>
      <scheme val="minor"/>
    </font>
    <font>
      <sz val="12"/>
      <color theme="1"/>
      <name val="Times New Roman"/>
      <family val="1"/>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7">
    <xf numFmtId="0" fontId="0" fillId="0" borderId="0"/>
    <xf numFmtId="0" fontId="1" fillId="0" borderId="0"/>
    <xf numFmtId="0" fontId="6" fillId="0" borderId="0"/>
    <xf numFmtId="0" fontId="1" fillId="0" borderId="0"/>
    <xf numFmtId="0" fontId="6" fillId="0" borderId="0"/>
    <xf numFmtId="164" fontId="1" fillId="0" borderId="0" applyFont="0" applyFill="0" applyBorder="0" applyAlignment="0" applyProtection="0"/>
    <xf numFmtId="0" fontId="12" fillId="0" borderId="0" applyNumberFormat="0" applyFill="0" applyBorder="0" applyAlignment="0" applyProtection="0"/>
  </cellStyleXfs>
  <cellXfs count="197">
    <xf numFmtId="0" fontId="0" fillId="0" borderId="0" xfId="0"/>
    <xf numFmtId="1" fontId="2" fillId="0" borderId="2" xfId="2" applyNumberFormat="1" applyFont="1" applyBorder="1" applyAlignment="1">
      <alignment horizontal="center" vertical="top" wrapText="1"/>
    </xf>
    <xf numFmtId="1" fontId="3" fillId="0" borderId="1" xfId="0" applyNumberFormat="1" applyFont="1" applyBorder="1" applyAlignment="1">
      <alignment horizontal="center" vertical="center" wrapText="1"/>
    </xf>
    <xf numFmtId="0" fontId="8" fillId="0" borderId="10" xfId="2" applyFont="1" applyBorder="1" applyProtection="1">
      <protection hidden="1"/>
    </xf>
    <xf numFmtId="0" fontId="8" fillId="0" borderId="0" xfId="2" applyFont="1" applyProtection="1">
      <protection hidden="1"/>
    </xf>
    <xf numFmtId="9" fontId="2" fillId="0" borderId="5" xfId="2" applyNumberFormat="1" applyFont="1" applyBorder="1" applyAlignment="1" applyProtection="1">
      <alignment horizontal="center" vertical="center" wrapText="1"/>
      <protection locked="0"/>
    </xf>
    <xf numFmtId="0" fontId="8" fillId="0" borderId="0" xfId="0" applyFont="1"/>
    <xf numFmtId="0" fontId="8" fillId="0" borderId="21" xfId="2" applyFont="1" applyBorder="1" applyProtection="1">
      <protection hidden="1"/>
    </xf>
    <xf numFmtId="0" fontId="8" fillId="0" borderId="23" xfId="2" applyFont="1" applyBorder="1" applyProtection="1">
      <protection hidden="1"/>
    </xf>
    <xf numFmtId="0" fontId="8" fillId="0" borderId="23" xfId="2" applyFont="1" applyBorder="1"/>
    <xf numFmtId="1" fontId="6" fillId="0" borderId="23" xfId="0" applyNumberFormat="1" applyFont="1" applyBorder="1"/>
    <xf numFmtId="1" fontId="6" fillId="0" borderId="23" xfId="0" applyNumberFormat="1" applyFont="1" applyBorder="1" applyAlignment="1">
      <alignment horizontal="right"/>
    </xf>
    <xf numFmtId="1" fontId="6" fillId="0" borderId="19" xfId="0" applyNumberFormat="1" applyFont="1" applyBorder="1"/>
    <xf numFmtId="0" fontId="9" fillId="0" borderId="0" xfId="0" applyFont="1"/>
    <xf numFmtId="0" fontId="2" fillId="0" borderId="0" xfId="0" applyFont="1" applyAlignment="1">
      <alignment vertical="top"/>
    </xf>
    <xf numFmtId="0" fontId="2" fillId="0" borderId="0" xfId="0" applyFont="1" applyAlignment="1">
      <alignment vertical="top" wrapText="1"/>
    </xf>
    <xf numFmtId="0" fontId="7" fillId="0" borderId="0" xfId="0" applyFont="1" applyAlignment="1">
      <alignment horizontal="center"/>
    </xf>
    <xf numFmtId="14" fontId="2" fillId="0" borderId="0" xfId="0" applyNumberFormat="1" applyFont="1" applyAlignment="1">
      <alignment vertical="top"/>
    </xf>
    <xf numFmtId="0" fontId="2" fillId="0" borderId="0" xfId="0" applyFont="1" applyAlignment="1">
      <alignment horizontal="center" vertical="top"/>
    </xf>
    <xf numFmtId="0" fontId="4" fillId="0" borderId="1" xfId="2" applyFont="1" applyBorder="1" applyAlignment="1">
      <alignment horizontal="left" vertical="top"/>
    </xf>
    <xf numFmtId="1"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8" fillId="0" borderId="0" xfId="0" applyFont="1" applyAlignment="1">
      <alignment vertical="center"/>
    </xf>
    <xf numFmtId="0" fontId="7" fillId="0" borderId="0" xfId="0" applyFont="1" applyAlignment="1">
      <alignment vertical="center"/>
    </xf>
    <xf numFmtId="0" fontId="5" fillId="0" borderId="3" xfId="1" applyFont="1" applyBorder="1" applyAlignment="1">
      <alignment horizontal="center" vertical="center" wrapText="1"/>
    </xf>
    <xf numFmtId="165" fontId="8" fillId="0" borderId="0" xfId="0" applyNumberFormat="1" applyFont="1"/>
    <xf numFmtId="1" fontId="8" fillId="0" borderId="1" xfId="0" applyNumberFormat="1" applyFont="1" applyBorder="1" applyAlignment="1">
      <alignment horizontal="center" vertical="center" wrapText="1"/>
    </xf>
    <xf numFmtId="0" fontId="8" fillId="0" borderId="1" xfId="2" applyFont="1" applyBorder="1" applyAlignment="1" applyProtection="1">
      <alignment horizontal="center" vertical="top" wrapText="1"/>
      <protection locked="0"/>
    </xf>
    <xf numFmtId="1" fontId="3" fillId="0" borderId="1" xfId="2" applyNumberFormat="1" applyFont="1" applyBorder="1" applyAlignment="1" applyProtection="1">
      <alignment horizontal="center" vertical="center" wrapText="1"/>
      <protection locked="0"/>
    </xf>
    <xf numFmtId="1" fontId="8" fillId="0" borderId="1" xfId="0" applyNumberFormat="1" applyFont="1" applyBorder="1" applyAlignment="1">
      <alignment horizontal="center"/>
    </xf>
    <xf numFmtId="1" fontId="13" fillId="0" borderId="0" xfId="2" applyNumberFormat="1" applyFont="1" applyAlignment="1">
      <alignment horizontal="center" vertical="center"/>
    </xf>
    <xf numFmtId="1" fontId="8" fillId="0" borderId="1" xfId="2" applyNumberFormat="1" applyFont="1" applyBorder="1" applyAlignment="1" applyProtection="1">
      <alignment horizontal="center" vertical="center" wrapText="1"/>
      <protection locked="0"/>
    </xf>
    <xf numFmtId="1" fontId="8" fillId="0" borderId="1" xfId="2" applyNumberFormat="1" applyFont="1" applyBorder="1" applyAlignment="1" applyProtection="1">
      <alignment horizontal="center" wrapText="1"/>
      <protection locked="0"/>
    </xf>
    <xf numFmtId="1" fontId="4" fillId="0" borderId="1" xfId="2" applyNumberFormat="1" applyFont="1" applyBorder="1" applyAlignment="1" applyProtection="1">
      <alignment horizontal="center" vertical="center" wrapText="1"/>
      <protection locked="0"/>
    </xf>
    <xf numFmtId="0" fontId="8" fillId="0" borderId="22" xfId="2" applyFont="1" applyBorder="1" applyAlignment="1" applyProtection="1">
      <alignment horizontal="center" vertical="center"/>
      <protection locked="0"/>
    </xf>
    <xf numFmtId="0" fontId="8" fillId="0" borderId="1" xfId="2" applyFont="1" applyBorder="1" applyAlignment="1" applyProtection="1">
      <alignment horizontal="center" vertical="top"/>
      <protection locked="0"/>
    </xf>
    <xf numFmtId="0" fontId="8" fillId="0" borderId="0" xfId="0" applyFont="1" applyProtection="1">
      <protection hidden="1"/>
    </xf>
    <xf numFmtId="0" fontId="8" fillId="0" borderId="1" xfId="2" applyFont="1" applyBorder="1" applyAlignment="1" applyProtection="1">
      <alignment horizontal="center" wrapText="1"/>
      <protection locked="0"/>
    </xf>
    <xf numFmtId="0" fontId="8" fillId="0" borderId="23" xfId="0" applyFont="1" applyBorder="1" applyProtection="1">
      <protection hidden="1"/>
    </xf>
    <xf numFmtId="0" fontId="8" fillId="0" borderId="18" xfId="2" applyFont="1" applyBorder="1" applyAlignment="1" applyProtection="1">
      <alignment horizontal="center" wrapText="1"/>
      <protection locked="0"/>
    </xf>
    <xf numFmtId="0" fontId="8" fillId="0" borderId="16" xfId="0" applyFont="1" applyBorder="1" applyProtection="1">
      <protection hidden="1"/>
    </xf>
    <xf numFmtId="0" fontId="8" fillId="0" borderId="9" xfId="0" applyFont="1" applyBorder="1"/>
    <xf numFmtId="0" fontId="5" fillId="0" borderId="1" xfId="2" applyFont="1" applyBorder="1" applyAlignment="1">
      <alignment horizontal="left" vertical="center"/>
    </xf>
    <xf numFmtId="0" fontId="7" fillId="0" borderId="0" xfId="0" applyFont="1"/>
    <xf numFmtId="0" fontId="5" fillId="0" borderId="3" xfId="1" applyFont="1" applyBorder="1" applyAlignment="1">
      <alignment horizontal="left" vertical="top" wrapText="1"/>
    </xf>
    <xf numFmtId="0" fontId="5" fillId="0" borderId="4" xfId="1" applyFont="1" applyBorder="1" applyAlignment="1">
      <alignment horizontal="left" vertical="top" wrapText="1"/>
    </xf>
    <xf numFmtId="0" fontId="5" fillId="0" borderId="6" xfId="1" applyFont="1" applyBorder="1" applyAlignment="1">
      <alignment horizontal="left" vertical="top"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6" xfId="1" applyFont="1" applyBorder="1" applyAlignment="1">
      <alignment horizontal="left" vertical="top" wrapText="1"/>
    </xf>
    <xf numFmtId="14" fontId="8" fillId="0" borderId="1" xfId="0" applyNumberFormat="1"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30"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3" fillId="0" borderId="34" xfId="0" applyFont="1" applyBorder="1" applyAlignment="1">
      <alignment horizontal="left" vertical="top" wrapText="1"/>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1" fontId="4" fillId="0" borderId="1" xfId="0" applyNumberFormat="1" applyFont="1" applyBorder="1" applyAlignment="1">
      <alignment horizontal="center" vertical="top" wrapText="1"/>
    </xf>
    <xf numFmtId="1" fontId="2" fillId="0" borderId="6" xfId="2" applyNumberFormat="1" applyFont="1" applyBorder="1" applyAlignment="1">
      <alignment horizontal="center" vertical="top" wrapText="1"/>
    </xf>
    <xf numFmtId="1" fontId="2" fillId="0" borderId="1" xfId="2" applyNumberFormat="1" applyFont="1" applyBorder="1" applyAlignment="1">
      <alignment horizontal="center" vertical="top" wrapText="1"/>
    </xf>
    <xf numFmtId="1" fontId="2" fillId="0" borderId="3" xfId="2" applyNumberFormat="1" applyFont="1" applyBorder="1" applyAlignment="1">
      <alignment horizontal="center" vertical="top" wrapText="1"/>
    </xf>
    <xf numFmtId="14" fontId="4"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1" fontId="2" fillId="0" borderId="1" xfId="2" applyNumberFormat="1" applyFont="1" applyBorder="1" applyAlignment="1" applyProtection="1">
      <alignment horizontal="center" vertical="center" wrapText="1"/>
      <protection locked="0"/>
    </xf>
    <xf numFmtId="1" fontId="2" fillId="0" borderId="5" xfId="2" applyNumberFormat="1" applyFont="1" applyBorder="1" applyAlignment="1" applyProtection="1">
      <alignment horizontal="center" vertical="center" wrapText="1"/>
      <protection locked="0"/>
    </xf>
    <xf numFmtId="1" fontId="2" fillId="0" borderId="3" xfId="2" applyNumberFormat="1" applyFont="1" applyBorder="1" applyAlignment="1" applyProtection="1">
      <alignment horizontal="center" vertical="center" wrapText="1"/>
      <protection locked="0"/>
    </xf>
    <xf numFmtId="1" fontId="2" fillId="0" borderId="4" xfId="2" applyNumberFormat="1" applyFont="1" applyBorder="1" applyAlignment="1" applyProtection="1">
      <alignment horizontal="center" vertical="center" wrapText="1"/>
      <protection locked="0"/>
    </xf>
    <xf numFmtId="1" fontId="2" fillId="0" borderId="6" xfId="2" applyNumberFormat="1" applyFont="1" applyBorder="1" applyAlignment="1" applyProtection="1">
      <alignment horizontal="center" vertical="center" wrapText="1"/>
      <protection locked="0"/>
    </xf>
    <xf numFmtId="1" fontId="7" fillId="0" borderId="3" xfId="0" applyNumberFormat="1" applyFont="1" applyBorder="1" applyAlignment="1">
      <alignment horizontal="center" vertical="center"/>
    </xf>
    <xf numFmtId="1" fontId="7" fillId="0" borderId="4" xfId="0" applyNumberFormat="1" applyFont="1" applyBorder="1" applyAlignment="1">
      <alignment horizontal="center" vertical="center"/>
    </xf>
    <xf numFmtId="1" fontId="7" fillId="0" borderId="6" xfId="0" applyNumberFormat="1" applyFont="1" applyBorder="1" applyAlignment="1">
      <alignment horizontal="center" vertical="center"/>
    </xf>
    <xf numFmtId="1" fontId="3" fillId="0" borderId="7" xfId="2" applyNumberFormat="1" applyFont="1" applyBorder="1" applyAlignment="1" applyProtection="1">
      <alignment horizontal="center" vertical="center" wrapText="1"/>
      <protection locked="0"/>
    </xf>
    <xf numFmtId="1" fontId="3" fillId="0" borderId="8" xfId="2" applyNumberFormat="1" applyFont="1" applyBorder="1" applyAlignment="1" applyProtection="1">
      <alignment horizontal="center" vertical="center" wrapText="1"/>
      <protection locked="0"/>
    </xf>
    <xf numFmtId="1" fontId="3" fillId="0" borderId="30" xfId="2" applyNumberFormat="1" applyFont="1" applyBorder="1" applyAlignment="1" applyProtection="1">
      <alignment horizontal="center" vertical="center" wrapText="1"/>
      <protection locked="0"/>
    </xf>
    <xf numFmtId="1" fontId="3" fillId="0" borderId="9" xfId="2" applyNumberFormat="1" applyFont="1" applyBorder="1" applyAlignment="1" applyProtection="1">
      <alignment horizontal="center" vertical="center" wrapText="1"/>
      <protection locked="0"/>
    </xf>
    <xf numFmtId="1" fontId="3" fillId="0" borderId="0" xfId="2" applyNumberFormat="1" applyFont="1" applyAlignment="1" applyProtection="1">
      <alignment horizontal="center" vertical="center" wrapText="1"/>
      <protection locked="0"/>
    </xf>
    <xf numFmtId="1" fontId="3" fillId="0" borderId="34" xfId="2" applyNumberFormat="1" applyFont="1" applyBorder="1" applyAlignment="1" applyProtection="1">
      <alignment horizontal="center" vertical="center" wrapText="1"/>
      <protection locked="0"/>
    </xf>
    <xf numFmtId="1" fontId="3" fillId="0" borderId="31" xfId="2" applyNumberFormat="1" applyFont="1" applyBorder="1" applyAlignment="1" applyProtection="1">
      <alignment horizontal="center" vertical="center" wrapText="1"/>
      <protection locked="0"/>
    </xf>
    <xf numFmtId="1" fontId="3" fillId="0" borderId="32" xfId="2" applyNumberFormat="1" applyFont="1" applyBorder="1" applyAlignment="1" applyProtection="1">
      <alignment horizontal="center" vertical="center" wrapText="1"/>
      <protection locked="0"/>
    </xf>
    <xf numFmtId="1" fontId="3" fillId="0" borderId="33" xfId="2" applyNumberFormat="1" applyFont="1" applyBorder="1" applyAlignment="1" applyProtection="1">
      <alignment horizontal="center" vertical="center" wrapText="1"/>
      <protection locked="0"/>
    </xf>
    <xf numFmtId="14" fontId="3" fillId="0" borderId="1" xfId="0" applyNumberFormat="1" applyFont="1" applyBorder="1" applyAlignment="1">
      <alignment horizontal="left" vertical="top" wrapText="1"/>
    </xf>
    <xf numFmtId="0" fontId="3" fillId="0" borderId="1" xfId="2" applyFont="1" applyBorder="1" applyAlignment="1">
      <alignment horizontal="left" vertical="top" wrapText="1"/>
    </xf>
    <xf numFmtId="1" fontId="2" fillId="0" borderId="1" xfId="0" applyNumberFormat="1" applyFont="1" applyBorder="1" applyAlignment="1">
      <alignment horizontal="center" vertical="center" wrapText="1"/>
    </xf>
    <xf numFmtId="1" fontId="5"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horizontal="center" vertical="center"/>
      <protection locked="0"/>
    </xf>
    <xf numFmtId="1" fontId="5" fillId="0" borderId="1" xfId="0" applyNumberFormat="1" applyFont="1" applyBorder="1" applyAlignment="1">
      <alignment horizontal="center" vertical="top" wrapText="1"/>
    </xf>
    <xf numFmtId="1" fontId="4" fillId="0" borderId="1" xfId="0" applyNumberFormat="1" applyFont="1" applyBorder="1" applyAlignment="1" applyProtection="1">
      <alignment horizontal="center" vertical="center" wrapText="1"/>
      <protection locked="0"/>
    </xf>
    <xf numFmtId="0" fontId="8" fillId="0" borderId="1" xfId="2" applyFont="1" applyBorder="1" applyAlignment="1" applyProtection="1">
      <alignment horizontal="center" vertical="top" wrapText="1"/>
      <protection locked="0"/>
    </xf>
    <xf numFmtId="0" fontId="3" fillId="0" borderId="1" xfId="0" applyFont="1" applyBorder="1" applyAlignment="1">
      <alignment horizontal="left" vertical="top" wrapText="1"/>
    </xf>
    <xf numFmtId="2" fontId="4" fillId="0" borderId="1" xfId="0" applyNumberFormat="1" applyFont="1" applyBorder="1" applyAlignment="1">
      <alignment horizontal="left" vertical="top" wrapText="1"/>
    </xf>
    <xf numFmtId="0" fontId="8" fillId="0" borderId="25" xfId="2" applyFont="1" applyBorder="1" applyAlignment="1" applyProtection="1">
      <alignment horizontal="center" vertical="top" wrapText="1"/>
      <protection locked="0"/>
    </xf>
    <xf numFmtId="0" fontId="8" fillId="0" borderId="22" xfId="2" applyFont="1" applyBorder="1" applyAlignment="1" applyProtection="1">
      <alignment horizontal="center" vertical="top" wrapText="1"/>
      <protection locked="0"/>
    </xf>
    <xf numFmtId="9" fontId="8" fillId="0" borderId="3" xfId="2" applyNumberFormat="1" applyFont="1" applyBorder="1" applyAlignment="1" applyProtection="1">
      <alignment horizontal="center" vertical="center" wrapText="1"/>
      <protection hidden="1"/>
    </xf>
    <xf numFmtId="9" fontId="8" fillId="0" borderId="6" xfId="2" applyNumberFormat="1" applyFont="1" applyBorder="1" applyAlignment="1" applyProtection="1">
      <alignment horizontal="center" vertical="center" wrapText="1"/>
      <protection hidden="1"/>
    </xf>
    <xf numFmtId="9" fontId="8" fillId="0" borderId="1" xfId="2" applyNumberFormat="1" applyFont="1" applyBorder="1" applyAlignment="1" applyProtection="1">
      <alignment horizontal="center" vertical="center" wrapText="1"/>
      <protection hidden="1"/>
    </xf>
    <xf numFmtId="9" fontId="8" fillId="0" borderId="18" xfId="2" applyNumberFormat="1" applyFont="1" applyBorder="1" applyAlignment="1" applyProtection="1">
      <alignment horizontal="center" vertical="center" wrapText="1"/>
      <protection hidden="1"/>
    </xf>
    <xf numFmtId="9" fontId="8" fillId="0" borderId="7" xfId="2" applyNumberFormat="1" applyFont="1" applyBorder="1" applyAlignment="1" applyProtection="1">
      <alignment horizontal="center" vertical="center" wrapText="1"/>
      <protection hidden="1"/>
    </xf>
    <xf numFmtId="9" fontId="8" fillId="0" borderId="8" xfId="2" applyNumberFormat="1" applyFont="1" applyBorder="1" applyAlignment="1" applyProtection="1">
      <alignment horizontal="center" vertical="center" wrapText="1"/>
      <protection hidden="1"/>
    </xf>
    <xf numFmtId="9" fontId="8" fillId="0" borderId="26" xfId="2" applyNumberFormat="1" applyFont="1" applyBorder="1" applyAlignment="1" applyProtection="1">
      <alignment horizontal="center" vertical="center" wrapText="1"/>
      <protection hidden="1"/>
    </xf>
    <xf numFmtId="9" fontId="8" fillId="0" borderId="9" xfId="2" applyNumberFormat="1" applyFont="1" applyBorder="1" applyAlignment="1" applyProtection="1">
      <alignment horizontal="center" vertical="center" wrapText="1"/>
      <protection hidden="1"/>
    </xf>
    <xf numFmtId="9" fontId="8" fillId="0" borderId="0" xfId="2" applyNumberFormat="1" applyFont="1" applyAlignment="1" applyProtection="1">
      <alignment horizontal="center" vertical="center" wrapText="1"/>
      <protection hidden="1"/>
    </xf>
    <xf numFmtId="9" fontId="8" fillId="0" borderId="23" xfId="2" applyNumberFormat="1" applyFont="1" applyBorder="1" applyAlignment="1" applyProtection="1">
      <alignment horizontal="center" vertical="center" wrapText="1"/>
      <protection hidden="1"/>
    </xf>
    <xf numFmtId="9" fontId="8" fillId="0" borderId="29" xfId="2" applyNumberFormat="1" applyFont="1" applyBorder="1" applyAlignment="1" applyProtection="1">
      <alignment horizontal="center" vertical="center" wrapText="1"/>
      <protection hidden="1"/>
    </xf>
    <xf numFmtId="9" fontId="8" fillId="0" borderId="16" xfId="2" applyNumberFormat="1" applyFont="1" applyBorder="1" applyAlignment="1" applyProtection="1">
      <alignment horizontal="center" vertical="center" wrapText="1"/>
      <protection hidden="1"/>
    </xf>
    <xf numFmtId="9" fontId="8" fillId="0" borderId="19" xfId="2" applyNumberFormat="1" applyFont="1" applyBorder="1" applyAlignment="1" applyProtection="1">
      <alignment horizontal="center" vertical="center" wrapText="1"/>
      <protection hidden="1"/>
    </xf>
    <xf numFmtId="49" fontId="4" fillId="0" borderId="1" xfId="2" applyNumberFormat="1"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center" vertical="center"/>
    </xf>
    <xf numFmtId="0" fontId="3" fillId="0" borderId="5" xfId="0" applyFont="1" applyBorder="1" applyAlignment="1">
      <alignment horizontal="center" vertical="center"/>
    </xf>
    <xf numFmtId="14" fontId="4" fillId="0" borderId="1" xfId="0" applyNumberFormat="1" applyFont="1" applyBorder="1" applyAlignment="1">
      <alignment horizontal="center" vertical="center" wrapText="1"/>
    </xf>
    <xf numFmtId="14" fontId="4" fillId="0" borderId="1" xfId="2" applyNumberFormat="1" applyFont="1" applyBorder="1" applyAlignment="1">
      <alignment horizontal="left" vertical="top" wrapText="1"/>
    </xf>
    <xf numFmtId="0" fontId="8" fillId="0" borderId="0" xfId="0" applyFont="1" applyAlignment="1">
      <alignment horizontal="center"/>
    </xf>
    <xf numFmtId="0" fontId="3" fillId="0" borderId="1"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1" fontId="8" fillId="0" borderId="7" xfId="0" applyNumberFormat="1" applyFont="1" applyBorder="1" applyAlignment="1">
      <alignment horizontal="center" vertical="center" wrapText="1"/>
    </xf>
    <xf numFmtId="1" fontId="8" fillId="0" borderId="30"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1" fontId="8" fillId="0" borderId="34" xfId="0" applyNumberFormat="1" applyFont="1" applyBorder="1" applyAlignment="1">
      <alignment horizontal="center" vertical="center" wrapText="1"/>
    </xf>
    <xf numFmtId="1" fontId="8" fillId="0" borderId="31" xfId="0" applyNumberFormat="1" applyFont="1" applyBorder="1" applyAlignment="1">
      <alignment horizontal="center" vertical="center" wrapText="1"/>
    </xf>
    <xf numFmtId="1" fontId="8" fillId="0" borderId="33" xfId="0" applyNumberFormat="1"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9" fontId="8" fillId="0" borderId="1" xfId="0" applyNumberFormat="1" applyFont="1" applyBorder="1" applyAlignment="1">
      <alignment horizontal="center" vertical="top" wrapText="1"/>
    </xf>
    <xf numFmtId="14" fontId="8" fillId="0" borderId="1" xfId="0" applyNumberFormat="1" applyFont="1" applyBorder="1" applyAlignment="1">
      <alignment horizontal="center" vertical="top" wrapText="1"/>
    </xf>
    <xf numFmtId="0" fontId="2" fillId="0" borderId="1" xfId="2" applyFont="1" applyBorder="1" applyAlignment="1">
      <alignment horizontal="center" vertical="center"/>
    </xf>
    <xf numFmtId="0" fontId="2" fillId="0" borderId="2" xfId="2" applyFont="1" applyBorder="1" applyAlignment="1">
      <alignment horizontal="center" vertical="center"/>
    </xf>
    <xf numFmtId="1"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8" fillId="0" borderId="24" xfId="2" applyFont="1" applyBorder="1" applyAlignment="1" applyProtection="1">
      <alignment horizontal="center" vertical="top" wrapText="1"/>
      <protection locked="0"/>
    </xf>
    <xf numFmtId="0" fontId="8" fillId="0" borderId="6" xfId="2" applyFont="1" applyBorder="1" applyAlignment="1" applyProtection="1">
      <alignment horizontal="center" vertical="top" wrapText="1"/>
      <protection locked="0"/>
    </xf>
    <xf numFmtId="0" fontId="2" fillId="0" borderId="1" xfId="2" applyFont="1" applyBorder="1" applyAlignment="1">
      <alignment horizontal="left" vertical="top"/>
    </xf>
    <xf numFmtId="0" fontId="3" fillId="0" borderId="35" xfId="0" applyFont="1" applyBorder="1" applyAlignment="1">
      <alignment horizontal="center" vertical="center"/>
    </xf>
    <xf numFmtId="0" fontId="7" fillId="0" borderId="20" xfId="2" applyFont="1" applyBorder="1" applyAlignment="1" applyProtection="1">
      <alignment horizontal="center" vertical="top" wrapText="1"/>
      <protection locked="0"/>
    </xf>
    <xf numFmtId="0" fontId="7" fillId="0" borderId="13" xfId="2" applyFont="1" applyBorder="1" applyAlignment="1" applyProtection="1">
      <alignment horizontal="center" vertical="top" wrapText="1"/>
      <protection locked="0"/>
    </xf>
    <xf numFmtId="0" fontId="7" fillId="0" borderId="11" xfId="2" applyFont="1" applyBorder="1" applyAlignment="1" applyProtection="1">
      <alignment horizontal="left" vertical="top" wrapText="1"/>
      <protection locked="0"/>
    </xf>
    <xf numFmtId="0" fontId="7" fillId="0" borderId="12" xfId="2" applyFont="1" applyBorder="1" applyAlignment="1" applyProtection="1">
      <alignment horizontal="left" vertical="top" wrapText="1"/>
      <protection locked="0"/>
    </xf>
    <xf numFmtId="0" fontId="7" fillId="0" borderId="14" xfId="2" applyFont="1" applyBorder="1" applyAlignment="1" applyProtection="1">
      <alignment horizontal="left" vertical="top" wrapText="1"/>
      <protection locked="0"/>
    </xf>
    <xf numFmtId="0" fontId="8" fillId="0" borderId="3" xfId="2" applyFont="1" applyBorder="1" applyAlignment="1" applyProtection="1">
      <alignment horizontal="center" vertical="top"/>
      <protection locked="0"/>
    </xf>
    <xf numFmtId="0" fontId="8" fillId="0" borderId="6" xfId="2" applyFont="1" applyBorder="1" applyAlignment="1" applyProtection="1">
      <alignment horizontal="center" vertical="top"/>
      <protection locked="0"/>
    </xf>
    <xf numFmtId="0" fontId="8" fillId="0" borderId="15" xfId="2" applyFont="1" applyBorder="1" applyAlignment="1" applyProtection="1">
      <alignment horizontal="center" vertical="top"/>
      <protection locked="0"/>
    </xf>
    <xf numFmtId="0" fontId="7" fillId="0" borderId="22" xfId="2" applyFont="1" applyBorder="1" applyAlignment="1" applyProtection="1">
      <alignment horizontal="left" vertical="top"/>
      <protection locked="0"/>
    </xf>
    <xf numFmtId="0" fontId="7" fillId="0" borderId="1" xfId="2" applyFont="1" applyBorder="1" applyAlignment="1" applyProtection="1">
      <alignment horizontal="left" vertical="top"/>
      <protection locked="0"/>
    </xf>
    <xf numFmtId="0" fontId="7" fillId="0" borderId="3" xfId="2" applyFont="1" applyBorder="1" applyAlignment="1" applyProtection="1">
      <alignment horizontal="left" vertical="top" wrapText="1"/>
      <protection locked="0"/>
    </xf>
    <xf numFmtId="0" fontId="7" fillId="0" borderId="4" xfId="2" applyFont="1" applyBorder="1" applyAlignment="1" applyProtection="1">
      <alignment horizontal="left" vertical="top" wrapText="1"/>
      <protection locked="0"/>
    </xf>
    <xf numFmtId="0" fontId="7" fillId="0" borderId="15" xfId="2" applyFont="1" applyBorder="1" applyAlignment="1" applyProtection="1">
      <alignment horizontal="left" vertical="top" wrapText="1"/>
      <protection locked="0"/>
    </xf>
    <xf numFmtId="0" fontId="2" fillId="0" borderId="1" xfId="0" applyFont="1" applyBorder="1" applyAlignment="1">
      <alignment horizontal="center" vertical="top" wrapText="1"/>
    </xf>
    <xf numFmtId="0" fontId="2" fillId="0" borderId="1" xfId="0" applyFont="1" applyBorder="1" applyAlignment="1">
      <alignment horizontal="center" vertical="top"/>
    </xf>
    <xf numFmtId="49" fontId="4" fillId="0" borderId="1" xfId="0" applyNumberFormat="1" applyFont="1" applyBorder="1" applyAlignment="1">
      <alignment horizontal="left" vertical="top" wrapText="1"/>
    </xf>
    <xf numFmtId="14" fontId="5" fillId="0" borderId="1" xfId="0" applyNumberFormat="1" applyFont="1" applyBorder="1" applyAlignment="1">
      <alignment horizontal="center" vertical="top"/>
    </xf>
    <xf numFmtId="0" fontId="5" fillId="0" borderId="1" xfId="0" applyFont="1" applyBorder="1" applyAlignment="1">
      <alignment horizontal="center" vertical="top"/>
    </xf>
    <xf numFmtId="14" fontId="5" fillId="0" borderId="1" xfId="0" applyNumberFormat="1"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6" xfId="0" applyFont="1" applyBorder="1" applyAlignment="1">
      <alignment horizontal="left" vertical="top"/>
    </xf>
    <xf numFmtId="14" fontId="12" fillId="0" borderId="3" xfId="6" applyNumberFormat="1" applyFill="1" applyBorder="1" applyAlignment="1">
      <alignment horizontal="center" vertical="top" wrapText="1"/>
    </xf>
    <xf numFmtId="14" fontId="4" fillId="0" borderId="4" xfId="0" applyNumberFormat="1" applyFont="1" applyBorder="1" applyAlignment="1">
      <alignment horizontal="center" vertical="top" wrapText="1"/>
    </xf>
    <xf numFmtId="14" fontId="4" fillId="0" borderId="6" xfId="0" applyNumberFormat="1" applyFont="1" applyBorder="1" applyAlignment="1">
      <alignment horizontal="center" vertical="top" wrapText="1"/>
    </xf>
    <xf numFmtId="14" fontId="4"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14" fontId="2" fillId="0" borderId="1" xfId="0" applyNumberFormat="1" applyFont="1" applyBorder="1" applyAlignment="1">
      <alignment horizontal="left" vertical="top" wrapText="1"/>
    </xf>
    <xf numFmtId="0" fontId="5" fillId="0" borderId="1" xfId="1" applyFont="1" applyBorder="1" applyAlignment="1">
      <alignment horizontal="left" vertical="top" wrapText="1"/>
    </xf>
    <xf numFmtId="0" fontId="5" fillId="0" borderId="1" xfId="0" applyFont="1" applyBorder="1" applyAlignment="1">
      <alignment horizontal="left" vertical="top"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2" fillId="0" borderId="1" xfId="2" applyNumberFormat="1" applyFont="1" applyBorder="1" applyAlignment="1">
      <alignment horizontal="center" vertical="center" wrapText="1"/>
    </xf>
    <xf numFmtId="1" fontId="2" fillId="0" borderId="1" xfId="2" applyNumberFormat="1" applyFont="1" applyBorder="1" applyAlignment="1">
      <alignment horizontal="center" vertical="top"/>
    </xf>
    <xf numFmtId="0" fontId="7" fillId="0" borderId="0" xfId="0" applyFont="1" applyAlignment="1">
      <alignment horizont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2" applyFont="1" applyBorder="1" applyAlignment="1">
      <alignment horizontal="left" vertical="center" wrapText="1"/>
    </xf>
    <xf numFmtId="0" fontId="5" fillId="0" borderId="1" xfId="2" applyFont="1" applyBorder="1" applyAlignment="1">
      <alignment horizontal="left" vertical="center" wrapText="1"/>
    </xf>
    <xf numFmtId="0" fontId="5" fillId="0" borderId="1" xfId="2" applyFont="1" applyBorder="1" applyAlignment="1">
      <alignment horizontal="left" vertic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8" xfId="0" applyFont="1" applyBorder="1" applyAlignment="1">
      <alignment horizontal="left" vertical="top"/>
    </xf>
    <xf numFmtId="0" fontId="8" fillId="0" borderId="27" xfId="2" applyFont="1" applyBorder="1" applyAlignment="1" applyProtection="1">
      <alignment horizontal="center" vertical="top" wrapText="1"/>
      <protection locked="0"/>
    </xf>
    <xf numFmtId="0" fontId="8" fillId="0" borderId="18" xfId="2" applyFont="1" applyBorder="1" applyAlignment="1" applyProtection="1">
      <alignment horizontal="center" vertical="top" wrapText="1"/>
      <protection locked="0"/>
    </xf>
    <xf numFmtId="9" fontId="8" fillId="0" borderId="17" xfId="2" applyNumberFormat="1" applyFont="1" applyBorder="1" applyAlignment="1" applyProtection="1">
      <alignment horizontal="center" vertical="center" wrapText="1"/>
      <protection hidden="1"/>
    </xf>
    <xf numFmtId="9" fontId="8" fillId="0" borderId="28" xfId="2" applyNumberFormat="1" applyFont="1" applyBorder="1" applyAlignment="1" applyProtection="1">
      <alignment horizontal="center" vertical="center" wrapText="1"/>
      <protection hidden="1"/>
    </xf>
    <xf numFmtId="0" fontId="12" fillId="2" borderId="9" xfId="6" applyFill="1" applyBorder="1" applyAlignment="1">
      <alignment horizontal="center"/>
    </xf>
    <xf numFmtId="0" fontId="8" fillId="2" borderId="0" xfId="0" applyFont="1" applyFill="1" applyAlignment="1">
      <alignment horizontal="center"/>
    </xf>
    <xf numFmtId="0" fontId="7" fillId="0" borderId="9" xfId="0" applyFont="1" applyBorder="1" applyAlignment="1">
      <alignment horizontal="center" vertical="center"/>
    </xf>
    <xf numFmtId="0" fontId="8" fillId="0" borderId="9" xfId="0" applyFont="1" applyBorder="1" applyAlignment="1">
      <alignment horizontal="center"/>
    </xf>
    <xf numFmtId="165" fontId="4" fillId="0" borderId="1" xfId="0" applyNumberFormat="1" applyFont="1" applyBorder="1" applyAlignment="1">
      <alignment horizontal="left" vertical="top" wrapText="1"/>
    </xf>
    <xf numFmtId="14" fontId="4" fillId="0" borderId="1" xfId="0" applyNumberFormat="1" applyFont="1" applyBorder="1" applyAlignment="1">
      <alignment vertical="top" wrapText="1"/>
    </xf>
  </cellXfs>
  <cellStyles count="7">
    <cellStyle name="Comma 2" xfId="5" xr:uid="{00000000-0005-0000-0000-000000000000}"/>
    <cellStyle name="Excel Built-in Normal" xfId="1" xr:uid="{00000000-0005-0000-0000-000001000000}"/>
    <cellStyle name="Excel Built-in Normal 2" xfId="3" xr:uid="{00000000-0005-0000-0000-000002000000}"/>
    <cellStyle name="Hyperlink" xfId="6" builtinId="8"/>
    <cellStyle name="Normal" xfId="0" builtinId="0"/>
    <cellStyle name="Normal 3" xfId="2" xr:uid="{00000000-0005-0000-0000-000005000000}"/>
    <cellStyle name="Normal 4"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2</xdr:col>
      <xdr:colOff>83571</xdr:colOff>
      <xdr:row>297</xdr:row>
      <xdr:rowOff>81643</xdr:rowOff>
    </xdr:from>
    <xdr:to>
      <xdr:col>7</xdr:col>
      <xdr:colOff>349820</xdr:colOff>
      <xdr:row>310</xdr:row>
      <xdr:rowOff>175100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417071" y="64742786"/>
          <a:ext cx="3600000" cy="2585197"/>
        </a:xfrm>
        <a:prstGeom prst="rect">
          <a:avLst/>
        </a:prstGeom>
        <a:ln w="9525">
          <a:solidFill>
            <a:schemeClr val="tx1"/>
          </a:solidFill>
        </a:ln>
      </xdr:spPr>
    </xdr:pic>
    <xdr:clientData/>
  </xdr:twoCellAnchor>
  <xdr:twoCellAnchor editAs="oneCell">
    <xdr:from>
      <xdr:col>0</xdr:col>
      <xdr:colOff>517071</xdr:colOff>
      <xdr:row>311</xdr:row>
      <xdr:rowOff>181732</xdr:rowOff>
    </xdr:from>
    <xdr:to>
      <xdr:col>8</xdr:col>
      <xdr:colOff>511354</xdr:colOff>
      <xdr:row>332</xdr:row>
      <xdr:rowOff>114521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srcRect l="-274" t="608" r="18938"/>
        <a:stretch/>
      </xdr:blipFill>
      <xdr:spPr>
        <a:xfrm>
          <a:off x="517071" y="67509875"/>
          <a:ext cx="5400000" cy="3933289"/>
        </a:xfrm>
        <a:prstGeom prst="rect">
          <a:avLst/>
        </a:prstGeom>
        <a:ln w="9525">
          <a:solidFill>
            <a:schemeClr val="tx1"/>
          </a:solidFill>
        </a:ln>
      </xdr:spPr>
    </xdr:pic>
    <xdr:clientData/>
  </xdr:twoCellAnchor>
  <xdr:twoCellAnchor>
    <xdr:from>
      <xdr:col>4</xdr:col>
      <xdr:colOff>53377</xdr:colOff>
      <xdr:row>321</xdr:row>
      <xdr:rowOff>130477</xdr:rowOff>
    </xdr:from>
    <xdr:to>
      <xdr:col>4</xdr:col>
      <xdr:colOff>291502</xdr:colOff>
      <xdr:row>322</xdr:row>
      <xdr:rowOff>136827</xdr:rowOff>
    </xdr:to>
    <xdr:sp macro="" textlink="">
      <xdr:nvSpPr>
        <xdr:cNvPr id="4" name="Freeform 3">
          <a:extLst>
            <a:ext uri="{FF2B5EF4-FFF2-40B4-BE49-F238E27FC236}">
              <a16:creationId xmlns:a16="http://schemas.microsoft.com/office/drawing/2014/main" id="{00000000-0008-0000-0000-000004000000}"/>
            </a:ext>
          </a:extLst>
        </xdr:cNvPr>
        <xdr:cNvSpPr/>
      </xdr:nvSpPr>
      <xdr:spPr>
        <a:xfrm>
          <a:off x="2720377" y="69363620"/>
          <a:ext cx="238125" cy="196850"/>
        </a:xfrm>
        <a:custGeom>
          <a:avLst/>
          <a:gdLst>
            <a:gd name="connsiteX0" fmla="*/ 85725 w 431007"/>
            <a:gd name="connsiteY0" fmla="*/ 338137 h 338137"/>
            <a:gd name="connsiteX1" fmla="*/ 202407 w 431007"/>
            <a:gd name="connsiteY1" fmla="*/ 288131 h 338137"/>
            <a:gd name="connsiteX2" fmla="*/ 171450 w 431007"/>
            <a:gd name="connsiteY2" fmla="*/ 207169 h 338137"/>
            <a:gd name="connsiteX3" fmla="*/ 297657 w 431007"/>
            <a:gd name="connsiteY3" fmla="*/ 152400 h 338137"/>
            <a:gd name="connsiteX4" fmla="*/ 328613 w 431007"/>
            <a:gd name="connsiteY4" fmla="*/ 207169 h 338137"/>
            <a:gd name="connsiteX5" fmla="*/ 431007 w 431007"/>
            <a:gd name="connsiteY5" fmla="*/ 161925 h 338137"/>
            <a:gd name="connsiteX6" fmla="*/ 366713 w 431007"/>
            <a:gd name="connsiteY6" fmla="*/ 0 h 338137"/>
            <a:gd name="connsiteX7" fmla="*/ 0 w 431007"/>
            <a:gd name="connsiteY7" fmla="*/ 138112 h 338137"/>
            <a:gd name="connsiteX8" fmla="*/ 85725 w 431007"/>
            <a:gd name="connsiteY8" fmla="*/ 338137 h 338137"/>
            <a:gd name="connsiteX0" fmla="*/ 76200 w 421482"/>
            <a:gd name="connsiteY0" fmla="*/ 338137 h 338137"/>
            <a:gd name="connsiteX1" fmla="*/ 192882 w 421482"/>
            <a:gd name="connsiteY1" fmla="*/ 288131 h 338137"/>
            <a:gd name="connsiteX2" fmla="*/ 161925 w 421482"/>
            <a:gd name="connsiteY2" fmla="*/ 207169 h 338137"/>
            <a:gd name="connsiteX3" fmla="*/ 288132 w 421482"/>
            <a:gd name="connsiteY3" fmla="*/ 152400 h 338137"/>
            <a:gd name="connsiteX4" fmla="*/ 319088 w 421482"/>
            <a:gd name="connsiteY4" fmla="*/ 207169 h 338137"/>
            <a:gd name="connsiteX5" fmla="*/ 421482 w 421482"/>
            <a:gd name="connsiteY5" fmla="*/ 161925 h 338137"/>
            <a:gd name="connsiteX6" fmla="*/ 357188 w 421482"/>
            <a:gd name="connsiteY6" fmla="*/ 0 h 338137"/>
            <a:gd name="connsiteX7" fmla="*/ 0 w 421482"/>
            <a:gd name="connsiteY7" fmla="*/ 142875 h 338137"/>
            <a:gd name="connsiteX8" fmla="*/ 76200 w 421482"/>
            <a:gd name="connsiteY8" fmla="*/ 338137 h 33813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21482" h="338137">
              <a:moveTo>
                <a:pt x="76200" y="338137"/>
              </a:moveTo>
              <a:lnTo>
                <a:pt x="192882" y="288131"/>
              </a:lnTo>
              <a:lnTo>
                <a:pt x="161925" y="207169"/>
              </a:lnTo>
              <a:lnTo>
                <a:pt x="288132" y="152400"/>
              </a:lnTo>
              <a:lnTo>
                <a:pt x="319088" y="207169"/>
              </a:lnTo>
              <a:lnTo>
                <a:pt x="421482" y="161925"/>
              </a:lnTo>
              <a:lnTo>
                <a:pt x="357188" y="0"/>
              </a:lnTo>
              <a:lnTo>
                <a:pt x="0" y="142875"/>
              </a:lnTo>
              <a:lnTo>
                <a:pt x="76200" y="338137"/>
              </a:lnTo>
              <a:close/>
            </a:path>
          </a:pathLst>
        </a:custGeom>
        <a:noFill/>
        <a:ln>
          <a:solidFill>
            <a:srgbClr val="CC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twoCellAnchor>
    <xdr:from>
      <xdr:col>3</xdr:col>
      <xdr:colOff>301680</xdr:colOff>
      <xdr:row>320</xdr:row>
      <xdr:rowOff>80446</xdr:rowOff>
    </xdr:from>
    <xdr:to>
      <xdr:col>5</xdr:col>
      <xdr:colOff>201326</xdr:colOff>
      <xdr:row>321</xdr:row>
      <xdr:rowOff>154506</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rot="20265260">
          <a:off x="2301930" y="69123089"/>
          <a:ext cx="1233146" cy="26456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100" b="1">
              <a:solidFill>
                <a:srgbClr val="C00000"/>
              </a:solidFill>
            </a:rPr>
            <a:t>Building No.14</a:t>
          </a:r>
          <a:endParaRPr lang="en-IN" sz="1100" b="1">
            <a:solidFill>
              <a:srgbClr val="C00000"/>
            </a:solidFill>
          </a:endParaRPr>
        </a:p>
      </xdr:txBody>
    </xdr:sp>
    <xdr:clientData/>
  </xdr:twoCellAnchor>
  <xdr:twoCellAnchor editAs="oneCell">
    <xdr:from>
      <xdr:col>2</xdr:col>
      <xdr:colOff>113562</xdr:colOff>
      <xdr:row>341</xdr:row>
      <xdr:rowOff>68034</xdr:rowOff>
    </xdr:from>
    <xdr:to>
      <xdr:col>7</xdr:col>
      <xdr:colOff>351796</xdr:colOff>
      <xdr:row>355</xdr:row>
      <xdr:rowOff>147395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3"/>
        <a:srcRect l="33810" t="38667" r="38102" b="22902"/>
        <a:stretch/>
      </xdr:blipFill>
      <xdr:spPr>
        <a:xfrm>
          <a:off x="1458268" y="80470240"/>
          <a:ext cx="3600000" cy="2746362"/>
        </a:xfrm>
        <a:prstGeom prst="rect">
          <a:avLst/>
        </a:prstGeom>
        <a:ln w="9525">
          <a:solidFill>
            <a:schemeClr val="tx1"/>
          </a:solidFill>
        </a:ln>
      </xdr:spPr>
    </xdr:pic>
    <xdr:clientData/>
  </xdr:twoCellAnchor>
  <xdr:twoCellAnchor editAs="oneCell">
    <xdr:from>
      <xdr:col>1</xdr:col>
      <xdr:colOff>245728</xdr:colOff>
      <xdr:row>356</xdr:row>
      <xdr:rowOff>90692</xdr:rowOff>
    </xdr:from>
    <xdr:to>
      <xdr:col>8</xdr:col>
      <xdr:colOff>186761</xdr:colOff>
      <xdr:row>372</xdr:row>
      <xdr:rowOff>82520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4"/>
        <a:srcRect l="19964" t="15674" r="24036" b="10912"/>
        <a:stretch/>
      </xdr:blipFill>
      <xdr:spPr>
        <a:xfrm>
          <a:off x="918081" y="83350398"/>
          <a:ext cx="4719221" cy="3454444"/>
        </a:xfrm>
        <a:prstGeom prst="rect">
          <a:avLst/>
        </a:prstGeom>
        <a:ln w="9525">
          <a:solidFill>
            <a:srgbClr val="000000"/>
          </a:solidFill>
        </a:ln>
      </xdr:spPr>
    </xdr:pic>
    <xdr:clientData/>
  </xdr:twoCellAnchor>
  <xdr:twoCellAnchor>
    <xdr:from>
      <xdr:col>4</xdr:col>
      <xdr:colOff>288546</xdr:colOff>
      <xdr:row>363</xdr:row>
      <xdr:rowOff>87065</xdr:rowOff>
    </xdr:from>
    <xdr:to>
      <xdr:col>5</xdr:col>
      <xdr:colOff>71011</xdr:colOff>
      <xdr:row>365</xdr:row>
      <xdr:rowOff>67221</xdr:rowOff>
    </xdr:to>
    <xdr:sp macro="" textlink="">
      <xdr:nvSpPr>
        <xdr:cNvPr id="8" name="Freeform 7">
          <a:extLst>
            <a:ext uri="{FF2B5EF4-FFF2-40B4-BE49-F238E27FC236}">
              <a16:creationId xmlns:a16="http://schemas.microsoft.com/office/drawing/2014/main" id="{00000000-0008-0000-0000-000008000000}"/>
            </a:ext>
          </a:extLst>
        </xdr:cNvPr>
        <xdr:cNvSpPr/>
      </xdr:nvSpPr>
      <xdr:spPr>
        <a:xfrm>
          <a:off x="2977958" y="84680271"/>
          <a:ext cx="454818" cy="361156"/>
        </a:xfrm>
        <a:custGeom>
          <a:avLst/>
          <a:gdLst>
            <a:gd name="connsiteX0" fmla="*/ 85725 w 431007"/>
            <a:gd name="connsiteY0" fmla="*/ 338137 h 338137"/>
            <a:gd name="connsiteX1" fmla="*/ 202407 w 431007"/>
            <a:gd name="connsiteY1" fmla="*/ 288131 h 338137"/>
            <a:gd name="connsiteX2" fmla="*/ 171450 w 431007"/>
            <a:gd name="connsiteY2" fmla="*/ 207169 h 338137"/>
            <a:gd name="connsiteX3" fmla="*/ 297657 w 431007"/>
            <a:gd name="connsiteY3" fmla="*/ 152400 h 338137"/>
            <a:gd name="connsiteX4" fmla="*/ 328613 w 431007"/>
            <a:gd name="connsiteY4" fmla="*/ 207169 h 338137"/>
            <a:gd name="connsiteX5" fmla="*/ 431007 w 431007"/>
            <a:gd name="connsiteY5" fmla="*/ 161925 h 338137"/>
            <a:gd name="connsiteX6" fmla="*/ 366713 w 431007"/>
            <a:gd name="connsiteY6" fmla="*/ 0 h 338137"/>
            <a:gd name="connsiteX7" fmla="*/ 0 w 431007"/>
            <a:gd name="connsiteY7" fmla="*/ 138112 h 338137"/>
            <a:gd name="connsiteX8" fmla="*/ 85725 w 431007"/>
            <a:gd name="connsiteY8" fmla="*/ 338137 h 338137"/>
            <a:gd name="connsiteX0" fmla="*/ 76200 w 421482"/>
            <a:gd name="connsiteY0" fmla="*/ 338137 h 338137"/>
            <a:gd name="connsiteX1" fmla="*/ 192882 w 421482"/>
            <a:gd name="connsiteY1" fmla="*/ 288131 h 338137"/>
            <a:gd name="connsiteX2" fmla="*/ 161925 w 421482"/>
            <a:gd name="connsiteY2" fmla="*/ 207169 h 338137"/>
            <a:gd name="connsiteX3" fmla="*/ 288132 w 421482"/>
            <a:gd name="connsiteY3" fmla="*/ 152400 h 338137"/>
            <a:gd name="connsiteX4" fmla="*/ 319088 w 421482"/>
            <a:gd name="connsiteY4" fmla="*/ 207169 h 338137"/>
            <a:gd name="connsiteX5" fmla="*/ 421482 w 421482"/>
            <a:gd name="connsiteY5" fmla="*/ 161925 h 338137"/>
            <a:gd name="connsiteX6" fmla="*/ 357188 w 421482"/>
            <a:gd name="connsiteY6" fmla="*/ 0 h 338137"/>
            <a:gd name="connsiteX7" fmla="*/ 0 w 421482"/>
            <a:gd name="connsiteY7" fmla="*/ 142875 h 338137"/>
            <a:gd name="connsiteX8" fmla="*/ 76200 w 421482"/>
            <a:gd name="connsiteY8" fmla="*/ 338137 h 33813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21482" h="338137">
              <a:moveTo>
                <a:pt x="76200" y="338137"/>
              </a:moveTo>
              <a:lnTo>
                <a:pt x="192882" y="288131"/>
              </a:lnTo>
              <a:lnTo>
                <a:pt x="161925" y="207169"/>
              </a:lnTo>
              <a:lnTo>
                <a:pt x="288132" y="152400"/>
              </a:lnTo>
              <a:lnTo>
                <a:pt x="319088" y="207169"/>
              </a:lnTo>
              <a:lnTo>
                <a:pt x="421482" y="161925"/>
              </a:lnTo>
              <a:lnTo>
                <a:pt x="357188" y="0"/>
              </a:lnTo>
              <a:lnTo>
                <a:pt x="0" y="142875"/>
              </a:lnTo>
              <a:lnTo>
                <a:pt x="76200" y="338137"/>
              </a:lnTo>
              <a:close/>
            </a:path>
          </a:pathLst>
        </a:cu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twoCellAnchor>
    <xdr:from>
      <xdr:col>4</xdr:col>
      <xdr:colOff>9457</xdr:colOff>
      <xdr:row>362</xdr:row>
      <xdr:rowOff>110194</xdr:rowOff>
    </xdr:from>
    <xdr:to>
      <xdr:col>5</xdr:col>
      <xdr:colOff>419873</xdr:colOff>
      <xdr:row>363</xdr:row>
      <xdr:rowOff>150526</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rot="20301667">
          <a:off x="2698869" y="84512900"/>
          <a:ext cx="1082769" cy="2308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900" b="1">
              <a:solidFill>
                <a:srgbClr val="FFFF00"/>
              </a:solidFill>
            </a:rPr>
            <a:t>Building No.14</a:t>
          </a:r>
          <a:endParaRPr lang="en-IN" sz="900" b="1">
            <a:solidFill>
              <a:srgbClr val="FFFF00"/>
            </a:solidFill>
          </a:endParaRPr>
        </a:p>
      </xdr:txBody>
    </xdr:sp>
    <xdr:clientData/>
  </xdr:twoCellAnchor>
  <xdr:twoCellAnchor editAs="oneCell">
    <xdr:from>
      <xdr:col>20</xdr:col>
      <xdr:colOff>70778</xdr:colOff>
      <xdr:row>281</xdr:row>
      <xdr:rowOff>162763</xdr:rowOff>
    </xdr:from>
    <xdr:to>
      <xdr:col>23</xdr:col>
      <xdr:colOff>41978</xdr:colOff>
      <xdr:row>294</xdr:row>
      <xdr:rowOff>82463</xdr:rowOff>
    </xdr:to>
    <xdr:pic>
      <xdr:nvPicPr>
        <xdr:cNvPr id="15" name="Picture 14" descr="https://vsjcllp.vsjadon.com/upload/insp-164709-1525.jpg">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805578" y="70410198"/>
          <a:ext cx="1853788" cy="2250524"/>
        </a:xfrm>
        <a:prstGeom prst="rect">
          <a:avLst/>
        </a:prstGeom>
        <a:noFill/>
        <a:ln w="952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416270</xdr:colOff>
      <xdr:row>250</xdr:row>
      <xdr:rowOff>32395</xdr:rowOff>
    </xdr:from>
    <xdr:to>
      <xdr:col>25</xdr:col>
      <xdr:colOff>201541</xdr:colOff>
      <xdr:row>268</xdr:row>
      <xdr:rowOff>85040</xdr:rowOff>
    </xdr:to>
    <xdr:pic>
      <xdr:nvPicPr>
        <xdr:cNvPr id="16" name="Picture 15" descr="https://vsjcllp.vsjadon.com/upload/insp-164709-862.jpg">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268482" y="64721713"/>
          <a:ext cx="4805506" cy="3279939"/>
        </a:xfrm>
        <a:prstGeom prst="rect">
          <a:avLst/>
        </a:prstGeom>
        <a:noFill/>
        <a:ln w="952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416192</xdr:colOff>
      <xdr:row>269</xdr:row>
      <xdr:rowOff>48586</xdr:rowOff>
    </xdr:from>
    <xdr:to>
      <xdr:col>25</xdr:col>
      <xdr:colOff>359538</xdr:colOff>
      <xdr:row>281</xdr:row>
      <xdr:rowOff>16604</xdr:rowOff>
    </xdr:to>
    <xdr:pic>
      <xdr:nvPicPr>
        <xdr:cNvPr id="17" name="Picture 16" descr="https://vsjcllp.vsjadon.com/upload/insp-164709-922.jp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3406051" y="68144492"/>
          <a:ext cx="1825934" cy="2119547"/>
        </a:xfrm>
        <a:prstGeom prst="rect">
          <a:avLst/>
        </a:prstGeom>
        <a:noFill/>
        <a:ln w="952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234099</xdr:colOff>
      <xdr:row>269</xdr:row>
      <xdr:rowOff>26175</xdr:rowOff>
    </xdr:from>
    <xdr:to>
      <xdr:col>22</xdr:col>
      <xdr:colOff>215946</xdr:colOff>
      <xdr:row>281</xdr:row>
      <xdr:rowOff>10006</xdr:rowOff>
    </xdr:to>
    <xdr:pic>
      <xdr:nvPicPr>
        <xdr:cNvPr id="18" name="Picture 17" descr="https://vsjcllp.vsjadon.com/upload/insp-164709-849.jp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086311" y="68122081"/>
          <a:ext cx="3119494" cy="2135360"/>
        </a:xfrm>
        <a:prstGeom prst="rect">
          <a:avLst/>
        </a:prstGeom>
        <a:noFill/>
        <a:ln w="952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204929</xdr:colOff>
      <xdr:row>263</xdr:row>
      <xdr:rowOff>57504</xdr:rowOff>
    </xdr:from>
    <xdr:to>
      <xdr:col>23</xdr:col>
      <xdr:colOff>33836</xdr:colOff>
      <xdr:row>265</xdr:row>
      <xdr:rowOff>45837</xdr:rowOff>
    </xdr:to>
    <xdr:sp macro="" textlink="">
      <xdr:nvSpPr>
        <xdr:cNvPr id="19" name="TextBox 2">
          <a:extLst>
            <a:ext uri="{FF2B5EF4-FFF2-40B4-BE49-F238E27FC236}">
              <a16:creationId xmlns:a16="http://schemas.microsoft.com/office/drawing/2014/main" id="{00000000-0008-0000-0000-000013000000}"/>
            </a:ext>
          </a:extLst>
        </xdr:cNvPr>
        <xdr:cNvSpPr txBox="1"/>
      </xdr:nvSpPr>
      <xdr:spPr>
        <a:xfrm>
          <a:off x="11939729" y="67077645"/>
          <a:ext cx="1711495" cy="346921"/>
        </a:xfrm>
        <a:prstGeom prst="rect">
          <a:avLst/>
        </a:prstGeom>
        <a:solidFill>
          <a:schemeClr val="bg1">
            <a:lumMod val="75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Building No.14</a:t>
          </a:r>
          <a:endParaRPr lang="en-IN" b="1"/>
        </a:p>
      </xdr:txBody>
    </xdr:sp>
    <xdr:clientData/>
  </xdr:twoCellAnchor>
  <xdr:twoCellAnchor editAs="oneCell">
    <xdr:from>
      <xdr:col>10</xdr:col>
      <xdr:colOff>448235</xdr:colOff>
      <xdr:row>77</xdr:row>
      <xdr:rowOff>123265</xdr:rowOff>
    </xdr:from>
    <xdr:to>
      <xdr:col>24</xdr:col>
      <xdr:colOff>111308</xdr:colOff>
      <xdr:row>82</xdr:row>
      <xdr:rowOff>164312</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stretch>
          <a:fillRect/>
        </a:stretch>
      </xdr:blipFill>
      <xdr:spPr>
        <a:xfrm>
          <a:off x="7171764" y="28395706"/>
          <a:ext cx="6677957" cy="1038370"/>
        </a:xfrm>
        <a:prstGeom prst="rect">
          <a:avLst/>
        </a:prstGeom>
      </xdr:spPr>
    </xdr:pic>
    <xdr:clientData/>
  </xdr:twoCellAnchor>
  <xdr:twoCellAnchor editAs="oneCell">
    <xdr:from>
      <xdr:col>10</xdr:col>
      <xdr:colOff>470647</xdr:colOff>
      <xdr:row>222</xdr:row>
      <xdr:rowOff>56029</xdr:rowOff>
    </xdr:from>
    <xdr:to>
      <xdr:col>20</xdr:col>
      <xdr:colOff>134503</xdr:colOff>
      <xdr:row>230</xdr:row>
      <xdr:rowOff>298379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0"/>
        <a:stretch>
          <a:fillRect/>
        </a:stretch>
      </xdr:blipFill>
      <xdr:spPr>
        <a:xfrm>
          <a:off x="7194176" y="57015529"/>
          <a:ext cx="4258269" cy="2172003"/>
        </a:xfrm>
        <a:prstGeom prst="rect">
          <a:avLst/>
        </a:prstGeom>
      </xdr:spPr>
    </xdr:pic>
    <xdr:clientData/>
  </xdr:twoCellAnchor>
  <xdr:twoCellAnchor>
    <xdr:from>
      <xdr:col>1</xdr:col>
      <xdr:colOff>0</xdr:colOff>
      <xdr:row>252</xdr:row>
      <xdr:rowOff>0</xdr:rowOff>
    </xdr:from>
    <xdr:to>
      <xdr:col>8</xdr:col>
      <xdr:colOff>229125</xdr:colOff>
      <xdr:row>291</xdr:row>
      <xdr:rowOff>175965</xdr:rowOff>
    </xdr:to>
    <xdr:grpSp>
      <xdr:nvGrpSpPr>
        <xdr:cNvPr id="10" name="Group 9">
          <a:extLst>
            <a:ext uri="{FF2B5EF4-FFF2-40B4-BE49-F238E27FC236}">
              <a16:creationId xmlns:a16="http://schemas.microsoft.com/office/drawing/2014/main" id="{91B638A1-AF69-F85B-5DF8-64BC409621D6}"/>
            </a:ext>
          </a:extLst>
        </xdr:cNvPr>
        <xdr:cNvGrpSpPr/>
      </xdr:nvGrpSpPr>
      <xdr:grpSpPr>
        <a:xfrm>
          <a:off x="690282" y="65047906"/>
          <a:ext cx="5132819" cy="7168435"/>
          <a:chOff x="563472" y="752834"/>
          <a:chExt cx="5132819" cy="7168435"/>
        </a:xfrm>
      </xdr:grpSpPr>
      <xdr:pic>
        <xdr:nvPicPr>
          <xdr:cNvPr id="11" name="Picture 10">
            <a:extLst>
              <a:ext uri="{FF2B5EF4-FFF2-40B4-BE49-F238E27FC236}">
                <a16:creationId xmlns:a16="http://schemas.microsoft.com/office/drawing/2014/main" id="{3563DBF5-3D69-D313-EE1E-F346603F9BE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1329881" y="752834"/>
            <a:ext cx="3600000" cy="4805006"/>
          </a:xfrm>
          <a:prstGeom prst="rect">
            <a:avLst/>
          </a:prstGeom>
          <a:ln>
            <a:solidFill>
              <a:schemeClr val="tx1"/>
            </a:solidFill>
          </a:ln>
        </xdr:spPr>
      </xdr:pic>
      <xdr:grpSp>
        <xdr:nvGrpSpPr>
          <xdr:cNvPr id="14" name="Group 13">
            <a:extLst>
              <a:ext uri="{FF2B5EF4-FFF2-40B4-BE49-F238E27FC236}">
                <a16:creationId xmlns:a16="http://schemas.microsoft.com/office/drawing/2014/main" id="{9C199F57-C102-5B42-6AF6-24151A11A1D6}"/>
              </a:ext>
            </a:extLst>
          </xdr:cNvPr>
          <xdr:cNvGrpSpPr/>
        </xdr:nvGrpSpPr>
        <xdr:grpSpPr>
          <a:xfrm>
            <a:off x="563472" y="5761269"/>
            <a:ext cx="5132819" cy="2160000"/>
            <a:chOff x="563472" y="5761269"/>
            <a:chExt cx="5132819" cy="2160000"/>
          </a:xfrm>
        </xdr:grpSpPr>
        <xdr:pic>
          <xdr:nvPicPr>
            <xdr:cNvPr id="20" name="Picture 19">
              <a:extLst>
                <a:ext uri="{FF2B5EF4-FFF2-40B4-BE49-F238E27FC236}">
                  <a16:creationId xmlns:a16="http://schemas.microsoft.com/office/drawing/2014/main" id="{A8D64B0B-71CE-AE83-6D86-39ED5760E3A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563472" y="5761269"/>
              <a:ext cx="1618312" cy="2160000"/>
            </a:xfrm>
            <a:prstGeom prst="rect">
              <a:avLst/>
            </a:prstGeom>
            <a:ln>
              <a:solidFill>
                <a:schemeClr val="tx1"/>
              </a:solidFill>
            </a:ln>
          </xdr:spPr>
        </xdr:pic>
        <xdr:pic>
          <xdr:nvPicPr>
            <xdr:cNvPr id="21" name="Picture 20">
              <a:extLst>
                <a:ext uri="{FF2B5EF4-FFF2-40B4-BE49-F238E27FC236}">
                  <a16:creationId xmlns:a16="http://schemas.microsoft.com/office/drawing/2014/main" id="{A81B5050-4B23-1548-04FD-37445546D25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2320725" y="5761269"/>
              <a:ext cx="1618312" cy="2160000"/>
            </a:xfrm>
            <a:prstGeom prst="rect">
              <a:avLst/>
            </a:prstGeom>
            <a:ln>
              <a:solidFill>
                <a:schemeClr val="tx1"/>
              </a:solidFill>
            </a:ln>
          </xdr:spPr>
        </xdr:pic>
        <xdr:pic>
          <xdr:nvPicPr>
            <xdr:cNvPr id="22" name="Picture 21">
              <a:extLst>
                <a:ext uri="{FF2B5EF4-FFF2-40B4-BE49-F238E27FC236}">
                  <a16:creationId xmlns:a16="http://schemas.microsoft.com/office/drawing/2014/main" id="{FE98560F-736F-E69D-0157-64BB534DD7A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4077979" y="5761269"/>
              <a:ext cx="1618312" cy="2160000"/>
            </a:xfrm>
            <a:prstGeom prst="rect">
              <a:avLst/>
            </a:prstGeom>
            <a:ln>
              <a:solidFill>
                <a:schemeClr val="tx1"/>
              </a:solidFill>
            </a:ln>
          </xdr:spPr>
        </xdr:pic>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www.humanarms.in/project.php?title=suraksha-smart-city" TargetMode="External"/><Relationship Id="rId1" Type="http://schemas.openxmlformats.org/officeDocument/2006/relationships/hyperlink" Target="https://maps.app.goo.gl/8Gn5dF7DYrB1rTxT9"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84"/>
  <sheetViews>
    <sheetView tabSelected="1" view="pageBreakPreview" topLeftCell="A208" zoomScale="85" zoomScaleNormal="85" zoomScaleSheetLayoutView="85" zoomScalePageLayoutView="70" workbookViewId="0">
      <selection activeCell="L211" sqref="L211"/>
    </sheetView>
  </sheetViews>
  <sheetFormatPr defaultColWidth="9.109375" defaultRowHeight="13.8" x14ac:dyDescent="0.25"/>
  <cols>
    <col min="1" max="1" width="10" style="26" customWidth="1"/>
    <col min="2" max="2" width="11.109375" style="6" customWidth="1"/>
    <col min="3" max="10" width="10" style="6" customWidth="1"/>
    <col min="11" max="11" width="14.44140625" style="6" customWidth="1"/>
    <col min="12" max="15" width="9.109375" style="6"/>
    <col min="16" max="18" width="0" style="6" hidden="1" customWidth="1"/>
    <col min="19" max="16384" width="9.109375" style="6"/>
  </cols>
  <sheetData>
    <row r="1" spans="1:12" ht="43.95" customHeight="1" x14ac:dyDescent="0.25">
      <c r="A1" s="154" t="s">
        <v>148</v>
      </c>
      <c r="B1" s="154"/>
      <c r="C1" s="154"/>
      <c r="D1" s="154"/>
      <c r="E1" s="154"/>
      <c r="F1" s="154"/>
      <c r="G1" s="154"/>
      <c r="H1" s="154"/>
      <c r="I1" s="154"/>
      <c r="J1" s="154"/>
    </row>
    <row r="2" spans="1:12" x14ac:dyDescent="0.25">
      <c r="A2" s="155" t="s">
        <v>8</v>
      </c>
      <c r="B2" s="155"/>
      <c r="C2" s="155"/>
      <c r="D2" s="155"/>
      <c r="E2" s="155"/>
      <c r="F2" s="155"/>
      <c r="G2" s="155"/>
      <c r="H2" s="155"/>
      <c r="I2" s="155"/>
      <c r="J2" s="155"/>
    </row>
    <row r="3" spans="1:12" x14ac:dyDescent="0.25">
      <c r="A3" s="22" t="s">
        <v>20</v>
      </c>
      <c r="B3" s="158" t="s">
        <v>18</v>
      </c>
      <c r="C3" s="158"/>
      <c r="D3" s="158"/>
      <c r="E3" s="158"/>
      <c r="F3" s="157" t="s">
        <v>21</v>
      </c>
      <c r="G3" s="157"/>
      <c r="H3" s="157"/>
      <c r="I3" s="157"/>
      <c r="J3" s="157"/>
    </row>
    <row r="4" spans="1:12" ht="15" customHeight="1" x14ac:dyDescent="0.25">
      <c r="A4" s="114">
        <v>1</v>
      </c>
      <c r="B4" s="113" t="s">
        <v>22</v>
      </c>
      <c r="C4" s="113"/>
      <c r="D4" s="113"/>
      <c r="E4" s="113"/>
      <c r="F4" s="159" t="s">
        <v>164</v>
      </c>
      <c r="G4" s="159"/>
      <c r="H4" s="159"/>
      <c r="I4" s="159"/>
      <c r="J4" s="159"/>
      <c r="L4" s="47" t="s">
        <v>224</v>
      </c>
    </row>
    <row r="5" spans="1:12" ht="15" customHeight="1" x14ac:dyDescent="0.25">
      <c r="A5" s="115"/>
      <c r="B5" s="113" t="s">
        <v>166</v>
      </c>
      <c r="C5" s="113"/>
      <c r="D5" s="113"/>
      <c r="E5" s="113"/>
      <c r="F5" s="68" t="s">
        <v>165</v>
      </c>
      <c r="G5" s="68"/>
      <c r="H5" s="68"/>
      <c r="I5" s="68"/>
      <c r="J5" s="68"/>
    </row>
    <row r="6" spans="1:12" ht="47.25" customHeight="1" x14ac:dyDescent="0.25">
      <c r="A6" s="119">
        <v>2</v>
      </c>
      <c r="B6" s="113" t="s">
        <v>23</v>
      </c>
      <c r="C6" s="113"/>
      <c r="D6" s="113"/>
      <c r="E6" s="113"/>
      <c r="F6" s="68" t="s">
        <v>171</v>
      </c>
      <c r="G6" s="68"/>
      <c r="H6" s="68"/>
      <c r="I6" s="68"/>
      <c r="J6" s="68"/>
    </row>
    <row r="7" spans="1:12" ht="15.75" customHeight="1" x14ac:dyDescent="0.25">
      <c r="A7" s="119"/>
      <c r="B7" s="113"/>
      <c r="C7" s="113"/>
      <c r="D7" s="113"/>
      <c r="E7" s="113"/>
      <c r="F7" s="166" t="s">
        <v>149</v>
      </c>
      <c r="G7" s="165"/>
      <c r="H7" s="166" t="s">
        <v>168</v>
      </c>
      <c r="I7" s="164"/>
      <c r="J7" s="165"/>
    </row>
    <row r="8" spans="1:12" ht="15.75" customHeight="1" x14ac:dyDescent="0.25">
      <c r="A8" s="23"/>
      <c r="B8" s="160" t="s">
        <v>144</v>
      </c>
      <c r="C8" s="161"/>
      <c r="D8" s="161"/>
      <c r="E8" s="162"/>
      <c r="F8" s="163" t="s">
        <v>169</v>
      </c>
      <c r="G8" s="164"/>
      <c r="H8" s="164"/>
      <c r="I8" s="164"/>
      <c r="J8" s="165"/>
    </row>
    <row r="9" spans="1:12" x14ac:dyDescent="0.25">
      <c r="A9" s="23"/>
      <c r="B9" s="113" t="s">
        <v>94</v>
      </c>
      <c r="C9" s="113"/>
      <c r="D9" s="113"/>
      <c r="E9" s="113"/>
      <c r="F9" s="68" t="s">
        <v>167</v>
      </c>
      <c r="G9" s="68"/>
      <c r="H9" s="68"/>
      <c r="I9" s="68"/>
      <c r="J9" s="68"/>
    </row>
    <row r="10" spans="1:12" ht="16.5" customHeight="1" x14ac:dyDescent="0.25">
      <c r="A10" s="23">
        <v>3</v>
      </c>
      <c r="B10" s="113" t="s">
        <v>24</v>
      </c>
      <c r="C10" s="113"/>
      <c r="D10" s="113"/>
      <c r="E10" s="113"/>
      <c r="F10" s="68" t="s">
        <v>170</v>
      </c>
      <c r="G10" s="68"/>
      <c r="H10" s="68"/>
      <c r="I10" s="68"/>
      <c r="J10" s="68"/>
    </row>
    <row r="11" spans="1:12" ht="42.6" customHeight="1" x14ac:dyDescent="0.25">
      <c r="A11" s="23">
        <v>4</v>
      </c>
      <c r="B11" s="113" t="s">
        <v>25</v>
      </c>
      <c r="C11" s="113"/>
      <c r="D11" s="113"/>
      <c r="E11" s="113"/>
      <c r="F11" s="68" t="s">
        <v>171</v>
      </c>
      <c r="G11" s="68"/>
      <c r="H11" s="68"/>
      <c r="I11" s="68"/>
      <c r="J11" s="68"/>
    </row>
    <row r="12" spans="1:12" ht="60.6" customHeight="1" x14ac:dyDescent="0.25">
      <c r="A12" s="23">
        <v>5</v>
      </c>
      <c r="B12" s="113" t="s">
        <v>26</v>
      </c>
      <c r="C12" s="113"/>
      <c r="D12" s="113"/>
      <c r="E12" s="113"/>
      <c r="F12" s="68" t="s">
        <v>216</v>
      </c>
      <c r="G12" s="68"/>
      <c r="H12" s="68"/>
      <c r="I12" s="68"/>
      <c r="J12" s="68"/>
      <c r="K12" s="193" t="s">
        <v>143</v>
      </c>
    </row>
    <row r="13" spans="1:12" ht="62.25" customHeight="1" x14ac:dyDescent="0.25">
      <c r="A13" s="23">
        <v>6</v>
      </c>
      <c r="B13" s="113" t="s">
        <v>27</v>
      </c>
      <c r="C13" s="113"/>
      <c r="D13" s="113"/>
      <c r="E13" s="113"/>
      <c r="F13" s="156" t="str">
        <f>F12</f>
        <v>Proposed Residential With Shopline Buildings in PMAY Scheme Known as Suraksha Smart City, S. No. 3, S.No. 4, S.No. 5, Hissa No. 1,2,3,4…, others, At Village : Rajavali, Taluka : Vasai, Dist - Palghar</v>
      </c>
      <c r="G13" s="156"/>
      <c r="H13" s="156"/>
      <c r="I13" s="156"/>
      <c r="J13" s="156"/>
      <c r="K13" s="193"/>
    </row>
    <row r="14" spans="1:12" ht="15" customHeight="1" x14ac:dyDescent="0.25">
      <c r="A14" s="23">
        <v>7</v>
      </c>
      <c r="B14" s="113" t="s">
        <v>28</v>
      </c>
      <c r="C14" s="113"/>
      <c r="D14" s="113"/>
      <c r="E14" s="113"/>
      <c r="F14" s="68">
        <v>45868</v>
      </c>
      <c r="G14" s="68"/>
      <c r="H14" s="68"/>
      <c r="I14" s="68"/>
      <c r="J14" s="68"/>
    </row>
    <row r="15" spans="1:12" ht="15" customHeight="1" x14ac:dyDescent="0.25">
      <c r="A15" s="23">
        <v>8</v>
      </c>
      <c r="B15" s="113" t="s">
        <v>29</v>
      </c>
      <c r="C15" s="113"/>
      <c r="D15" s="113"/>
      <c r="E15" s="113"/>
      <c r="F15" s="68">
        <v>45246</v>
      </c>
      <c r="G15" s="68"/>
      <c r="H15" s="68"/>
      <c r="I15" s="68"/>
      <c r="J15" s="68"/>
    </row>
    <row r="16" spans="1:12" ht="75.75" customHeight="1" x14ac:dyDescent="0.25">
      <c r="A16" s="23">
        <v>9</v>
      </c>
      <c r="B16" s="113" t="s">
        <v>30</v>
      </c>
      <c r="C16" s="113"/>
      <c r="D16" s="113"/>
      <c r="E16" s="113"/>
      <c r="F16" s="68" t="s">
        <v>219</v>
      </c>
      <c r="G16" s="68"/>
      <c r="H16" s="68"/>
      <c r="I16" s="68"/>
      <c r="J16" s="68"/>
      <c r="K16" s="45"/>
    </row>
    <row r="17" spans="1:12" ht="30.75" customHeight="1" x14ac:dyDescent="0.25">
      <c r="A17" s="23">
        <v>10</v>
      </c>
      <c r="B17" s="95" t="s">
        <v>31</v>
      </c>
      <c r="C17" s="95"/>
      <c r="D17" s="95"/>
      <c r="E17" s="95"/>
      <c r="F17" s="54" t="s">
        <v>10</v>
      </c>
      <c r="G17" s="54"/>
      <c r="H17" s="54"/>
      <c r="I17" s="54"/>
      <c r="J17" s="54"/>
    </row>
    <row r="18" spans="1:12" ht="15" customHeight="1" x14ac:dyDescent="0.25">
      <c r="A18" s="23">
        <v>11</v>
      </c>
      <c r="B18" s="113" t="s">
        <v>32</v>
      </c>
      <c r="C18" s="113"/>
      <c r="D18" s="113"/>
      <c r="E18" s="113"/>
      <c r="F18" s="54" t="s">
        <v>218</v>
      </c>
      <c r="G18" s="54"/>
      <c r="H18" s="54"/>
      <c r="I18" s="54"/>
      <c r="J18" s="54"/>
    </row>
    <row r="19" spans="1:12" ht="46.5" customHeight="1" x14ac:dyDescent="0.25">
      <c r="A19" s="23">
        <v>12</v>
      </c>
      <c r="B19" s="95" t="s">
        <v>33</v>
      </c>
      <c r="C19" s="95"/>
      <c r="D19" s="95"/>
      <c r="E19" s="95"/>
      <c r="F19" s="87" t="s">
        <v>72</v>
      </c>
      <c r="G19" s="87"/>
      <c r="H19" s="87"/>
      <c r="I19" s="87"/>
      <c r="J19" s="87"/>
    </row>
    <row r="20" spans="1:12" ht="47.25" customHeight="1" x14ac:dyDescent="0.25">
      <c r="A20" s="23">
        <v>13</v>
      </c>
      <c r="B20" s="95" t="s">
        <v>114</v>
      </c>
      <c r="C20" s="95"/>
      <c r="D20" s="95"/>
      <c r="E20" s="95"/>
      <c r="F20" s="68" t="s">
        <v>217</v>
      </c>
      <c r="G20" s="68"/>
      <c r="H20" s="68"/>
      <c r="I20" s="68"/>
      <c r="J20" s="68"/>
    </row>
    <row r="21" spans="1:12" ht="29.25" customHeight="1" x14ac:dyDescent="0.25">
      <c r="A21" s="23">
        <v>14</v>
      </c>
      <c r="B21" s="95" t="s">
        <v>34</v>
      </c>
      <c r="C21" s="95"/>
      <c r="D21" s="95"/>
      <c r="E21" s="95"/>
      <c r="F21" s="68">
        <v>45869</v>
      </c>
      <c r="G21" s="68"/>
      <c r="H21" s="68"/>
      <c r="I21" s="68"/>
      <c r="J21" s="68"/>
    </row>
    <row r="22" spans="1:12" ht="15" customHeight="1" x14ac:dyDescent="0.25">
      <c r="A22" s="23">
        <v>15</v>
      </c>
      <c r="B22" s="95" t="s">
        <v>35</v>
      </c>
      <c r="C22" s="95"/>
      <c r="D22" s="95"/>
      <c r="E22" s="95"/>
      <c r="F22" s="196" t="s">
        <v>228</v>
      </c>
      <c r="G22" s="196"/>
      <c r="H22" s="196"/>
      <c r="I22" s="196"/>
      <c r="J22" s="196"/>
      <c r="K22" s="194"/>
      <c r="L22" s="118"/>
    </row>
    <row r="23" spans="1:12" ht="30" customHeight="1" x14ac:dyDescent="0.25">
      <c r="A23" s="23">
        <v>16</v>
      </c>
      <c r="B23" s="95" t="s">
        <v>36</v>
      </c>
      <c r="C23" s="95"/>
      <c r="D23" s="95"/>
      <c r="E23" s="95"/>
      <c r="F23" s="68" t="s">
        <v>173</v>
      </c>
      <c r="G23" s="68"/>
      <c r="H23" s="68"/>
      <c r="I23" s="68"/>
      <c r="J23" s="68"/>
      <c r="K23" s="194"/>
      <c r="L23" s="118"/>
    </row>
    <row r="24" spans="1:12" ht="46.5" customHeight="1" x14ac:dyDescent="0.25">
      <c r="A24" s="23">
        <v>17</v>
      </c>
      <c r="B24" s="95" t="s">
        <v>115</v>
      </c>
      <c r="C24" s="95"/>
      <c r="D24" s="95"/>
      <c r="E24" s="95"/>
      <c r="F24" s="68" t="s">
        <v>172</v>
      </c>
      <c r="G24" s="68"/>
      <c r="H24" s="68"/>
      <c r="I24" s="68"/>
      <c r="J24" s="68"/>
      <c r="K24" s="194"/>
      <c r="L24" s="118"/>
    </row>
    <row r="25" spans="1:12" ht="31.5" customHeight="1" x14ac:dyDescent="0.25">
      <c r="A25" s="23">
        <v>18</v>
      </c>
      <c r="B25" s="95" t="s">
        <v>37</v>
      </c>
      <c r="C25" s="95"/>
      <c r="D25" s="95"/>
      <c r="E25" s="95"/>
      <c r="F25" s="87" t="s">
        <v>72</v>
      </c>
      <c r="G25" s="87"/>
      <c r="H25" s="87"/>
      <c r="I25" s="87"/>
      <c r="J25" s="87"/>
    </row>
    <row r="26" spans="1:12" x14ac:dyDescent="0.25">
      <c r="A26" s="23">
        <v>19</v>
      </c>
      <c r="B26" s="95" t="s">
        <v>38</v>
      </c>
      <c r="C26" s="95"/>
      <c r="D26" s="95"/>
      <c r="E26" s="95"/>
      <c r="F26" s="54" t="s">
        <v>11</v>
      </c>
      <c r="G26" s="54"/>
      <c r="H26" s="54"/>
      <c r="I26" s="54"/>
      <c r="J26" s="54"/>
    </row>
    <row r="27" spans="1:12" ht="43.5" customHeight="1" x14ac:dyDescent="0.25">
      <c r="A27" s="23">
        <v>20</v>
      </c>
      <c r="B27" s="95" t="s">
        <v>39</v>
      </c>
      <c r="C27" s="95"/>
      <c r="D27" s="95"/>
      <c r="E27" s="95"/>
      <c r="F27" s="87" t="s">
        <v>72</v>
      </c>
      <c r="G27" s="87"/>
      <c r="H27" s="87"/>
      <c r="I27" s="87"/>
      <c r="J27" s="87"/>
    </row>
    <row r="28" spans="1:12" ht="15.6" customHeight="1" x14ac:dyDescent="0.25">
      <c r="A28" s="23">
        <v>21</v>
      </c>
      <c r="B28" s="95" t="s">
        <v>40</v>
      </c>
      <c r="C28" s="95"/>
      <c r="D28" s="95"/>
      <c r="E28" s="95"/>
      <c r="F28" s="68" t="s">
        <v>174</v>
      </c>
      <c r="G28" s="68"/>
      <c r="H28" s="68"/>
      <c r="I28" s="68"/>
      <c r="J28" s="68"/>
    </row>
    <row r="29" spans="1:12" ht="15.6" customHeight="1" x14ac:dyDescent="0.25">
      <c r="A29" s="23">
        <v>22</v>
      </c>
      <c r="B29" s="95" t="s">
        <v>41</v>
      </c>
      <c r="C29" s="95"/>
      <c r="D29" s="95"/>
      <c r="E29" s="95"/>
      <c r="F29" s="68" t="s">
        <v>174</v>
      </c>
      <c r="G29" s="68"/>
      <c r="H29" s="68"/>
      <c r="I29" s="68"/>
      <c r="J29" s="68"/>
    </row>
    <row r="30" spans="1:12" ht="29.25" customHeight="1" x14ac:dyDescent="0.25">
      <c r="A30" s="23">
        <v>23</v>
      </c>
      <c r="B30" s="95" t="s">
        <v>42</v>
      </c>
      <c r="C30" s="95"/>
      <c r="D30" s="95"/>
      <c r="E30" s="95"/>
      <c r="F30" s="68" t="s">
        <v>175</v>
      </c>
      <c r="G30" s="68"/>
      <c r="H30" s="68"/>
      <c r="I30" s="68"/>
      <c r="J30" s="68"/>
    </row>
    <row r="31" spans="1:12" ht="109.5" customHeight="1" x14ac:dyDescent="0.25">
      <c r="A31" s="23">
        <v>24</v>
      </c>
      <c r="B31" s="95" t="s">
        <v>43</v>
      </c>
      <c r="C31" s="95"/>
      <c r="D31" s="95"/>
      <c r="E31" s="95"/>
      <c r="F31" s="68" t="s">
        <v>176</v>
      </c>
      <c r="G31" s="68"/>
      <c r="H31" s="68"/>
      <c r="I31" s="68"/>
      <c r="J31" s="68"/>
    </row>
    <row r="32" spans="1:12" ht="18" customHeight="1" x14ac:dyDescent="0.25">
      <c r="A32" s="23">
        <v>25</v>
      </c>
      <c r="B32" s="95" t="s">
        <v>44</v>
      </c>
      <c r="C32" s="95"/>
      <c r="D32" s="95"/>
      <c r="E32" s="95"/>
      <c r="F32" s="156" t="s">
        <v>211</v>
      </c>
      <c r="G32" s="156"/>
      <c r="H32" s="156"/>
      <c r="I32" s="156"/>
      <c r="J32" s="156"/>
      <c r="K32" s="120"/>
      <c r="L32" s="121"/>
    </row>
    <row r="33" spans="1:12" ht="30" customHeight="1" x14ac:dyDescent="0.25">
      <c r="A33" s="23">
        <v>26</v>
      </c>
      <c r="B33" s="95" t="s">
        <v>45</v>
      </c>
      <c r="C33" s="95"/>
      <c r="D33" s="95"/>
      <c r="E33" s="95"/>
      <c r="F33" s="156" t="str">
        <f>F32</f>
        <v xml:space="preserve">Vasai -Virar City Municipal Corporation. (VVCMC)
</v>
      </c>
      <c r="G33" s="156"/>
      <c r="H33" s="156"/>
      <c r="I33" s="156"/>
      <c r="J33" s="156"/>
      <c r="K33" s="120"/>
      <c r="L33" s="121"/>
    </row>
    <row r="34" spans="1:12" ht="30.75" customHeight="1" x14ac:dyDescent="0.25">
      <c r="A34" s="23">
        <v>27</v>
      </c>
      <c r="B34" s="95" t="s">
        <v>46</v>
      </c>
      <c r="C34" s="95"/>
      <c r="D34" s="95"/>
      <c r="E34" s="95"/>
      <c r="F34" s="87" t="s">
        <v>75</v>
      </c>
      <c r="G34" s="87"/>
      <c r="H34" s="87"/>
      <c r="I34" s="87"/>
      <c r="J34" s="87"/>
    </row>
    <row r="35" spans="1:12" ht="29.25" customHeight="1" x14ac:dyDescent="0.25">
      <c r="A35" s="23">
        <v>28</v>
      </c>
      <c r="B35" s="95" t="s">
        <v>47</v>
      </c>
      <c r="C35" s="95"/>
      <c r="D35" s="95"/>
      <c r="E35" s="95"/>
      <c r="F35" s="87" t="s">
        <v>90</v>
      </c>
      <c r="G35" s="87"/>
      <c r="H35" s="87"/>
      <c r="I35" s="87"/>
      <c r="J35" s="87"/>
    </row>
    <row r="36" spans="1:12" x14ac:dyDescent="0.25">
      <c r="A36" s="23">
        <v>29</v>
      </c>
      <c r="B36" s="95" t="s">
        <v>76</v>
      </c>
      <c r="C36" s="95"/>
      <c r="D36" s="95"/>
      <c r="E36" s="95"/>
      <c r="F36" s="96">
        <v>1467400</v>
      </c>
      <c r="G36" s="96"/>
      <c r="H36" s="96"/>
      <c r="I36" s="96"/>
      <c r="J36" s="96"/>
    </row>
    <row r="37" spans="1:12" ht="31.5" customHeight="1" x14ac:dyDescent="0.25">
      <c r="A37" s="23">
        <v>30</v>
      </c>
      <c r="B37" s="95" t="s">
        <v>91</v>
      </c>
      <c r="C37" s="95"/>
      <c r="D37" s="95"/>
      <c r="E37" s="95"/>
      <c r="F37" s="87" t="s">
        <v>10</v>
      </c>
      <c r="G37" s="87"/>
      <c r="H37" s="87"/>
      <c r="I37" s="87"/>
      <c r="J37" s="87"/>
    </row>
    <row r="38" spans="1:12" ht="32.25" customHeight="1" x14ac:dyDescent="0.25">
      <c r="A38" s="23">
        <v>31</v>
      </c>
      <c r="B38" s="95" t="s">
        <v>92</v>
      </c>
      <c r="C38" s="95"/>
      <c r="D38" s="95"/>
      <c r="E38" s="95"/>
      <c r="F38" s="87" t="s">
        <v>77</v>
      </c>
      <c r="G38" s="87"/>
      <c r="H38" s="87"/>
      <c r="I38" s="87"/>
      <c r="J38" s="87"/>
    </row>
    <row r="39" spans="1:12" ht="32.25" customHeight="1" x14ac:dyDescent="0.25">
      <c r="A39" s="23">
        <v>32</v>
      </c>
      <c r="B39" s="95" t="s">
        <v>48</v>
      </c>
      <c r="C39" s="95"/>
      <c r="D39" s="95"/>
      <c r="E39" s="95"/>
      <c r="F39" s="87" t="s">
        <v>10</v>
      </c>
      <c r="G39" s="87"/>
      <c r="H39" s="87"/>
      <c r="I39" s="87"/>
      <c r="J39" s="87"/>
    </row>
    <row r="40" spans="1:12" x14ac:dyDescent="0.25">
      <c r="A40" s="114">
        <v>33</v>
      </c>
      <c r="B40" s="95" t="s">
        <v>156</v>
      </c>
      <c r="C40" s="95"/>
      <c r="D40" s="95"/>
      <c r="E40" s="95"/>
      <c r="F40" s="69">
        <v>816269.08</v>
      </c>
      <c r="G40" s="69"/>
      <c r="H40" s="69"/>
      <c r="I40" s="69"/>
      <c r="J40" s="69"/>
    </row>
    <row r="41" spans="1:12" x14ac:dyDescent="0.25">
      <c r="A41" s="115"/>
      <c r="B41" s="95" t="s">
        <v>157</v>
      </c>
      <c r="C41" s="95"/>
      <c r="D41" s="95"/>
      <c r="E41" s="95"/>
      <c r="F41" s="195">
        <v>2118218.25</v>
      </c>
      <c r="G41" s="195"/>
      <c r="H41" s="195"/>
      <c r="I41" s="195"/>
      <c r="J41" s="195"/>
      <c r="K41" s="29">
        <f>F41/F40</f>
        <v>2.594999984563914</v>
      </c>
    </row>
    <row r="42" spans="1:12" x14ac:dyDescent="0.25">
      <c r="A42" s="23">
        <v>34</v>
      </c>
      <c r="B42" s="95" t="s">
        <v>158</v>
      </c>
      <c r="C42" s="95"/>
      <c r="D42" s="95"/>
      <c r="E42" s="95"/>
      <c r="F42" s="195">
        <f>2040672.69/F40</f>
        <v>2.4999999877491379</v>
      </c>
      <c r="G42" s="195"/>
      <c r="H42" s="195"/>
      <c r="I42" s="195"/>
      <c r="J42" s="195"/>
    </row>
    <row r="43" spans="1:12" x14ac:dyDescent="0.25">
      <c r="A43" s="23">
        <v>35</v>
      </c>
      <c r="B43" s="95" t="s">
        <v>159</v>
      </c>
      <c r="C43" s="95"/>
      <c r="D43" s="95"/>
      <c r="E43" s="95"/>
      <c r="F43" s="195">
        <v>0</v>
      </c>
      <c r="G43" s="195"/>
      <c r="H43" s="195"/>
      <c r="I43" s="195"/>
      <c r="J43" s="195"/>
      <c r="K43" s="6">
        <f>153579.02/F40</f>
        <v>0.18814754075947604</v>
      </c>
    </row>
    <row r="44" spans="1:12" hidden="1" x14ac:dyDescent="0.25">
      <c r="A44" s="23">
        <v>36</v>
      </c>
      <c r="B44" s="95" t="s">
        <v>160</v>
      </c>
      <c r="C44" s="95"/>
      <c r="D44" s="95"/>
      <c r="E44" s="95"/>
      <c r="F44" s="69">
        <v>0</v>
      </c>
      <c r="G44" s="69"/>
      <c r="H44" s="69"/>
      <c r="I44" s="69"/>
      <c r="J44" s="69"/>
    </row>
    <row r="45" spans="1:12" ht="16.5" hidden="1" customHeight="1" x14ac:dyDescent="0.25">
      <c r="A45" s="23">
        <v>37</v>
      </c>
      <c r="B45" s="95" t="s">
        <v>162</v>
      </c>
      <c r="C45" s="95"/>
      <c r="D45" s="95"/>
      <c r="E45" s="95"/>
      <c r="F45" s="69">
        <v>0</v>
      </c>
      <c r="G45" s="69"/>
      <c r="H45" s="69"/>
      <c r="I45" s="69"/>
      <c r="J45" s="69"/>
    </row>
    <row r="46" spans="1:12" ht="16.5" customHeight="1" x14ac:dyDescent="0.25">
      <c r="A46" s="23">
        <v>36</v>
      </c>
      <c r="B46" s="95" t="s">
        <v>161</v>
      </c>
      <c r="C46" s="95"/>
      <c r="D46" s="95"/>
      <c r="E46" s="95"/>
      <c r="F46" s="96">
        <f>SUM(F42:J45)</f>
        <v>2.4999999877491379</v>
      </c>
      <c r="G46" s="96"/>
      <c r="H46" s="96"/>
      <c r="I46" s="96"/>
      <c r="J46" s="96"/>
    </row>
    <row r="47" spans="1:12" ht="15" customHeight="1" x14ac:dyDescent="0.25">
      <c r="A47" s="23">
        <v>37</v>
      </c>
      <c r="B47" s="167" t="s">
        <v>49</v>
      </c>
      <c r="C47" s="168"/>
      <c r="D47" s="168"/>
      <c r="E47" s="169"/>
      <c r="F47" s="68">
        <v>43811</v>
      </c>
      <c r="G47" s="68"/>
      <c r="H47" s="68"/>
      <c r="I47" s="68"/>
      <c r="J47" s="68"/>
    </row>
    <row r="48" spans="1:12" ht="14.4" thickBot="1" x14ac:dyDescent="0.3">
      <c r="A48" s="23">
        <v>38</v>
      </c>
      <c r="B48" s="95" t="s">
        <v>50</v>
      </c>
      <c r="C48" s="95"/>
      <c r="D48" s="95"/>
      <c r="E48" s="95"/>
      <c r="F48" s="95"/>
      <c r="G48" s="95"/>
      <c r="H48" s="95"/>
      <c r="I48" s="95"/>
      <c r="J48" s="95"/>
    </row>
    <row r="49" spans="1:12" ht="15" customHeight="1" x14ac:dyDescent="0.25">
      <c r="A49" s="141" t="s">
        <v>116</v>
      </c>
      <c r="B49" s="142"/>
      <c r="C49" s="143" t="s">
        <v>209</v>
      </c>
      <c r="D49" s="144"/>
      <c r="E49" s="144"/>
      <c r="F49" s="144"/>
      <c r="G49" s="144"/>
      <c r="H49" s="144"/>
      <c r="I49" s="144"/>
      <c r="J49" s="145"/>
      <c r="K49" s="3" t="str">
        <f ca="1">(IF(F53&gt;99%,"All work completed. Please provide OC.",IF(F53&gt;89.8%,"Plinth, RCC, Brick, Plaster, Flooring, Painting work Completed. Finishing work is in process.",IF(F53&lt;94%,(IF(C53=0,"Work not yet Started.",IF(D53=25%,"Piling work in process",IF(D53=50%,"Excavation work in process",IF(D53=100%,"Excavation work Completed. ","0")))&amp;(IF(C54=0%,"",IF(C54=L55,"Footing work is process",IF(C54=L56,"Footing work Completed",IF(C54=L57,"1st Basement Completed",IF(C54=L58,"1st &amp; 2nd Basement Completed",IF(C54=L59,"1st to 3rd Basement Completed",IF(C54=L60,"1st to 4th Basement Completed",IF(C54=L61,"Plinth work is process",IF(C54=L62,"Plinth work completed","0")))))))))))&amp;(IF(C55=(D50+G50+I50),", RCC Slab",IF(C55&gt;0,", RCC upto "&amp;C55&amp;" Slab",""))&amp;(IF(C56=I50,", Brickwork",IF(C56&gt;0,", Brickwork upto "&amp;C56&amp;" Floor",""))&amp;(IF(C57=I50,", Internal Plaster",IF(C57&gt;0,", Internal Plaster upto "&amp;C57&amp;" Floor",""))&amp;(IF(C58=I50,", External Plaster",IF(C58&gt;0,", External Plaster upto "&amp;C58&amp;" Floor",""))&amp;(IF(C59=I50,", Flooring",IF(C59&gt;0,", Flooring upto "&amp;C59&amp;" Floor",""))&amp;(IF(C60=I50,", Painting",IF(C60&gt;0,", Painting upto "&amp;C60&amp;" Floor",""))&amp;(IF(C61&gt;0,", Finishing upto "&amp;C61&amp;" Floor","")&amp;(IF(C55&gt;0.5," Completed",""))))))))))))))</f>
        <v>Excavation work Completed. Plinth work completed, RCC upto 22 Slab, Brickwork upto 21 Floor, Internal Plaster upto 21 Floor, External Plaster upto 21 Floor Completed</v>
      </c>
      <c r="L49" s="7"/>
    </row>
    <row r="50" spans="1:12" x14ac:dyDescent="0.25">
      <c r="A50" s="38" t="s">
        <v>95</v>
      </c>
      <c r="B50" s="39">
        <v>0</v>
      </c>
      <c r="C50" s="39" t="s">
        <v>97</v>
      </c>
      <c r="D50" s="39">
        <v>1</v>
      </c>
      <c r="E50" s="146" t="s">
        <v>96</v>
      </c>
      <c r="F50" s="147"/>
      <c r="G50" s="39">
        <v>0</v>
      </c>
      <c r="H50" s="39" t="s">
        <v>117</v>
      </c>
      <c r="I50" s="146">
        <f ca="1">--TRIM(RIGHT(SUBSTITUTE(LEFT(C49,_xlfn.AGGREGATE(16,6,FIND({0,1,2,3,4,5,6,7,8,9},C49,ROW(INDIRECT("1:"&amp;LEN(C49)))),1))," ",REPT(" ",LEN(C49))),LEN(C49)))</f>
        <v>23</v>
      </c>
      <c r="J50" s="148"/>
      <c r="K50" s="4"/>
      <c r="L50" s="8"/>
    </row>
    <row r="51" spans="1:12" ht="35.4" customHeight="1" x14ac:dyDescent="0.25">
      <c r="A51" s="149" t="s">
        <v>118</v>
      </c>
      <c r="B51" s="150"/>
      <c r="C51" s="151" t="str">
        <f ca="1">K49</f>
        <v>Excavation work Completed. Plinth work completed, RCC upto 22 Slab, Brickwork upto 21 Floor, Internal Plaster upto 21 Floor, External Plaster upto 21 Floor Completed</v>
      </c>
      <c r="D51" s="152"/>
      <c r="E51" s="152"/>
      <c r="F51" s="152"/>
      <c r="G51" s="152"/>
      <c r="H51" s="152"/>
      <c r="I51" s="152"/>
      <c r="J51" s="153"/>
      <c r="K51" s="4" t="s">
        <v>119</v>
      </c>
      <c r="L51" s="8"/>
    </row>
    <row r="52" spans="1:12" ht="15" customHeight="1" x14ac:dyDescent="0.25">
      <c r="A52" s="137" t="s">
        <v>4</v>
      </c>
      <c r="B52" s="138"/>
      <c r="C52" s="31" t="s">
        <v>120</v>
      </c>
      <c r="D52" s="94" t="s">
        <v>121</v>
      </c>
      <c r="E52" s="94"/>
      <c r="F52" s="94" t="s">
        <v>122</v>
      </c>
      <c r="G52" s="94"/>
      <c r="H52" s="94" t="s">
        <v>123</v>
      </c>
      <c r="I52" s="94"/>
      <c r="J52" s="97"/>
      <c r="K52" s="40" t="s">
        <v>124</v>
      </c>
      <c r="L52" s="9">
        <f ca="1">I50*25%</f>
        <v>5.75</v>
      </c>
    </row>
    <row r="53" spans="1:12" ht="15" customHeight="1" x14ac:dyDescent="0.25">
      <c r="A53" s="98" t="s">
        <v>125</v>
      </c>
      <c r="B53" s="94"/>
      <c r="C53" s="41">
        <f ca="1">L54</f>
        <v>23</v>
      </c>
      <c r="D53" s="99">
        <f ca="1">((100/I50)*C53)/100</f>
        <v>1</v>
      </c>
      <c r="E53" s="100"/>
      <c r="F53" s="101">
        <f ca="1">(((C54/I50*20)+(30/(D50+G50+I50)*C55)+(10/(I50)*C56)+(5/(I50)*C57)+(5/I50*C58)+(10/I50*C59)+(5/I50*C60)+(5/I50*C61)+(10/I50*C62))/100)</f>
        <v>0.65760869565217395</v>
      </c>
      <c r="G53" s="101"/>
      <c r="H53" s="103">
        <f ca="1">((((C53/I50)*10)+((C54/I50)*20)+(30/(I50+G50+D50)*C55)+(10/I50*C56)+(5/I50*C57)+(5/I50*C58)+(10/I50*C59)+(4/I50*C60)+(4/I50*C61)+(2/I50*C62))/100)</f>
        <v>0.75760869565217381</v>
      </c>
      <c r="I53" s="104"/>
      <c r="J53" s="105"/>
      <c r="K53" s="40" t="s">
        <v>98</v>
      </c>
      <c r="L53" s="42">
        <f ca="1">I50*50%</f>
        <v>11.5</v>
      </c>
    </row>
    <row r="54" spans="1:12" x14ac:dyDescent="0.25">
      <c r="A54" s="98" t="s">
        <v>5</v>
      </c>
      <c r="B54" s="94"/>
      <c r="C54" s="36">
        <f ca="1">L62</f>
        <v>23</v>
      </c>
      <c r="D54" s="99">
        <f ca="1">((100/I50)*C54)/100</f>
        <v>1</v>
      </c>
      <c r="E54" s="100"/>
      <c r="F54" s="101"/>
      <c r="G54" s="101"/>
      <c r="H54" s="106"/>
      <c r="I54" s="107"/>
      <c r="J54" s="108"/>
      <c r="K54" s="40" t="s">
        <v>99</v>
      </c>
      <c r="L54" s="42">
        <f ca="1">I50</f>
        <v>23</v>
      </c>
    </row>
    <row r="55" spans="1:12" ht="15" customHeight="1" x14ac:dyDescent="0.3">
      <c r="A55" s="98" t="s">
        <v>126</v>
      </c>
      <c r="B55" s="94"/>
      <c r="C55" s="36">
        <v>22</v>
      </c>
      <c r="D55" s="99">
        <f ca="1">((100/(D50+G50+I50))*C55)/100</f>
        <v>0.91666666666666674</v>
      </c>
      <c r="E55" s="100"/>
      <c r="F55" s="101"/>
      <c r="G55" s="101"/>
      <c r="H55" s="106"/>
      <c r="I55" s="107"/>
      <c r="J55" s="108"/>
      <c r="K55" s="40" t="s">
        <v>100</v>
      </c>
      <c r="L55" s="10">
        <f ca="1">(IF(B50&gt;1,(I50/(B50+2)),I50/4))</f>
        <v>5.75</v>
      </c>
    </row>
    <row r="56" spans="1:12" ht="15" customHeight="1" x14ac:dyDescent="0.3">
      <c r="A56" s="98" t="s">
        <v>127</v>
      </c>
      <c r="B56" s="94" t="s">
        <v>128</v>
      </c>
      <c r="C56" s="41">
        <v>21</v>
      </c>
      <c r="D56" s="99">
        <f ca="1">((100/I50)*C56)/100</f>
        <v>0.91304347826086951</v>
      </c>
      <c r="E56" s="100"/>
      <c r="F56" s="101"/>
      <c r="G56" s="101"/>
      <c r="H56" s="106"/>
      <c r="I56" s="107"/>
      <c r="J56" s="108"/>
      <c r="K56" s="40" t="s">
        <v>101</v>
      </c>
      <c r="L56" s="10">
        <f ca="1">(IF(B50&gt;1,(I50/(B50+2)+L55),I50/4+L55))</f>
        <v>11.5</v>
      </c>
    </row>
    <row r="57" spans="1:12" ht="15" customHeight="1" x14ac:dyDescent="0.3">
      <c r="A57" s="98" t="s">
        <v>129</v>
      </c>
      <c r="B57" s="94" t="s">
        <v>128</v>
      </c>
      <c r="C57" s="41">
        <v>21</v>
      </c>
      <c r="D57" s="99">
        <f ca="1">((100/I50)*C57)/100</f>
        <v>0.91304347826086951</v>
      </c>
      <c r="E57" s="100"/>
      <c r="F57" s="101"/>
      <c r="G57" s="101"/>
      <c r="H57" s="106"/>
      <c r="I57" s="107"/>
      <c r="J57" s="108"/>
      <c r="K57" s="40" t="s">
        <v>130</v>
      </c>
      <c r="L57" s="10">
        <f>(IF(B50&gt;1,(I50/(B50+2)+L56),0))</f>
        <v>0</v>
      </c>
    </row>
    <row r="58" spans="1:12" ht="15" customHeight="1" x14ac:dyDescent="0.3">
      <c r="A58" s="98" t="s">
        <v>131</v>
      </c>
      <c r="B58" s="94" t="s">
        <v>132</v>
      </c>
      <c r="C58" s="41">
        <v>21</v>
      </c>
      <c r="D58" s="99">
        <f ca="1">((100/(I50))*C58)/100</f>
        <v>0.91304347826086951</v>
      </c>
      <c r="E58" s="100"/>
      <c r="F58" s="101"/>
      <c r="G58" s="101"/>
      <c r="H58" s="106"/>
      <c r="I58" s="107"/>
      <c r="J58" s="108"/>
      <c r="K58" s="40" t="s">
        <v>133</v>
      </c>
      <c r="L58" s="10">
        <f>(IF(B50&gt;2,(I50/(B50+2)+L57),0))</f>
        <v>0</v>
      </c>
    </row>
    <row r="59" spans="1:12" ht="15" customHeight="1" x14ac:dyDescent="0.3">
      <c r="A59" s="98" t="s">
        <v>134</v>
      </c>
      <c r="B59" s="94" t="s">
        <v>134</v>
      </c>
      <c r="C59" s="41">
        <v>0</v>
      </c>
      <c r="D59" s="99">
        <f ca="1">((100/I50)*C59)/100</f>
        <v>0</v>
      </c>
      <c r="E59" s="100"/>
      <c r="F59" s="101"/>
      <c r="G59" s="101"/>
      <c r="H59" s="106"/>
      <c r="I59" s="107"/>
      <c r="J59" s="108"/>
      <c r="K59" s="40" t="s">
        <v>135</v>
      </c>
      <c r="L59" s="11">
        <f>(IF(B50&gt;3,(I50/(B50+2)+L58),0))</f>
        <v>0</v>
      </c>
    </row>
    <row r="60" spans="1:12" ht="15" customHeight="1" x14ac:dyDescent="0.3">
      <c r="A60" s="98" t="s">
        <v>136</v>
      </c>
      <c r="B60" s="94"/>
      <c r="C60" s="41">
        <v>0</v>
      </c>
      <c r="D60" s="99">
        <f ca="1">((100/I50)*C60)/100</f>
        <v>0</v>
      </c>
      <c r="E60" s="100"/>
      <c r="F60" s="101"/>
      <c r="G60" s="101"/>
      <c r="H60" s="106"/>
      <c r="I60" s="107"/>
      <c r="J60" s="108"/>
      <c r="K60" s="40" t="s">
        <v>137</v>
      </c>
      <c r="L60" s="10">
        <f>(IF(B50&gt;4,(I50/(B50+2)+L59),0))</f>
        <v>0</v>
      </c>
    </row>
    <row r="61" spans="1:12" ht="15" customHeight="1" x14ac:dyDescent="0.3">
      <c r="A61" s="98" t="s">
        <v>138</v>
      </c>
      <c r="B61" s="94" t="s">
        <v>138</v>
      </c>
      <c r="C61" s="41">
        <v>0</v>
      </c>
      <c r="D61" s="99">
        <f ca="1">((100/(I50))*C61)/100</f>
        <v>0</v>
      </c>
      <c r="E61" s="100"/>
      <c r="F61" s="101"/>
      <c r="G61" s="101"/>
      <c r="H61" s="106"/>
      <c r="I61" s="107"/>
      <c r="J61" s="108"/>
      <c r="K61" s="40" t="s">
        <v>102</v>
      </c>
      <c r="L61" s="10">
        <f ca="1">(IF(B50=1,(I50/(B50+3)+L56),IF(B50=0,(I50/4+L56),IF(B50&gt;1,0))))</f>
        <v>17.25</v>
      </c>
    </row>
    <row r="62" spans="1:12" ht="15.75" customHeight="1" thickBot="1" x14ac:dyDescent="0.35">
      <c r="A62" s="187" t="s">
        <v>139</v>
      </c>
      <c r="B62" s="188"/>
      <c r="C62" s="43">
        <v>0</v>
      </c>
      <c r="D62" s="189">
        <f ca="1">((100/(I50))*C62)/100</f>
        <v>0</v>
      </c>
      <c r="E62" s="190"/>
      <c r="F62" s="102"/>
      <c r="G62" s="102"/>
      <c r="H62" s="109"/>
      <c r="I62" s="110"/>
      <c r="J62" s="111"/>
      <c r="K62" s="44" t="s">
        <v>103</v>
      </c>
      <c r="L62" s="12">
        <f ca="1">(IF(B50&gt;1.5,(I50/(B50+2)+L56+MAX(0,L57-L56)+MAX(0,L58-L57)+MAX(0,L59-L58)+MAX(0,L60-L59)+MAX(0,L61-L60)),IF(B50=1,(I50/(B50+3)+L61),IF(B50=0,I50/4+L61))))</f>
        <v>23</v>
      </c>
    </row>
    <row r="63" spans="1:12" ht="30.75" customHeight="1" x14ac:dyDescent="0.25">
      <c r="A63" s="23">
        <v>41</v>
      </c>
      <c r="B63" s="95" t="s">
        <v>67</v>
      </c>
      <c r="C63" s="95"/>
      <c r="D63" s="95"/>
      <c r="E63" s="95"/>
      <c r="F63" s="68">
        <v>46387</v>
      </c>
      <c r="G63" s="68"/>
      <c r="H63" s="68"/>
      <c r="I63" s="68"/>
      <c r="J63" s="68"/>
    </row>
    <row r="64" spans="1:12" ht="31.5" customHeight="1" x14ac:dyDescent="0.25">
      <c r="A64" s="23">
        <v>42</v>
      </c>
      <c r="B64" s="95" t="s">
        <v>78</v>
      </c>
      <c r="C64" s="95"/>
      <c r="D64" s="95"/>
      <c r="E64" s="95"/>
      <c r="F64" s="87" t="s">
        <v>11</v>
      </c>
      <c r="G64" s="87"/>
      <c r="H64" s="87"/>
      <c r="I64" s="87"/>
      <c r="J64" s="87"/>
    </row>
    <row r="65" spans="1:19" ht="60.75" customHeight="1" x14ac:dyDescent="0.25">
      <c r="A65" s="114">
        <v>43</v>
      </c>
      <c r="B65" s="55" t="s">
        <v>68</v>
      </c>
      <c r="C65" s="56"/>
      <c r="D65" s="56"/>
      <c r="E65" s="57"/>
      <c r="F65" s="54" t="s">
        <v>177</v>
      </c>
      <c r="G65" s="54"/>
      <c r="H65" s="54"/>
      <c r="I65" s="54"/>
      <c r="J65" s="54"/>
    </row>
    <row r="66" spans="1:19" ht="44.4" customHeight="1" x14ac:dyDescent="0.25">
      <c r="A66" s="140"/>
      <c r="B66" s="58"/>
      <c r="C66" s="59"/>
      <c r="D66" s="59"/>
      <c r="E66" s="60"/>
      <c r="F66" s="54" t="s">
        <v>178</v>
      </c>
      <c r="G66" s="54"/>
      <c r="H66" s="54"/>
      <c r="I66" s="54"/>
      <c r="J66" s="54"/>
    </row>
    <row r="67" spans="1:19" ht="49.5" customHeight="1" x14ac:dyDescent="0.25">
      <c r="A67" s="140"/>
      <c r="B67" s="58"/>
      <c r="C67" s="59"/>
      <c r="D67" s="59"/>
      <c r="E67" s="60"/>
      <c r="F67" s="54" t="s">
        <v>179</v>
      </c>
      <c r="G67" s="54"/>
      <c r="H67" s="54"/>
      <c r="I67" s="54"/>
      <c r="J67" s="54"/>
    </row>
    <row r="68" spans="1:19" ht="45.9" customHeight="1" x14ac:dyDescent="0.25">
      <c r="A68" s="115"/>
      <c r="B68" s="61"/>
      <c r="C68" s="62"/>
      <c r="D68" s="62"/>
      <c r="E68" s="63"/>
      <c r="F68" s="54" t="s">
        <v>180</v>
      </c>
      <c r="G68" s="54"/>
      <c r="H68" s="54"/>
      <c r="I68" s="54"/>
      <c r="J68" s="54"/>
    </row>
    <row r="69" spans="1:19" ht="153.75" customHeight="1" x14ac:dyDescent="0.3">
      <c r="A69" s="23">
        <v>44</v>
      </c>
      <c r="B69" s="95" t="s">
        <v>69</v>
      </c>
      <c r="C69" s="95"/>
      <c r="D69" s="95"/>
      <c r="E69" s="95"/>
      <c r="F69" s="54" t="s">
        <v>182</v>
      </c>
      <c r="G69" s="54"/>
      <c r="H69" s="54"/>
      <c r="I69" s="54"/>
      <c r="J69" s="54"/>
      <c r="K69" s="191" t="s">
        <v>181</v>
      </c>
      <c r="L69" s="192"/>
      <c r="M69" s="192"/>
      <c r="N69" s="192"/>
      <c r="O69" s="192"/>
      <c r="P69" s="192"/>
      <c r="Q69" s="192"/>
      <c r="R69" s="192"/>
      <c r="S69" s="192"/>
    </row>
    <row r="70" spans="1:19" ht="30" customHeight="1" x14ac:dyDescent="0.25">
      <c r="A70" s="23">
        <v>45</v>
      </c>
      <c r="B70" s="95" t="s">
        <v>70</v>
      </c>
      <c r="C70" s="95"/>
      <c r="D70" s="95"/>
      <c r="E70" s="95"/>
      <c r="F70" s="87" t="s">
        <v>10</v>
      </c>
      <c r="G70" s="87"/>
      <c r="H70" s="87"/>
      <c r="I70" s="87"/>
      <c r="J70" s="87"/>
    </row>
    <row r="71" spans="1:19" ht="35.25" customHeight="1" x14ac:dyDescent="0.25">
      <c r="A71" s="114">
        <v>46</v>
      </c>
      <c r="B71" s="55" t="s">
        <v>71</v>
      </c>
      <c r="C71" s="56"/>
      <c r="D71" s="56"/>
      <c r="E71" s="57"/>
      <c r="F71" s="116" t="s">
        <v>145</v>
      </c>
      <c r="G71" s="116"/>
      <c r="H71" s="116" t="s">
        <v>209</v>
      </c>
      <c r="I71" s="116"/>
      <c r="J71" s="116"/>
    </row>
    <row r="72" spans="1:19" ht="35.25" customHeight="1" x14ac:dyDescent="0.25">
      <c r="A72" s="115"/>
      <c r="B72" s="61"/>
      <c r="C72" s="62"/>
      <c r="D72" s="62"/>
      <c r="E72" s="63"/>
      <c r="F72" s="116" t="s">
        <v>146</v>
      </c>
      <c r="G72" s="116"/>
      <c r="H72" s="116" t="s">
        <v>209</v>
      </c>
      <c r="I72" s="116"/>
      <c r="J72" s="116"/>
    </row>
    <row r="73" spans="1:19" x14ac:dyDescent="0.25">
      <c r="A73" s="139" t="s">
        <v>85</v>
      </c>
      <c r="B73" s="139"/>
      <c r="C73" s="139"/>
      <c r="D73" s="139"/>
      <c r="E73" s="139"/>
      <c r="F73" s="139"/>
      <c r="G73" s="139"/>
      <c r="H73" s="139"/>
      <c r="I73" s="139"/>
      <c r="J73" s="139"/>
    </row>
    <row r="74" spans="1:19" ht="34.5" customHeight="1" x14ac:dyDescent="0.25">
      <c r="A74" s="88" t="s">
        <v>104</v>
      </c>
      <c r="B74" s="88"/>
      <c r="C74" s="112" t="s">
        <v>184</v>
      </c>
      <c r="D74" s="112"/>
      <c r="E74" s="112"/>
      <c r="F74" s="112"/>
      <c r="G74" s="19" t="s">
        <v>86</v>
      </c>
      <c r="H74" s="117">
        <v>44316</v>
      </c>
      <c r="I74" s="117"/>
      <c r="J74" s="117"/>
    </row>
    <row r="75" spans="1:19" ht="30.75" customHeight="1" x14ac:dyDescent="0.25">
      <c r="A75" s="88" t="s">
        <v>105</v>
      </c>
      <c r="B75" s="88"/>
      <c r="C75" s="112" t="str">
        <f>C74</f>
        <v>VVCMC/TP/AMEND/VP/PMAY-1/102/2021-22</v>
      </c>
      <c r="D75" s="112"/>
      <c r="E75" s="112"/>
      <c r="F75" s="112"/>
      <c r="G75" s="19" t="s">
        <v>86</v>
      </c>
      <c r="H75" s="117">
        <f>H74</f>
        <v>44316</v>
      </c>
      <c r="I75" s="117"/>
      <c r="J75" s="117"/>
    </row>
    <row r="76" spans="1:19" ht="63" customHeight="1" x14ac:dyDescent="0.25">
      <c r="A76" s="88" t="s">
        <v>150</v>
      </c>
      <c r="B76" s="88"/>
      <c r="C76" s="112" t="s">
        <v>215</v>
      </c>
      <c r="D76" s="112"/>
      <c r="E76" s="112"/>
      <c r="F76" s="112"/>
      <c r="G76" s="19" t="s">
        <v>86</v>
      </c>
      <c r="H76" s="117">
        <v>44651</v>
      </c>
      <c r="I76" s="117"/>
      <c r="J76" s="117"/>
    </row>
    <row r="77" spans="1:19" x14ac:dyDescent="0.25">
      <c r="A77" s="180" t="s">
        <v>87</v>
      </c>
      <c r="B77" s="180"/>
      <c r="C77" s="181" t="s">
        <v>88</v>
      </c>
      <c r="D77" s="182"/>
      <c r="E77" s="182"/>
      <c r="F77" s="182" t="s">
        <v>89</v>
      </c>
      <c r="G77" s="46" t="s">
        <v>86</v>
      </c>
      <c r="H77" s="181" t="s">
        <v>11</v>
      </c>
      <c r="I77" s="181" t="s">
        <v>11</v>
      </c>
      <c r="J77" s="181"/>
    </row>
    <row r="78" spans="1:19" ht="15.75" customHeight="1" x14ac:dyDescent="0.25">
      <c r="A78" s="89" t="s">
        <v>197</v>
      </c>
      <c r="B78" s="89"/>
      <c r="C78" s="89"/>
      <c r="D78" s="89"/>
      <c r="E78" s="89"/>
      <c r="F78" s="89"/>
      <c r="G78" s="89"/>
      <c r="H78" s="89"/>
      <c r="I78" s="89"/>
      <c r="J78" s="89"/>
    </row>
    <row r="79" spans="1:19" ht="15.75" customHeight="1" x14ac:dyDescent="0.25">
      <c r="A79" s="90" t="s">
        <v>79</v>
      </c>
      <c r="B79" s="90"/>
      <c r="C79" s="91" t="s">
        <v>80</v>
      </c>
      <c r="D79" s="91"/>
      <c r="E79" s="92" t="s">
        <v>81</v>
      </c>
      <c r="F79" s="92"/>
      <c r="G79" s="92"/>
      <c r="H79" s="92" t="s">
        <v>82</v>
      </c>
      <c r="I79" s="92"/>
      <c r="J79" s="92"/>
    </row>
    <row r="80" spans="1:19" s="13" customFormat="1" x14ac:dyDescent="0.25">
      <c r="A80" s="93" t="s">
        <v>187</v>
      </c>
      <c r="B80" s="93"/>
      <c r="C80" s="135">
        <f>COUNT(F91:F115)</f>
        <v>25</v>
      </c>
      <c r="D80" s="136"/>
      <c r="E80" s="64">
        <f>SUM(F91:F115)</f>
        <v>7027.7165712000005</v>
      </c>
      <c r="F80" s="64"/>
      <c r="G80" s="64"/>
      <c r="H80" s="64">
        <f>SUM(H91:H115)</f>
        <v>10892.96068536</v>
      </c>
      <c r="I80" s="64"/>
      <c r="J80" s="64"/>
    </row>
    <row r="81" spans="1:11" ht="15.75" customHeight="1" x14ac:dyDescent="0.25">
      <c r="A81" s="89" t="s">
        <v>196</v>
      </c>
      <c r="B81" s="89"/>
      <c r="C81" s="89"/>
      <c r="D81" s="89"/>
      <c r="E81" s="89"/>
      <c r="F81" s="89"/>
      <c r="G81" s="89"/>
      <c r="H81" s="89"/>
      <c r="I81" s="89"/>
      <c r="J81" s="89"/>
    </row>
    <row r="82" spans="1:11" ht="15.75" customHeight="1" x14ac:dyDescent="0.25">
      <c r="A82" s="90" t="s">
        <v>79</v>
      </c>
      <c r="B82" s="90"/>
      <c r="C82" s="91" t="s">
        <v>80</v>
      </c>
      <c r="D82" s="91"/>
      <c r="E82" s="92" t="s">
        <v>81</v>
      </c>
      <c r="F82" s="92"/>
      <c r="G82" s="92"/>
      <c r="H82" s="92" t="s">
        <v>82</v>
      </c>
      <c r="I82" s="92"/>
      <c r="J82" s="92"/>
    </row>
    <row r="83" spans="1:11" s="13" customFormat="1" x14ac:dyDescent="0.25">
      <c r="A83" s="93" t="s">
        <v>187</v>
      </c>
      <c r="B83" s="93"/>
      <c r="C83" s="135">
        <f>COUNT(F122:F149)+COUNT(F151:F178)*18+COUNT(F180:F191,F195:F207)*4</f>
        <v>632</v>
      </c>
      <c r="D83" s="136"/>
      <c r="E83" s="64">
        <f>SUM(F122:F149)+SUM(F151:F178)*18+SUM(F180:F191,F195:F207)*4</f>
        <v>224011.45540799998</v>
      </c>
      <c r="F83" s="64"/>
      <c r="G83" s="64"/>
      <c r="H83" s="64">
        <f>SUM(H122:H149)+SUM(H151:H178)*18+SUM(H180:H191,H195:H207)*4</f>
        <v>338040.59983199975</v>
      </c>
      <c r="I83" s="64"/>
      <c r="J83" s="64"/>
    </row>
    <row r="84" spans="1:11" x14ac:dyDescent="0.25">
      <c r="A84" s="133" t="s">
        <v>16</v>
      </c>
      <c r="B84" s="133"/>
      <c r="C84" s="133"/>
      <c r="D84" s="133"/>
      <c r="E84" s="133"/>
      <c r="F84" s="133"/>
      <c r="G84" s="133"/>
      <c r="H84" s="133"/>
      <c r="I84" s="133"/>
      <c r="J84" s="133"/>
    </row>
    <row r="85" spans="1:11" x14ac:dyDescent="0.25">
      <c r="A85" s="133" t="s">
        <v>9</v>
      </c>
      <c r="B85" s="133"/>
      <c r="C85" s="133"/>
      <c r="D85" s="133"/>
      <c r="E85" s="133"/>
      <c r="F85" s="133"/>
      <c r="G85" s="133"/>
      <c r="H85" s="134"/>
      <c r="I85" s="133"/>
      <c r="J85" s="133"/>
    </row>
    <row r="86" spans="1:11" ht="45" customHeight="1" x14ac:dyDescent="0.25">
      <c r="A86" s="175" t="s">
        <v>112</v>
      </c>
      <c r="B86" s="66" t="s">
        <v>2</v>
      </c>
      <c r="C86" s="66" t="s">
        <v>110</v>
      </c>
      <c r="D86" s="66" t="s">
        <v>213</v>
      </c>
      <c r="E86" s="66" t="s">
        <v>186</v>
      </c>
      <c r="F86" s="66" t="s">
        <v>83</v>
      </c>
      <c r="G86" s="67" t="s">
        <v>84</v>
      </c>
      <c r="H86" s="1" t="s">
        <v>113</v>
      </c>
      <c r="I86" s="65" t="s">
        <v>17</v>
      </c>
      <c r="J86" s="66"/>
    </row>
    <row r="87" spans="1:11" ht="15.75" customHeight="1" x14ac:dyDescent="0.25">
      <c r="A87" s="175"/>
      <c r="B87" s="66"/>
      <c r="C87" s="66"/>
      <c r="D87" s="66"/>
      <c r="E87" s="66"/>
      <c r="F87" s="66"/>
      <c r="G87" s="67"/>
      <c r="H87" s="5">
        <v>0.55000000000000004</v>
      </c>
      <c r="I87" s="65"/>
      <c r="J87" s="66"/>
    </row>
    <row r="88" spans="1:11" ht="15.75" customHeight="1" x14ac:dyDescent="0.25">
      <c r="A88" s="70" t="s">
        <v>189</v>
      </c>
      <c r="B88" s="70"/>
      <c r="C88" s="70"/>
      <c r="D88" s="70"/>
      <c r="E88" s="70"/>
      <c r="F88" s="70"/>
      <c r="G88" s="70"/>
      <c r="H88" s="71"/>
      <c r="I88" s="70"/>
      <c r="J88" s="70"/>
    </row>
    <row r="89" spans="1:11" ht="15.75" customHeight="1" x14ac:dyDescent="0.25">
      <c r="A89" s="72" t="s">
        <v>187</v>
      </c>
      <c r="B89" s="73"/>
      <c r="C89" s="73"/>
      <c r="D89" s="73"/>
      <c r="E89" s="73"/>
      <c r="F89" s="73"/>
      <c r="G89" s="73"/>
      <c r="H89" s="73"/>
      <c r="I89" s="73"/>
      <c r="J89" s="74"/>
    </row>
    <row r="90" spans="1:11" x14ac:dyDescent="0.25">
      <c r="A90" s="70" t="s">
        <v>185</v>
      </c>
      <c r="B90" s="70"/>
      <c r="C90" s="70"/>
      <c r="D90" s="70"/>
      <c r="E90" s="70"/>
      <c r="F90" s="70"/>
      <c r="G90" s="70"/>
      <c r="H90" s="71"/>
      <c r="I90" s="70"/>
      <c r="J90" s="70"/>
    </row>
    <row r="91" spans="1:11" ht="15" customHeight="1" x14ac:dyDescent="0.25">
      <c r="A91" s="21">
        <v>1</v>
      </c>
      <c r="B91" s="2" t="s">
        <v>109</v>
      </c>
      <c r="C91" s="32">
        <f>(2.7*6.51-0.9*0.75)*10.764</f>
        <v>181.93312800000001</v>
      </c>
      <c r="D91" s="33">
        <f>(2.7*1.2)*10.764</f>
        <v>34.875360000000001</v>
      </c>
      <c r="E91" s="32">
        <f>(2.7*2.5-0.9*0.75)*10.764</f>
        <v>65.391300000000001</v>
      </c>
      <c r="F91" s="2">
        <f>C91+D91+E91</f>
        <v>282.19978800000001</v>
      </c>
      <c r="G91" s="2">
        <v>0</v>
      </c>
      <c r="H91" s="2">
        <f>F91*(($H$87)+1)+G91</f>
        <v>437.40967140000004</v>
      </c>
      <c r="I91" s="122" t="str">
        <f>A90</f>
        <v>Ground Floor for Entrance Lobby, Meter Room, Society Office, Letter Box, Commercial &amp; Parking</v>
      </c>
      <c r="J91" s="123"/>
      <c r="K91" s="33">
        <v>10.763999999999999</v>
      </c>
    </row>
    <row r="92" spans="1:11" ht="15" customHeight="1" x14ac:dyDescent="0.25">
      <c r="A92" s="21">
        <v>2</v>
      </c>
      <c r="B92" s="2" t="s">
        <v>109</v>
      </c>
      <c r="C92" s="32">
        <f>(3.52*6.43-1.5*1.4)*10.764</f>
        <v>221.02367039999999</v>
      </c>
      <c r="D92" s="33">
        <f>(3.52*1.2)*10.764</f>
        <v>45.467135999999996</v>
      </c>
      <c r="E92" s="32">
        <f>(3.52*2.5-1.5*1.4)*10.764</f>
        <v>72.118800000000007</v>
      </c>
      <c r="F92" s="2">
        <f t="shared" ref="F92:F95" si="0">C92+D92+E92</f>
        <v>338.60960640000002</v>
      </c>
      <c r="G92" s="2">
        <v>0</v>
      </c>
      <c r="H92" s="2">
        <f t="shared" ref="H92:H95" si="1">F92*(($H$87)+1)+G92</f>
        <v>524.84488992000001</v>
      </c>
      <c r="I92" s="124"/>
      <c r="J92" s="125"/>
    </row>
    <row r="93" spans="1:11" ht="15" customHeight="1" x14ac:dyDescent="0.25">
      <c r="A93" s="21">
        <v>3</v>
      </c>
      <c r="B93" s="2" t="s">
        <v>109</v>
      </c>
      <c r="C93" s="32">
        <f>(2.7*6.43-0.9*1.4)*10.764</f>
        <v>173.31116399999999</v>
      </c>
      <c r="D93" s="33">
        <f>(2.7*1.2)*10.764</f>
        <v>34.875360000000001</v>
      </c>
      <c r="E93" s="32">
        <f>(2.7*2.5-0.9*1.4)*10.764</f>
        <v>59.094360000000002</v>
      </c>
      <c r="F93" s="2">
        <f t="shared" si="0"/>
        <v>267.28088400000001</v>
      </c>
      <c r="G93" s="2">
        <v>0</v>
      </c>
      <c r="H93" s="2">
        <f t="shared" si="1"/>
        <v>414.28537020000005</v>
      </c>
      <c r="I93" s="124"/>
      <c r="J93" s="125"/>
    </row>
    <row r="94" spans="1:11" ht="15" customHeight="1" x14ac:dyDescent="0.25">
      <c r="A94" s="21">
        <v>4</v>
      </c>
      <c r="B94" s="2" t="s">
        <v>109</v>
      </c>
      <c r="C94" s="32">
        <f>(2.52*6.43-1.55*1.4)*10.764</f>
        <v>151.05767039999998</v>
      </c>
      <c r="D94" s="33">
        <f>(2.52*1.2)*10.764</f>
        <v>32.550336000000001</v>
      </c>
      <c r="E94" s="32">
        <f>(2.52*2.5-1.55*1.4)*10.764</f>
        <v>44.455319999999993</v>
      </c>
      <c r="F94" s="2">
        <f t="shared" si="0"/>
        <v>228.06332639999997</v>
      </c>
      <c r="G94" s="2">
        <v>0</v>
      </c>
      <c r="H94" s="2">
        <f t="shared" si="1"/>
        <v>353.49815591999993</v>
      </c>
      <c r="I94" s="124"/>
      <c r="J94" s="125"/>
    </row>
    <row r="95" spans="1:11" ht="15" customHeight="1" x14ac:dyDescent="0.25">
      <c r="A95" s="21">
        <v>5</v>
      </c>
      <c r="B95" s="2" t="s">
        <v>109</v>
      </c>
      <c r="C95" s="32">
        <f>(2.7*6.43-0.9*1.4)*10.764</f>
        <v>173.31116399999999</v>
      </c>
      <c r="D95" s="33">
        <f>(2.7*1.2)*10.764</f>
        <v>34.875360000000001</v>
      </c>
      <c r="E95" s="32">
        <f>(2.7*2.5-0.9*1.4)*10.764</f>
        <v>59.094360000000002</v>
      </c>
      <c r="F95" s="2">
        <f t="shared" si="0"/>
        <v>267.28088400000001</v>
      </c>
      <c r="G95" s="2">
        <v>0</v>
      </c>
      <c r="H95" s="2">
        <f t="shared" si="1"/>
        <v>414.28537020000005</v>
      </c>
      <c r="I95" s="124"/>
      <c r="J95" s="125"/>
    </row>
    <row r="96" spans="1:11" ht="15" customHeight="1" x14ac:dyDescent="0.25">
      <c r="A96" s="21">
        <v>6</v>
      </c>
      <c r="B96" s="2" t="s">
        <v>109</v>
      </c>
      <c r="C96" s="32">
        <f>(3.52*6.43)*10.764</f>
        <v>243.62807039999996</v>
      </c>
      <c r="D96" s="33">
        <f>(3.52*1.2)*10.764</f>
        <v>45.467135999999996</v>
      </c>
      <c r="E96" s="32">
        <f>(3.52*2.5)*10.764</f>
        <v>94.723200000000006</v>
      </c>
      <c r="F96" s="2">
        <f>C96+D96+E96</f>
        <v>383.81840639999996</v>
      </c>
      <c r="G96" s="2">
        <v>0</v>
      </c>
      <c r="H96" s="2">
        <f>F96*(($H$87)+1)+G96</f>
        <v>594.91852991999997</v>
      </c>
      <c r="I96" s="124"/>
      <c r="J96" s="125"/>
    </row>
    <row r="97" spans="1:10" x14ac:dyDescent="0.25">
      <c r="A97" s="21">
        <v>7</v>
      </c>
      <c r="B97" s="2" t="s">
        <v>109</v>
      </c>
      <c r="C97" s="32">
        <f>(2.7*6.43-1.4*1.4)*10.764</f>
        <v>165.776364</v>
      </c>
      <c r="D97" s="33">
        <f>(2.7*1.2)*10.764</f>
        <v>34.875360000000001</v>
      </c>
      <c r="E97" s="32">
        <f>(2.7*2.5-1.4*1.4)*10.764</f>
        <v>51.559559999999998</v>
      </c>
      <c r="F97" s="2">
        <f t="shared" ref="F97:F100" si="2">C97+D97+E97</f>
        <v>252.21128400000001</v>
      </c>
      <c r="G97" s="2">
        <v>0</v>
      </c>
      <c r="H97" s="2">
        <f t="shared" ref="H97:H100" si="3">F97*(($H$87)+1)+G97</f>
        <v>390.92749020000002</v>
      </c>
      <c r="I97" s="124"/>
      <c r="J97" s="125"/>
    </row>
    <row r="98" spans="1:10" ht="15.75" customHeight="1" x14ac:dyDescent="0.25">
      <c r="A98" s="21">
        <v>8</v>
      </c>
      <c r="B98" s="2" t="s">
        <v>109</v>
      </c>
      <c r="C98" s="32">
        <f>(2.52*6.43)*10.764</f>
        <v>174.41555039999997</v>
      </c>
      <c r="D98" s="33">
        <f>(2.52*1.2)*10.764</f>
        <v>32.550336000000001</v>
      </c>
      <c r="E98" s="32">
        <f>(2.52*2.5)*10.764</f>
        <v>67.813199999999995</v>
      </c>
      <c r="F98" s="2">
        <f t="shared" si="2"/>
        <v>274.77908639999998</v>
      </c>
      <c r="G98" s="2">
        <v>0</v>
      </c>
      <c r="H98" s="2">
        <f t="shared" si="3"/>
        <v>425.90758391999998</v>
      </c>
      <c r="I98" s="124"/>
      <c r="J98" s="125"/>
    </row>
    <row r="99" spans="1:10" x14ac:dyDescent="0.25">
      <c r="A99" s="21">
        <v>9</v>
      </c>
      <c r="B99" s="2" t="s">
        <v>109</v>
      </c>
      <c r="C99" s="32">
        <f>(2.7*6.43-1.5*1.4)*10.764</f>
        <v>164.26940400000001</v>
      </c>
      <c r="D99" s="33">
        <f>(2.7*1.2)*10.764</f>
        <v>34.875360000000001</v>
      </c>
      <c r="E99" s="32">
        <f>(2.7*2.5-1.5*1.4)*10.764</f>
        <v>50.052599999999998</v>
      </c>
      <c r="F99" s="2">
        <f t="shared" si="2"/>
        <v>249.19736399999999</v>
      </c>
      <c r="G99" s="2">
        <v>0</v>
      </c>
      <c r="H99" s="2">
        <f t="shared" si="3"/>
        <v>386.25591420000001</v>
      </c>
      <c r="I99" s="124"/>
      <c r="J99" s="125"/>
    </row>
    <row r="100" spans="1:10" x14ac:dyDescent="0.25">
      <c r="A100" s="21">
        <v>10</v>
      </c>
      <c r="B100" s="2" t="s">
        <v>109</v>
      </c>
      <c r="C100" s="32">
        <f>(2.7*6.43-0.9*1.4)*10.764</f>
        <v>173.31116399999999</v>
      </c>
      <c r="D100" s="33">
        <f>(2.7*1.2)*10.764</f>
        <v>34.875360000000001</v>
      </c>
      <c r="E100" s="32">
        <f>(2.7*2.5-0.9*1.4)*10.764</f>
        <v>59.094360000000002</v>
      </c>
      <c r="F100" s="2">
        <f t="shared" si="2"/>
        <v>267.28088400000001</v>
      </c>
      <c r="G100" s="2">
        <v>0</v>
      </c>
      <c r="H100" s="2">
        <f t="shared" si="3"/>
        <v>414.28537020000005</v>
      </c>
      <c r="I100" s="124"/>
      <c r="J100" s="125"/>
    </row>
    <row r="101" spans="1:10" x14ac:dyDescent="0.25">
      <c r="A101" s="21">
        <v>11</v>
      </c>
      <c r="B101" s="2" t="s">
        <v>109</v>
      </c>
      <c r="C101" s="32">
        <f>(2.52*6.43)*10.764</f>
        <v>174.41555039999997</v>
      </c>
      <c r="D101" s="33">
        <f>(2.52*1.2)*10.764</f>
        <v>32.550336000000001</v>
      </c>
      <c r="E101" s="32">
        <f>(2.5*2.52)*10.764</f>
        <v>67.813199999999995</v>
      </c>
      <c r="F101" s="2">
        <f>C101+D101+E101</f>
        <v>274.77908639999998</v>
      </c>
      <c r="G101" s="2">
        <v>0</v>
      </c>
      <c r="H101" s="2">
        <f>F101*(($H$87)+1)+G101</f>
        <v>425.90758391999998</v>
      </c>
      <c r="I101" s="124"/>
      <c r="J101" s="125"/>
    </row>
    <row r="102" spans="1:10" x14ac:dyDescent="0.25">
      <c r="A102" s="21">
        <v>12</v>
      </c>
      <c r="B102" s="2" t="s">
        <v>109</v>
      </c>
      <c r="C102" s="32">
        <f>(2.7*6.43-1.5*1.4)*10.764</f>
        <v>164.26940400000001</v>
      </c>
      <c r="D102" s="33">
        <f>(2.7*1.2)*10.764</f>
        <v>34.875360000000001</v>
      </c>
      <c r="E102" s="32">
        <f>(2.7*2.5-1.5*1.4)*10.764</f>
        <v>50.052599999999998</v>
      </c>
      <c r="F102" s="2">
        <f t="shared" ref="F102:F105" si="4">C102+D102+E102</f>
        <v>249.19736399999999</v>
      </c>
      <c r="G102" s="2">
        <v>0</v>
      </c>
      <c r="H102" s="2">
        <f t="shared" ref="H102:H105" si="5">F102*(($H$87)+1)+G102</f>
        <v>386.25591420000001</v>
      </c>
      <c r="I102" s="124"/>
      <c r="J102" s="125"/>
    </row>
    <row r="103" spans="1:10" x14ac:dyDescent="0.25">
      <c r="A103" s="21">
        <v>13</v>
      </c>
      <c r="B103" s="2" t="s">
        <v>109</v>
      </c>
      <c r="C103" s="32">
        <f>(3.52*6.43)*10.764</f>
        <v>243.62807039999996</v>
      </c>
      <c r="D103" s="33">
        <f>(3.52*1.2)*10.764</f>
        <v>45.467135999999996</v>
      </c>
      <c r="E103" s="32">
        <f>(3.52*2.5)*10.764</f>
        <v>94.723200000000006</v>
      </c>
      <c r="F103" s="2">
        <f t="shared" si="4"/>
        <v>383.81840639999996</v>
      </c>
      <c r="G103" s="2">
        <v>0</v>
      </c>
      <c r="H103" s="2">
        <f t="shared" si="5"/>
        <v>594.91852991999997</v>
      </c>
      <c r="I103" s="124"/>
      <c r="J103" s="125"/>
    </row>
    <row r="104" spans="1:10" x14ac:dyDescent="0.25">
      <c r="A104" s="21">
        <v>14</v>
      </c>
      <c r="B104" s="2" t="s">
        <v>109</v>
      </c>
      <c r="C104" s="32">
        <f>(2.7*6.43-1.5*1.4)*10.764</f>
        <v>164.26940400000001</v>
      </c>
      <c r="D104" s="33">
        <f>(2.7*1.2)*10.764</f>
        <v>34.875360000000001</v>
      </c>
      <c r="E104" s="32">
        <f>(2.7*2.5-1.5*1.4)*10.764</f>
        <v>50.052599999999998</v>
      </c>
      <c r="F104" s="2">
        <f t="shared" si="4"/>
        <v>249.19736399999999</v>
      </c>
      <c r="G104" s="2">
        <v>0</v>
      </c>
      <c r="H104" s="2">
        <f t="shared" si="5"/>
        <v>386.25591420000001</v>
      </c>
      <c r="I104" s="124"/>
      <c r="J104" s="125"/>
    </row>
    <row r="105" spans="1:10" x14ac:dyDescent="0.25">
      <c r="A105" s="21">
        <v>15</v>
      </c>
      <c r="B105" s="2" t="s">
        <v>109</v>
      </c>
      <c r="C105" s="32">
        <f>(2.52*6.43)*10.764</f>
        <v>174.41555039999997</v>
      </c>
      <c r="D105" s="33">
        <f>(2.52*1.2)*10.764</f>
        <v>32.550336000000001</v>
      </c>
      <c r="E105" s="32">
        <f>(2.5*2.52)*10.764</f>
        <v>67.813199999999995</v>
      </c>
      <c r="F105" s="2">
        <f t="shared" si="4"/>
        <v>274.77908639999998</v>
      </c>
      <c r="G105" s="2">
        <v>0</v>
      </c>
      <c r="H105" s="2">
        <f t="shared" si="5"/>
        <v>425.90758391999998</v>
      </c>
      <c r="I105" s="124"/>
      <c r="J105" s="125"/>
    </row>
    <row r="106" spans="1:10" x14ac:dyDescent="0.25">
      <c r="A106" s="21">
        <v>16</v>
      </c>
      <c r="B106" s="2" t="s">
        <v>109</v>
      </c>
      <c r="C106" s="32">
        <f>(2.7*6.43-0.9*1.4)*10.764</f>
        <v>173.31116399999999</v>
      </c>
      <c r="D106" s="33">
        <f>(2.7*1.2)*10.764</f>
        <v>34.875360000000001</v>
      </c>
      <c r="E106" s="32">
        <f>(2.7*2.5-0.9*1.4)*10.764</f>
        <v>59.094360000000002</v>
      </c>
      <c r="F106" s="2">
        <f>C106+D106+E106</f>
        <v>267.28088400000001</v>
      </c>
      <c r="G106" s="2">
        <v>0</v>
      </c>
      <c r="H106" s="2">
        <f>F106*(($H$87)+1)+G106</f>
        <v>414.28537020000005</v>
      </c>
      <c r="I106" s="124"/>
      <c r="J106" s="125"/>
    </row>
    <row r="107" spans="1:10" x14ac:dyDescent="0.25">
      <c r="A107" s="21">
        <v>17</v>
      </c>
      <c r="B107" s="2" t="s">
        <v>109</v>
      </c>
      <c r="C107" s="32">
        <f>(3.52*6.43)*10.764</f>
        <v>243.62807039999996</v>
      </c>
      <c r="D107" s="33">
        <f>(3.52*1.2)*10.764</f>
        <v>45.467135999999996</v>
      </c>
      <c r="E107" s="32">
        <f>(3.52*2.5)*10.764</f>
        <v>94.723200000000006</v>
      </c>
      <c r="F107" s="2">
        <f t="shared" ref="F107:F110" si="6">C107+D107+E107</f>
        <v>383.81840639999996</v>
      </c>
      <c r="G107" s="2">
        <v>0</v>
      </c>
      <c r="H107" s="2">
        <f t="shared" ref="H107:H110" si="7">F107*(($H$87)+1)+G107</f>
        <v>594.91852991999997</v>
      </c>
      <c r="I107" s="124"/>
      <c r="J107" s="125"/>
    </row>
    <row r="108" spans="1:10" ht="15" customHeight="1" x14ac:dyDescent="0.25">
      <c r="A108" s="21">
        <v>18</v>
      </c>
      <c r="B108" s="2" t="s">
        <v>109</v>
      </c>
      <c r="C108" s="32">
        <f>(2.7*6.51-1.5*1.4)*10.764</f>
        <v>166.59442800000002</v>
      </c>
      <c r="D108" s="33">
        <f>(2.7*1.2)*10.764</f>
        <v>34.875360000000001</v>
      </c>
      <c r="E108" s="32">
        <f>(2.5*2.7-1.5*1.4)*10.764</f>
        <v>50.052599999999998</v>
      </c>
      <c r="F108" s="2">
        <f t="shared" si="6"/>
        <v>251.52238800000003</v>
      </c>
      <c r="G108" s="2">
        <v>0</v>
      </c>
      <c r="H108" s="2">
        <f t="shared" si="7"/>
        <v>389.85970140000006</v>
      </c>
      <c r="I108" s="124"/>
      <c r="J108" s="125"/>
    </row>
    <row r="109" spans="1:10" ht="15" customHeight="1" x14ac:dyDescent="0.25">
      <c r="A109" s="21">
        <v>19</v>
      </c>
      <c r="B109" s="2" t="s">
        <v>109</v>
      </c>
      <c r="C109" s="32">
        <f>(5.85*2.7)*10.764</f>
        <v>170.01738</v>
      </c>
      <c r="D109" s="33">
        <f>(1.2*2.7)*10.764</f>
        <v>34.875360000000001</v>
      </c>
      <c r="E109" s="32">
        <f>(2*2.7)*10.764</f>
        <v>58.125599999999999</v>
      </c>
      <c r="F109" s="2">
        <f t="shared" si="6"/>
        <v>263.01834000000002</v>
      </c>
      <c r="G109" s="2">
        <v>0</v>
      </c>
      <c r="H109" s="2">
        <f t="shared" si="7"/>
        <v>407.67842700000006</v>
      </c>
      <c r="I109" s="124"/>
      <c r="J109" s="125"/>
    </row>
    <row r="110" spans="1:10" x14ac:dyDescent="0.25">
      <c r="A110" s="21">
        <v>20</v>
      </c>
      <c r="B110" s="2" t="s">
        <v>109</v>
      </c>
      <c r="C110" s="32">
        <f>(5.85*3.52)*10.764</f>
        <v>221.65228799999997</v>
      </c>
      <c r="D110" s="33">
        <f>(1.2*3.52)*10.764</f>
        <v>45.467135999999996</v>
      </c>
      <c r="E110" s="32">
        <f>(2*3.52)*10.764</f>
        <v>75.778559999999999</v>
      </c>
      <c r="F110" s="2">
        <f t="shared" si="6"/>
        <v>342.89798399999995</v>
      </c>
      <c r="G110" s="2">
        <v>0</v>
      </c>
      <c r="H110" s="2">
        <f t="shared" si="7"/>
        <v>531.49187519999998</v>
      </c>
      <c r="I110" s="124"/>
      <c r="J110" s="125"/>
    </row>
    <row r="111" spans="1:10" x14ac:dyDescent="0.25">
      <c r="A111" s="21">
        <v>21</v>
      </c>
      <c r="B111" s="2" t="s">
        <v>109</v>
      </c>
      <c r="C111" s="32">
        <f>(5.85*2.7-0.9*0.9)*10.764</f>
        <v>161.29853999999997</v>
      </c>
      <c r="D111" s="33">
        <f>(1.2*2.7)*10.764</f>
        <v>34.875360000000001</v>
      </c>
      <c r="E111" s="32">
        <f>(2*2.7-0.9*0.9)*10.764</f>
        <v>49.406759999999998</v>
      </c>
      <c r="F111" s="2">
        <f>C111+D111+E111</f>
        <v>245.58065999999997</v>
      </c>
      <c r="G111" s="2">
        <v>0</v>
      </c>
      <c r="H111" s="2">
        <f>F111*(($H$87)+1)+G111</f>
        <v>380.65002299999998</v>
      </c>
      <c r="I111" s="124"/>
      <c r="J111" s="125"/>
    </row>
    <row r="112" spans="1:10" x14ac:dyDescent="0.25">
      <c r="A112" s="21">
        <v>22</v>
      </c>
      <c r="B112" s="2" t="s">
        <v>109</v>
      </c>
      <c r="C112" s="32">
        <f>(5.85*2.52)*10.764</f>
        <v>158.68288799999999</v>
      </c>
      <c r="D112" s="33">
        <f>(1.2*2.52)*10.764</f>
        <v>32.550336000000001</v>
      </c>
      <c r="E112" s="32">
        <f>(2*2.52)*10.764</f>
        <v>54.25056</v>
      </c>
      <c r="F112" s="2">
        <f t="shared" ref="F112:F115" si="8">C112+D112+E112</f>
        <v>245.48378400000001</v>
      </c>
      <c r="G112" s="2">
        <v>0</v>
      </c>
      <c r="H112" s="2">
        <f t="shared" ref="H112:H115" si="9">F112*(($H$87)+1)+G112</f>
        <v>380.49986520000004</v>
      </c>
      <c r="I112" s="124"/>
      <c r="J112" s="125"/>
    </row>
    <row r="113" spans="1:18" x14ac:dyDescent="0.25">
      <c r="A113" s="21">
        <v>23</v>
      </c>
      <c r="B113" s="2" t="s">
        <v>109</v>
      </c>
      <c r="C113" s="32">
        <f>(5.85*2.7-0.9*1.6)*10.764</f>
        <v>154.51722000000001</v>
      </c>
      <c r="D113" s="33">
        <f>(1.2*2.7)*10.764</f>
        <v>34.875360000000001</v>
      </c>
      <c r="E113" s="32">
        <f>(2*2.7-1.6*0.9)*10.764</f>
        <v>42.625439999999998</v>
      </c>
      <c r="F113" s="2">
        <f t="shared" si="8"/>
        <v>232.01802000000001</v>
      </c>
      <c r="G113" s="2">
        <v>0</v>
      </c>
      <c r="H113" s="2">
        <f t="shared" si="9"/>
        <v>359.62793100000005</v>
      </c>
      <c r="I113" s="124"/>
      <c r="J113" s="125"/>
    </row>
    <row r="114" spans="1:18" x14ac:dyDescent="0.25">
      <c r="A114" s="21">
        <v>24</v>
      </c>
      <c r="B114" s="2" t="s">
        <v>109</v>
      </c>
      <c r="C114" s="32">
        <f>(5.85*3.52-0.9*1.6)*10.764</f>
        <v>206.15212799999995</v>
      </c>
      <c r="D114" s="33">
        <f>(1.2*3.52)*10.764</f>
        <v>45.467135999999996</v>
      </c>
      <c r="E114" s="32">
        <f>(2*3.52-1.6*0.9)*10.764</f>
        <v>60.278399999999991</v>
      </c>
      <c r="F114" s="2">
        <f t="shared" si="8"/>
        <v>311.89766399999991</v>
      </c>
      <c r="G114" s="2">
        <v>0</v>
      </c>
      <c r="H114" s="2">
        <f t="shared" si="9"/>
        <v>483.44137919999986</v>
      </c>
      <c r="I114" s="124"/>
      <c r="J114" s="125"/>
    </row>
    <row r="115" spans="1:18" x14ac:dyDescent="0.25">
      <c r="A115" s="21">
        <v>25</v>
      </c>
      <c r="B115" s="2" t="s">
        <v>109</v>
      </c>
      <c r="C115" s="32">
        <f>(5.85*2.7-0.9*1.1)*10.764</f>
        <v>159.36102</v>
      </c>
      <c r="D115" s="33">
        <f>(1.2*2.7)*10.764</f>
        <v>34.875360000000001</v>
      </c>
      <c r="E115" s="32">
        <f>(2*2.7-1.1*0.9)*10.764</f>
        <v>47.469239999999999</v>
      </c>
      <c r="F115" s="2">
        <f t="shared" si="8"/>
        <v>241.70562000000001</v>
      </c>
      <c r="G115" s="2">
        <v>0</v>
      </c>
      <c r="H115" s="2">
        <f t="shared" si="9"/>
        <v>374.64371100000005</v>
      </c>
      <c r="I115" s="126"/>
      <c r="J115" s="127"/>
    </row>
    <row r="116" spans="1:18" ht="15" customHeight="1" x14ac:dyDescent="0.25">
      <c r="A116" s="173"/>
      <c r="B116" s="173"/>
      <c r="C116" s="173"/>
      <c r="D116" s="173"/>
      <c r="E116" s="173"/>
      <c r="F116" s="173"/>
      <c r="G116" s="173"/>
      <c r="H116" s="174"/>
      <c r="I116" s="173"/>
      <c r="J116" s="173"/>
      <c r="P116" s="6" t="str">
        <f ca="1">Q116&amp;" to "&amp;R116</f>
        <v>1001 to 1001</v>
      </c>
      <c r="Q116" s="6">
        <f ca="1">(SUMPRODUCT(MID(0&amp;(LEFT(A131,SUM(LEN(A131)-LEN(SUBSTITUTE(A131,{"0","1","2"},""))))), LARGE(INDEX(ISNUMBER(--MID((LEFT(A131,SUM(LEN(A131)-LEN(SUBSTITUTE(A131,{"0","1","2"},""))))), ROW(INDIRECT("1:"&amp;LEN((LEFT(A131,SUM(LEN(A131)-LEN(SUBSTITUTE(A131,{"0","1","2"},"")))))))), 1)) * ROW(INDIRECT("1:"&amp;LEN((LEFT(A131,SUM(LEN(A131)-LEN(SUBSTITUTE(A131,{"0","1","2"},"")))))))), 0), ROW(INDIRECT("1:"&amp;LEN((LEFT(A131,SUM(LEN(A131)-LEN(SUBSTITUTE(A131,{"0","1","2"},"")))))))))+1, 1) * 10^ROW(INDIRECT("1:"&amp;LEN((LEFT(A131,SUM(LEN(A131)-LEN(SUBSTITUTE(A131,{"0","1","2"},""))))))))/10))*100+1</f>
        <v>1001</v>
      </c>
      <c r="R116" s="6">
        <f ca="1">(SUMPRODUCT(MID(0&amp;(--TRIM(RIGHT(SUBSTITUTE(LEFT(A131,_xlfn.AGGREGATE(16,6,FIND({0,1,2,3,4,5,6,7,8,9},A131,ROW(INDIRECT("1:"&amp;LEN(A131)))),1))," ",REPT(" ",LEN(A131))),LEN(A131)))), LARGE(INDEX(ISNUMBER(--MID((--TRIM(RIGHT(SUBSTITUTE(LEFT(A131,_xlfn.AGGREGATE(16,6,FIND({0,1,2,3,4,5,6,7,8,9},A131,ROW(INDIRECT("1:"&amp;LEN(A131)))),1))," ",REPT(" ",LEN(A131))),LEN(A131)))), ROW(INDIRECT("1:"&amp;LEN((--TRIM(RIGHT(SUBSTITUTE(LEFT(A131,_xlfn.AGGREGATE(16,6,FIND({0,1,2,3,4,5,6,7,8,9},A131,ROW(INDIRECT("1:"&amp;LEN(A131)))),1))," ",REPT(" ",LEN(A131))),LEN(A131))))))), 1)) * ROW(INDIRECT("1:"&amp;LEN((--TRIM(RIGHT(SUBSTITUTE(LEFT(A131,_xlfn.AGGREGATE(16,6,FIND({0,1,2,3,4,5,6,7,8,9},A131,ROW(INDIRECT("1:"&amp;LEN(A131)))),1))," ",REPT(" ",LEN(A131))),LEN(A131))))))), 0), ROW(INDIRECT("1:"&amp;LEN((--TRIM(RIGHT(SUBSTITUTE(LEFT(A131,_xlfn.AGGREGATE(16,6,FIND({0,1,2,3,4,5,6,7,8,9},A131,ROW(INDIRECT("1:"&amp;LEN(A131)))),1))," ",REPT(" ",LEN(A131))),LEN(A131))))))))+1, 1) * 10^ROW(INDIRECT("1:"&amp;LEN((--TRIM(RIGHT(SUBSTITUTE(LEFT(A131,_xlfn.AGGREGATE(16,6,FIND({0,1,2,3,4,5,6,7,8,9},A131,ROW(INDIRECT("1:"&amp;LEN(A131)))),1))," ",REPT(" ",LEN(A131))),LEN(A131)))))))/10))*100+1</f>
        <v>1001</v>
      </c>
    </row>
    <row r="117" spans="1:18" ht="45.75" customHeight="1" x14ac:dyDescent="0.25">
      <c r="A117" s="175" t="s">
        <v>112</v>
      </c>
      <c r="B117" s="176" t="s">
        <v>2</v>
      </c>
      <c r="C117" s="66" t="s">
        <v>214</v>
      </c>
      <c r="D117" s="66" t="s">
        <v>191</v>
      </c>
      <c r="E117" s="66" t="s">
        <v>192</v>
      </c>
      <c r="F117" s="66" t="s">
        <v>83</v>
      </c>
      <c r="G117" s="67" t="s">
        <v>84</v>
      </c>
      <c r="H117" s="1" t="s">
        <v>113</v>
      </c>
      <c r="I117" s="65" t="s">
        <v>17</v>
      </c>
      <c r="J117" s="66"/>
      <c r="P117" s="6" t="str">
        <f t="shared" ref="P117:P126" ca="1" si="10">Q117&amp;" to "&amp;R117</f>
        <v>1002 to 1002</v>
      </c>
      <c r="Q117" s="6">
        <f ca="1">Q116+1</f>
        <v>1002</v>
      </c>
      <c r="R117" s="6">
        <f ca="1">R116+1</f>
        <v>1002</v>
      </c>
    </row>
    <row r="118" spans="1:18" x14ac:dyDescent="0.25">
      <c r="A118" s="175"/>
      <c r="B118" s="176"/>
      <c r="C118" s="66"/>
      <c r="D118" s="66"/>
      <c r="E118" s="66"/>
      <c r="F118" s="66"/>
      <c r="G118" s="67"/>
      <c r="H118" s="5">
        <v>0.5</v>
      </c>
      <c r="I118" s="65"/>
      <c r="J118" s="66"/>
      <c r="P118" s="6" t="str">
        <f t="shared" ca="1" si="10"/>
        <v>1003 to 1003</v>
      </c>
      <c r="Q118" s="6">
        <f t="shared" ref="Q118:Q126" ca="1" si="11">Q117+1</f>
        <v>1003</v>
      </c>
      <c r="R118" s="6">
        <f t="shared" ref="R118:R126" ca="1" si="12">R117+1</f>
        <v>1003</v>
      </c>
    </row>
    <row r="119" spans="1:18" x14ac:dyDescent="0.25">
      <c r="A119" s="70" t="s">
        <v>189</v>
      </c>
      <c r="B119" s="70"/>
      <c r="C119" s="70"/>
      <c r="D119" s="70"/>
      <c r="E119" s="70"/>
      <c r="F119" s="70"/>
      <c r="G119" s="70"/>
      <c r="H119" s="71"/>
      <c r="I119" s="70"/>
      <c r="J119" s="70"/>
    </row>
    <row r="120" spans="1:18" ht="15" customHeight="1" x14ac:dyDescent="0.25">
      <c r="A120" s="72" t="s">
        <v>187</v>
      </c>
      <c r="B120" s="73"/>
      <c r="C120" s="73"/>
      <c r="D120" s="73"/>
      <c r="E120" s="73"/>
      <c r="F120" s="73"/>
      <c r="G120" s="73"/>
      <c r="H120" s="73"/>
      <c r="I120" s="73"/>
      <c r="J120" s="74"/>
      <c r="K120" s="33">
        <v>10.763999999999999</v>
      </c>
      <c r="P120" s="6" t="str">
        <f t="shared" ca="1" si="10"/>
        <v>1004 to 1004</v>
      </c>
      <c r="Q120" s="6">
        <f ca="1">Q118+1</f>
        <v>1004</v>
      </c>
      <c r="R120" s="6">
        <f ca="1">R118+1</f>
        <v>1004</v>
      </c>
    </row>
    <row r="121" spans="1:18" ht="15" customHeight="1" x14ac:dyDescent="0.25">
      <c r="A121" s="75" t="s">
        <v>188</v>
      </c>
      <c r="B121" s="76"/>
      <c r="C121" s="76"/>
      <c r="D121" s="76"/>
      <c r="E121" s="76"/>
      <c r="F121" s="76"/>
      <c r="G121" s="76"/>
      <c r="H121" s="76"/>
      <c r="I121" s="76"/>
      <c r="J121" s="77"/>
      <c r="P121" s="6" t="str">
        <f t="shared" ca="1" si="10"/>
        <v>1005 to 1005</v>
      </c>
      <c r="Q121" s="6">
        <f t="shared" ca="1" si="11"/>
        <v>1005</v>
      </c>
      <c r="R121" s="6">
        <f t="shared" ca="1" si="12"/>
        <v>1005</v>
      </c>
    </row>
    <row r="122" spans="1:18" ht="15" customHeight="1" x14ac:dyDescent="0.25">
      <c r="A122" s="20">
        <v>1</v>
      </c>
      <c r="B122" s="2" t="s">
        <v>190</v>
      </c>
      <c r="C122" s="32">
        <f>(23.69+0.45*1.68)*10.764</f>
        <v>263.13674400000002</v>
      </c>
      <c r="D122" s="33">
        <f t="shared" ref="D122:D149" si="13">(1.8*1.5)*10.764</f>
        <v>29.062799999999999</v>
      </c>
      <c r="E122" s="33">
        <f>(1.2*1.8+3.16*0.75)*10.764</f>
        <v>48.760919999999999</v>
      </c>
      <c r="F122" s="2">
        <f t="shared" ref="F122:F130" si="14">C122+D122+E122</f>
        <v>340.960464</v>
      </c>
      <c r="G122" s="32">
        <f>(5*1.2)*10.764</f>
        <v>64.584000000000003</v>
      </c>
      <c r="H122" s="2">
        <f t="shared" ref="H122:H130" si="15">F122*(($H$118)+1)+(IF(G122&lt;101,G122,IF(G122&lt;201,G122/2,IF(G122&lt;=301,G122/3,G122/4))))</f>
        <v>576.02469599999995</v>
      </c>
      <c r="I122" s="122" t="str">
        <f>A121</f>
        <v>1st Floor For Residential</v>
      </c>
      <c r="J122" s="123"/>
      <c r="K122" s="34">
        <f>2.44*2.9+1.68*2.24+2.42*3.13+0.95*1.22+1.14*1.84+0.9*2.1</f>
        <v>23.560399999999998</v>
      </c>
      <c r="P122" s="6" t="str">
        <f t="shared" ca="1" si="10"/>
        <v>1006 to 1006</v>
      </c>
      <c r="Q122" s="6">
        <f t="shared" ca="1" si="11"/>
        <v>1006</v>
      </c>
      <c r="R122" s="6">
        <f t="shared" ca="1" si="12"/>
        <v>1006</v>
      </c>
    </row>
    <row r="123" spans="1:18" ht="15" customHeight="1" x14ac:dyDescent="0.25">
      <c r="A123" s="20">
        <f t="shared" ref="A123:A149" si="16">A122+1</f>
        <v>2</v>
      </c>
      <c r="B123" s="30" t="s">
        <v>190</v>
      </c>
      <c r="C123" s="32">
        <f t="shared" ref="C123:C149" si="17">(23.69+0.45*1.68)*10.764</f>
        <v>263.13674400000002</v>
      </c>
      <c r="D123" s="33">
        <f t="shared" si="13"/>
        <v>29.062799999999999</v>
      </c>
      <c r="E123" s="33">
        <f>(3.16*0.75+1.2*1.2)*10.764</f>
        <v>41.010839999999995</v>
      </c>
      <c r="F123" s="2">
        <f t="shared" si="14"/>
        <v>333.21038399999998</v>
      </c>
      <c r="G123" s="32">
        <f>(3.5*1.8)*10.764</f>
        <v>67.813199999999995</v>
      </c>
      <c r="H123" s="2">
        <f t="shared" si="15"/>
        <v>567.62877600000002</v>
      </c>
      <c r="I123" s="124"/>
      <c r="J123" s="125"/>
      <c r="P123" s="6" t="str">
        <f t="shared" ca="1" si="10"/>
        <v>1007 to 1007</v>
      </c>
      <c r="Q123" s="6">
        <f t="shared" ca="1" si="11"/>
        <v>1007</v>
      </c>
      <c r="R123" s="6">
        <f t="shared" ca="1" si="12"/>
        <v>1007</v>
      </c>
    </row>
    <row r="124" spans="1:18" ht="15" customHeight="1" x14ac:dyDescent="0.25">
      <c r="A124" s="20">
        <f t="shared" si="16"/>
        <v>3</v>
      </c>
      <c r="B124" s="30" t="s">
        <v>190</v>
      </c>
      <c r="C124" s="32">
        <f t="shared" si="17"/>
        <v>263.13674400000002</v>
      </c>
      <c r="D124" s="33">
        <f t="shared" si="13"/>
        <v>29.062799999999999</v>
      </c>
      <c r="E124" s="33">
        <f>(3.16*0.75)*10.764</f>
        <v>25.510680000000001</v>
      </c>
      <c r="F124" s="2">
        <f t="shared" si="14"/>
        <v>317.71022399999998</v>
      </c>
      <c r="G124" s="32">
        <f>(3.5*1.8+5*1.2+1.4*2.7)*10.764</f>
        <v>173.08512000000002</v>
      </c>
      <c r="H124" s="2">
        <f t="shared" si="15"/>
        <v>563.10789599999998</v>
      </c>
      <c r="I124" s="124"/>
      <c r="J124" s="125"/>
      <c r="P124" s="6" t="str">
        <f t="shared" ca="1" si="10"/>
        <v>1008 to 1008</v>
      </c>
      <c r="Q124" s="6">
        <f t="shared" ca="1" si="11"/>
        <v>1008</v>
      </c>
      <c r="R124" s="6">
        <f t="shared" ca="1" si="12"/>
        <v>1008</v>
      </c>
    </row>
    <row r="125" spans="1:18" ht="15" customHeight="1" x14ac:dyDescent="0.25">
      <c r="A125" s="20">
        <f t="shared" si="16"/>
        <v>4</v>
      </c>
      <c r="B125" s="30" t="s">
        <v>190</v>
      </c>
      <c r="C125" s="32">
        <f t="shared" si="17"/>
        <v>263.13674400000002</v>
      </c>
      <c r="D125" s="33">
        <f t="shared" si="13"/>
        <v>29.062799999999999</v>
      </c>
      <c r="E125" s="33">
        <f>(3.16*0.75)*10.764</f>
        <v>25.510680000000001</v>
      </c>
      <c r="F125" s="2">
        <f t="shared" si="14"/>
        <v>317.71022399999998</v>
      </c>
      <c r="G125" s="32">
        <f>(5*1.2+3.5*1.8)*10.764</f>
        <v>132.3972</v>
      </c>
      <c r="H125" s="2">
        <f t="shared" si="15"/>
        <v>542.76393600000006</v>
      </c>
      <c r="I125" s="124"/>
      <c r="J125" s="125"/>
      <c r="K125" s="118"/>
      <c r="L125" s="118"/>
      <c r="P125" s="6" t="str">
        <f t="shared" ca="1" si="10"/>
        <v>1009 to 1009</v>
      </c>
      <c r="Q125" s="6">
        <f t="shared" ca="1" si="11"/>
        <v>1009</v>
      </c>
      <c r="R125" s="6">
        <f t="shared" ca="1" si="12"/>
        <v>1009</v>
      </c>
    </row>
    <row r="126" spans="1:18" ht="15" customHeight="1" x14ac:dyDescent="0.25">
      <c r="A126" s="20">
        <f t="shared" si="16"/>
        <v>5</v>
      </c>
      <c r="B126" s="30" t="s">
        <v>190</v>
      </c>
      <c r="C126" s="32">
        <f t="shared" si="17"/>
        <v>263.13674400000002</v>
      </c>
      <c r="D126" s="33">
        <f t="shared" si="13"/>
        <v>29.062799999999999</v>
      </c>
      <c r="E126" s="33">
        <f>(1.2*1.2+3.16*0.75)*10.764</f>
        <v>41.010839999999995</v>
      </c>
      <c r="F126" s="2">
        <f t="shared" si="14"/>
        <v>333.21038399999998</v>
      </c>
      <c r="G126" s="35">
        <f>(5*1.2)*10.764</f>
        <v>64.584000000000003</v>
      </c>
      <c r="H126" s="2">
        <f t="shared" si="15"/>
        <v>564.39957600000002</v>
      </c>
      <c r="I126" s="124"/>
      <c r="J126" s="125"/>
      <c r="P126" s="6" t="str">
        <f t="shared" ca="1" si="10"/>
        <v>1010 to 1010</v>
      </c>
      <c r="Q126" s="6">
        <f t="shared" ca="1" si="11"/>
        <v>1010</v>
      </c>
      <c r="R126" s="6">
        <f t="shared" ca="1" si="12"/>
        <v>1010</v>
      </c>
    </row>
    <row r="127" spans="1:18" x14ac:dyDescent="0.25">
      <c r="A127" s="20">
        <f t="shared" si="16"/>
        <v>6</v>
      </c>
      <c r="B127" s="30" t="s">
        <v>190</v>
      </c>
      <c r="C127" s="32">
        <f t="shared" si="17"/>
        <v>263.13674400000002</v>
      </c>
      <c r="D127" s="33">
        <f t="shared" si="13"/>
        <v>29.062799999999999</v>
      </c>
      <c r="E127" s="33">
        <f>(1.2*1.2)*10.764</f>
        <v>15.500159999999999</v>
      </c>
      <c r="F127" s="2">
        <f t="shared" si="14"/>
        <v>307.699704</v>
      </c>
      <c r="G127" s="37">
        <f>(1.2*5+1.8*2.7)*10.764</f>
        <v>116.89703999999999</v>
      </c>
      <c r="H127" s="2">
        <f t="shared" si="15"/>
        <v>519.99807599999997</v>
      </c>
      <c r="I127" s="124"/>
      <c r="J127" s="125"/>
    </row>
    <row r="128" spans="1:18" ht="15" customHeight="1" x14ac:dyDescent="0.25">
      <c r="A128" s="20">
        <f t="shared" si="16"/>
        <v>7</v>
      </c>
      <c r="B128" s="30" t="s">
        <v>190</v>
      </c>
      <c r="C128" s="32">
        <f t="shared" si="17"/>
        <v>263.13674400000002</v>
      </c>
      <c r="D128" s="33">
        <f t="shared" si="13"/>
        <v>29.062799999999999</v>
      </c>
      <c r="E128" s="33">
        <v>0</v>
      </c>
      <c r="F128" s="2">
        <f t="shared" si="14"/>
        <v>292.199544</v>
      </c>
      <c r="G128" s="35">
        <f>(3.5*1.8+3.3*1.2+1.2*5)*10.764</f>
        <v>175.02263999999997</v>
      </c>
      <c r="H128" s="2">
        <f t="shared" si="15"/>
        <v>525.81063599999993</v>
      </c>
      <c r="I128" s="124"/>
      <c r="J128" s="125"/>
      <c r="P128" s="6" t="str">
        <f ca="1">Q128&amp;" &amp; "&amp;R128</f>
        <v>2101 &amp; 2101</v>
      </c>
      <c r="Q128" s="6">
        <f ca="1">(SUMPRODUCT(MID(0&amp;(LEFT(A142,SUM(LEN(A142)-LEN(SUBSTITUTE(A142,{"0","1","2"},""))))), LARGE(INDEX(ISNUMBER(--MID((LEFT(A142,SUM(LEN(A142)-LEN(SUBSTITUTE(A142,{"0","1","2"},""))))), ROW(INDIRECT("1:"&amp;LEN((LEFT(A142,SUM(LEN(A142)-LEN(SUBSTITUTE(A142,{"0","1","2"},"")))))))), 1)) * ROW(INDIRECT("1:"&amp;LEN((LEFT(A142,SUM(LEN(A142)-LEN(SUBSTITUTE(A142,{"0","1","2"},"")))))))), 0), ROW(INDIRECT("1:"&amp;LEN((LEFT(A142,SUM(LEN(A142)-LEN(SUBSTITUTE(A142,{"0","1","2"},"")))))))))+1, 1) * 10^ROW(INDIRECT("1:"&amp;LEN((LEFT(A142,SUM(LEN(A142)-LEN(SUBSTITUTE(A142,{"0","1","2"},""))))))))/10))*100+1</f>
        <v>2101</v>
      </c>
      <c r="R128" s="6">
        <f ca="1">(SUMPRODUCT(MID(0&amp;(--TRIM(RIGHT(SUBSTITUTE(LEFT(A142,_xlfn.AGGREGATE(16,6,FIND({0,1,2,3,4,5,6,7,8,9},A142,ROW(INDIRECT("1:"&amp;LEN(A142)))),1))," ",REPT(" ",LEN(A142))),LEN(A142)))), LARGE(INDEX(ISNUMBER(--MID((--TRIM(RIGHT(SUBSTITUTE(LEFT(A142,_xlfn.AGGREGATE(16,6,FIND({0,1,2,3,4,5,6,7,8,9},A142,ROW(INDIRECT("1:"&amp;LEN(A142)))),1))," ",REPT(" ",LEN(A142))),LEN(A142)))), ROW(INDIRECT("1:"&amp;LEN((--TRIM(RIGHT(SUBSTITUTE(LEFT(A142,_xlfn.AGGREGATE(16,6,FIND({0,1,2,3,4,5,6,7,8,9},A142,ROW(INDIRECT("1:"&amp;LEN(A142)))),1))," ",REPT(" ",LEN(A142))),LEN(A142))))))), 1)) * ROW(INDIRECT("1:"&amp;LEN((--TRIM(RIGHT(SUBSTITUTE(LEFT(A142,_xlfn.AGGREGATE(16,6,FIND({0,1,2,3,4,5,6,7,8,9},A142,ROW(INDIRECT("1:"&amp;LEN(A142)))),1))," ",REPT(" ",LEN(A142))),LEN(A142))))))), 0), ROW(INDIRECT("1:"&amp;LEN((--TRIM(RIGHT(SUBSTITUTE(LEFT(A142,_xlfn.AGGREGATE(16,6,FIND({0,1,2,3,4,5,6,7,8,9},A142,ROW(INDIRECT("1:"&amp;LEN(A142)))),1))," ",REPT(" ",LEN(A142))),LEN(A142))))))))+1, 1) * 10^ROW(INDIRECT("1:"&amp;LEN((--TRIM(RIGHT(SUBSTITUTE(LEFT(A142,_xlfn.AGGREGATE(16,6,FIND({0,1,2,3,4,5,6,7,8,9},A142,ROW(INDIRECT("1:"&amp;LEN(A142)))),1))," ",REPT(" ",LEN(A142))),LEN(A142)))))))/10))*100+1</f>
        <v>2101</v>
      </c>
    </row>
    <row r="129" spans="1:18" ht="15" customHeight="1" x14ac:dyDescent="0.25">
      <c r="A129" s="20">
        <f t="shared" si="16"/>
        <v>8</v>
      </c>
      <c r="B129" s="2" t="s">
        <v>190</v>
      </c>
      <c r="C129" s="32">
        <f t="shared" si="17"/>
        <v>263.13674400000002</v>
      </c>
      <c r="D129" s="33">
        <f t="shared" si="13"/>
        <v>29.062799999999999</v>
      </c>
      <c r="E129" s="33">
        <f>(3.16*0.75)*10.764</f>
        <v>25.510680000000001</v>
      </c>
      <c r="F129" s="2">
        <f t="shared" si="14"/>
        <v>317.71022399999998</v>
      </c>
      <c r="G129" s="35">
        <f>(1.2*4.6+1.8*1.2+2.2*1+1.4*1)*10.764</f>
        <v>121.41791999999998</v>
      </c>
      <c r="H129" s="2">
        <f t="shared" si="15"/>
        <v>537.27429600000005</v>
      </c>
      <c r="I129" s="124"/>
      <c r="J129" s="125"/>
      <c r="P129" s="6" t="str">
        <f t="shared" ref="P129:P137" ca="1" si="18">Q129&amp;" &amp; "&amp;R129</f>
        <v>2102 &amp; 2102</v>
      </c>
      <c r="Q129" s="6">
        <f ca="1">Q128+1</f>
        <v>2102</v>
      </c>
      <c r="R129" s="6">
        <f ca="1">R128+1</f>
        <v>2102</v>
      </c>
    </row>
    <row r="130" spans="1:18" ht="15" customHeight="1" x14ac:dyDescent="0.25">
      <c r="A130" s="20">
        <f t="shared" si="16"/>
        <v>9</v>
      </c>
      <c r="B130" s="2" t="s">
        <v>190</v>
      </c>
      <c r="C130" s="32">
        <f t="shared" si="17"/>
        <v>263.13674400000002</v>
      </c>
      <c r="D130" s="33">
        <f t="shared" si="13"/>
        <v>29.062799999999999</v>
      </c>
      <c r="E130" s="33">
        <v>0</v>
      </c>
      <c r="F130" s="2">
        <f t="shared" si="14"/>
        <v>292.199544</v>
      </c>
      <c r="G130" s="35">
        <f>(3.5*1.8+3.3*1.2+1.2*5)*10.764</f>
        <v>175.02263999999997</v>
      </c>
      <c r="H130" s="2">
        <f t="shared" si="15"/>
        <v>525.81063599999993</v>
      </c>
      <c r="I130" s="124"/>
      <c r="J130" s="125"/>
      <c r="P130" s="6" t="str">
        <f t="shared" ca="1" si="18"/>
        <v>2103 &amp; 2103</v>
      </c>
      <c r="Q130" s="6">
        <f t="shared" ref="Q130:Q137" ca="1" si="19">Q129+1</f>
        <v>2103</v>
      </c>
      <c r="R130" s="6">
        <f t="shared" ref="R130:R137" ca="1" si="20">R129+1</f>
        <v>2103</v>
      </c>
    </row>
    <row r="131" spans="1:18" ht="15" customHeight="1" x14ac:dyDescent="0.25">
      <c r="A131" s="20">
        <f t="shared" si="16"/>
        <v>10</v>
      </c>
      <c r="B131" s="2" t="s">
        <v>190</v>
      </c>
      <c r="C131" s="32">
        <f t="shared" si="17"/>
        <v>263.13674400000002</v>
      </c>
      <c r="D131" s="33">
        <f t="shared" si="13"/>
        <v>29.062799999999999</v>
      </c>
      <c r="E131" s="33">
        <v>0</v>
      </c>
      <c r="F131" s="2">
        <f t="shared" ref="F131" si="21">C131+D131+E131</f>
        <v>292.199544</v>
      </c>
      <c r="G131" s="35">
        <f>(3.5*1.8+3.3*1.2+1.2*5)*10.764</f>
        <v>175.02263999999997</v>
      </c>
      <c r="H131" s="2">
        <f t="shared" ref="H131" si="22">F131*(($H$118)+1)+(IF(G131&lt;101,G131,IF(G131&lt;201,G131/2,IF(G131&lt;=301,G131/3,G131/4))))</f>
        <v>525.81063599999993</v>
      </c>
      <c r="I131" s="124"/>
      <c r="J131" s="125"/>
      <c r="P131" s="6" t="str">
        <f t="shared" ca="1" si="18"/>
        <v>2104 &amp; 2104</v>
      </c>
      <c r="Q131" s="6">
        <f t="shared" ca="1" si="19"/>
        <v>2104</v>
      </c>
      <c r="R131" s="6">
        <f t="shared" ca="1" si="20"/>
        <v>2104</v>
      </c>
    </row>
    <row r="132" spans="1:18" ht="15" customHeight="1" x14ac:dyDescent="0.25">
      <c r="A132" s="20">
        <v>11</v>
      </c>
      <c r="B132" s="2" t="s">
        <v>190</v>
      </c>
      <c r="C132" s="32">
        <f t="shared" si="17"/>
        <v>263.13674400000002</v>
      </c>
      <c r="D132" s="33">
        <f t="shared" si="13"/>
        <v>29.062799999999999</v>
      </c>
      <c r="E132" s="33">
        <f>(3.16*0.75)*10.764</f>
        <v>25.510680000000001</v>
      </c>
      <c r="F132" s="2">
        <f t="shared" ref="F132:F141" si="23">C132+D132+E132</f>
        <v>317.71022399999998</v>
      </c>
      <c r="G132" s="35">
        <f>(1.2*4.6+1.8*3.2)*10.764</f>
        <v>121.41792000000001</v>
      </c>
      <c r="H132" s="2">
        <f t="shared" ref="H132:H139" si="24">F132*(($H$118)+1)+(IF(G132&lt;101,G132,IF(G132&lt;201,G132/2,IF(G132&lt;=301,G132/3,G132/4))))</f>
        <v>537.27429600000005</v>
      </c>
      <c r="I132" s="124"/>
      <c r="J132" s="125"/>
      <c r="P132" s="6" t="str">
        <f t="shared" ca="1" si="18"/>
        <v>2105 &amp; 2105</v>
      </c>
      <c r="Q132" s="6">
        <f t="shared" ca="1" si="19"/>
        <v>2105</v>
      </c>
      <c r="R132" s="6">
        <f t="shared" ca="1" si="20"/>
        <v>2105</v>
      </c>
    </row>
    <row r="133" spans="1:18" ht="15" customHeight="1" x14ac:dyDescent="0.25">
      <c r="A133" s="20">
        <f t="shared" si="16"/>
        <v>12</v>
      </c>
      <c r="B133" s="2" t="s">
        <v>190</v>
      </c>
      <c r="C133" s="32">
        <f t="shared" si="17"/>
        <v>263.13674400000002</v>
      </c>
      <c r="D133" s="33">
        <f t="shared" si="13"/>
        <v>29.062799999999999</v>
      </c>
      <c r="E133" s="33">
        <f>(3.16*0.75+1.2*1.2)*10.764</f>
        <v>41.010839999999995</v>
      </c>
      <c r="F133" s="2">
        <f t="shared" si="23"/>
        <v>333.21038399999998</v>
      </c>
      <c r="G133" s="32">
        <f>(3.2*1.8)*10.764</f>
        <v>62.000640000000004</v>
      </c>
      <c r="H133" s="2">
        <f t="shared" si="24"/>
        <v>561.81621599999994</v>
      </c>
      <c r="I133" s="124"/>
      <c r="J133" s="125"/>
      <c r="P133" s="6" t="str">
        <f t="shared" ca="1" si="18"/>
        <v>2106 &amp; 2106</v>
      </c>
      <c r="Q133" s="6">
        <f t="shared" ca="1" si="19"/>
        <v>2106</v>
      </c>
      <c r="R133" s="6">
        <f t="shared" ca="1" si="20"/>
        <v>2106</v>
      </c>
    </row>
    <row r="134" spans="1:18" ht="15" customHeight="1" x14ac:dyDescent="0.25">
      <c r="A134" s="20">
        <f t="shared" si="16"/>
        <v>13</v>
      </c>
      <c r="B134" s="2" t="s">
        <v>190</v>
      </c>
      <c r="C134" s="32">
        <f t="shared" si="17"/>
        <v>263.13674400000002</v>
      </c>
      <c r="D134" s="33">
        <f t="shared" si="13"/>
        <v>29.062799999999999</v>
      </c>
      <c r="E134" s="33">
        <v>0</v>
      </c>
      <c r="F134" s="2">
        <f t="shared" si="23"/>
        <v>292.199544</v>
      </c>
      <c r="G134" s="32">
        <f>(1.8*2.5+4.5*1.2+4.2*1.2)*10.764</f>
        <v>160.81415999999996</v>
      </c>
      <c r="H134" s="2">
        <f t="shared" si="24"/>
        <v>518.70639599999993</v>
      </c>
      <c r="I134" s="124"/>
      <c r="J134" s="125"/>
      <c r="P134" s="6" t="str">
        <f t="shared" ca="1" si="18"/>
        <v>2107 &amp; 2107</v>
      </c>
      <c r="Q134" s="6">
        <f t="shared" ca="1" si="19"/>
        <v>2107</v>
      </c>
      <c r="R134" s="6">
        <f t="shared" ca="1" si="20"/>
        <v>2107</v>
      </c>
    </row>
    <row r="135" spans="1:18" ht="15" customHeight="1" x14ac:dyDescent="0.25">
      <c r="A135" s="20">
        <f t="shared" si="16"/>
        <v>14</v>
      </c>
      <c r="B135" s="2" t="s">
        <v>190</v>
      </c>
      <c r="C135" s="32">
        <f t="shared" si="17"/>
        <v>263.13674400000002</v>
      </c>
      <c r="D135" s="33">
        <f t="shared" si="13"/>
        <v>29.062799999999999</v>
      </c>
      <c r="E135" s="33">
        <v>0</v>
      </c>
      <c r="F135" s="2">
        <f t="shared" si="23"/>
        <v>292.199544</v>
      </c>
      <c r="G135" s="32">
        <f>(1.8*2.5+4.5*1.2+4.2*1.2)*10.764</f>
        <v>160.81415999999996</v>
      </c>
      <c r="H135" s="2">
        <f t="shared" si="24"/>
        <v>518.70639599999993</v>
      </c>
      <c r="I135" s="124"/>
      <c r="J135" s="125"/>
      <c r="P135" s="6" t="str">
        <f t="shared" ca="1" si="18"/>
        <v>2108 &amp; 2108</v>
      </c>
      <c r="Q135" s="6">
        <f t="shared" ca="1" si="19"/>
        <v>2108</v>
      </c>
      <c r="R135" s="6">
        <f t="shared" ca="1" si="20"/>
        <v>2108</v>
      </c>
    </row>
    <row r="136" spans="1:18" ht="15" customHeight="1" x14ac:dyDescent="0.25">
      <c r="A136" s="20">
        <f t="shared" si="16"/>
        <v>15</v>
      </c>
      <c r="B136" s="2" t="s">
        <v>190</v>
      </c>
      <c r="C136" s="32">
        <f t="shared" si="17"/>
        <v>263.13674400000002</v>
      </c>
      <c r="D136" s="33">
        <f t="shared" si="13"/>
        <v>29.062799999999999</v>
      </c>
      <c r="E136" s="33">
        <f>(3.16*0.75+1.2*1.2)*10.764</f>
        <v>41.010839999999995</v>
      </c>
      <c r="F136" s="2">
        <f t="shared" si="23"/>
        <v>333.21038399999998</v>
      </c>
      <c r="G136" s="32">
        <f>(3.2*1.8)*10.764</f>
        <v>62.000640000000004</v>
      </c>
      <c r="H136" s="2">
        <f t="shared" si="24"/>
        <v>561.81621599999994</v>
      </c>
      <c r="I136" s="124"/>
      <c r="J136" s="125"/>
      <c r="K136" s="118"/>
      <c r="L136" s="118"/>
      <c r="P136" s="6" t="str">
        <f t="shared" ca="1" si="18"/>
        <v>2109 &amp; 2109</v>
      </c>
      <c r="Q136" s="6">
        <f t="shared" ca="1" si="19"/>
        <v>2109</v>
      </c>
      <c r="R136" s="6">
        <f t="shared" ca="1" si="20"/>
        <v>2109</v>
      </c>
    </row>
    <row r="137" spans="1:18" ht="15" customHeight="1" x14ac:dyDescent="0.25">
      <c r="A137" s="20">
        <f t="shared" si="16"/>
        <v>16</v>
      </c>
      <c r="B137" s="2" t="s">
        <v>190</v>
      </c>
      <c r="C137" s="32">
        <f t="shared" si="17"/>
        <v>263.13674400000002</v>
      </c>
      <c r="D137" s="33">
        <f t="shared" si="13"/>
        <v>29.062799999999999</v>
      </c>
      <c r="E137" s="33">
        <f>(3.16*0.75)*10.764</f>
        <v>25.510680000000001</v>
      </c>
      <c r="F137" s="2">
        <f t="shared" si="23"/>
        <v>317.71022399999998</v>
      </c>
      <c r="G137" s="35">
        <f>(4.6*1.2+3.2*1.8)*10.764</f>
        <v>121.41792000000001</v>
      </c>
      <c r="H137" s="2">
        <f t="shared" si="24"/>
        <v>537.27429600000005</v>
      </c>
      <c r="I137" s="124"/>
      <c r="J137" s="125"/>
      <c r="P137" s="6" t="str">
        <f t="shared" ca="1" si="18"/>
        <v>2110 &amp; 2110</v>
      </c>
      <c r="Q137" s="6">
        <f t="shared" ca="1" si="19"/>
        <v>2110</v>
      </c>
      <c r="R137" s="6">
        <f t="shared" ca="1" si="20"/>
        <v>2110</v>
      </c>
    </row>
    <row r="138" spans="1:18" x14ac:dyDescent="0.25">
      <c r="A138" s="20">
        <f t="shared" si="16"/>
        <v>17</v>
      </c>
      <c r="B138" s="2" t="s">
        <v>190</v>
      </c>
      <c r="C138" s="32">
        <f t="shared" si="17"/>
        <v>263.13674400000002</v>
      </c>
      <c r="D138" s="33">
        <f t="shared" si="13"/>
        <v>29.062799999999999</v>
      </c>
      <c r="E138" s="33">
        <v>0</v>
      </c>
      <c r="F138" s="2">
        <f t="shared" si="23"/>
        <v>292.199544</v>
      </c>
      <c r="G138" s="35">
        <f>(3.5*1.8+3.3*1.2+1.2*5)*10.764</f>
        <v>175.02263999999997</v>
      </c>
      <c r="H138" s="2">
        <f>F138*(($H$118)+1)+(IF(G138&lt;101,G138,IF(G138&lt;201,G138/2,IF(G138&lt;=301,G138/3,G138/4))))</f>
        <v>525.81063599999993</v>
      </c>
      <c r="I138" s="124"/>
      <c r="J138" s="125"/>
    </row>
    <row r="139" spans="1:18" ht="15" customHeight="1" x14ac:dyDescent="0.25">
      <c r="A139" s="20">
        <f t="shared" si="16"/>
        <v>18</v>
      </c>
      <c r="B139" s="2" t="s">
        <v>190</v>
      </c>
      <c r="C139" s="32">
        <f t="shared" si="17"/>
        <v>263.13674400000002</v>
      </c>
      <c r="D139" s="33">
        <f t="shared" si="13"/>
        <v>29.062799999999999</v>
      </c>
      <c r="E139" s="33">
        <v>0</v>
      </c>
      <c r="F139" s="2">
        <f t="shared" si="23"/>
        <v>292.199544</v>
      </c>
      <c r="G139" s="35">
        <f>(3.5*1.8+3.3*1.2+1.2*5)*10.764</f>
        <v>175.02263999999997</v>
      </c>
      <c r="H139" s="2">
        <f t="shared" si="24"/>
        <v>525.81063599999993</v>
      </c>
      <c r="I139" s="124"/>
      <c r="J139" s="125"/>
      <c r="P139" s="6" t="str">
        <f ca="1">Q139&amp;",..,"&amp;R139</f>
        <v>301,..,301</v>
      </c>
      <c r="Q139" s="6">
        <f ca="1">(SUMPRODUCT(MID(0&amp;(LEFT(A153,SUM(LEN(A153)-LEN(SUBSTITUTE(A153,{"0","1","2","3"},""))))), LARGE(INDEX(ISNUMBER(--MID((LEFT(A153,SUM(LEN(A153)-LEN(SUBSTITUTE(A153,{"0","1","2","3"},""))))), ROW(INDIRECT("1:"&amp;LEN((LEFT(A153,SUM(LEN(A153)-LEN(SUBSTITUTE(A153,{"0","1","2","3"},"")))))))), 1)) * ROW(INDIRECT("1:"&amp;LEN((LEFT(A153,SUM(LEN(A153)-LEN(SUBSTITUTE(A153,{"0","1","2","3"},"")))))))), 0), ROW(INDIRECT("1:"&amp;LEN((LEFT(A153,SUM(LEN(A153)-LEN(SUBSTITUTE(A153,{"0","1","2","3"},"")))))))))+1, 1) * 10^ROW(INDIRECT("1:"&amp;LEN((LEFT(A153,SUM(LEN(A153)-LEN(SUBSTITUTE(A153,{"0","1","2","3"},""))))))))/10))*100+1</f>
        <v>301</v>
      </c>
      <c r="R139" s="6">
        <f ca="1">(SUMPRODUCT(MID(0&amp;(--TRIM(RIGHT(SUBSTITUTE(LEFT(A153,_xlfn.AGGREGATE(16,6,FIND({0,1,2,3,4,5,6,7,8,9},A153,ROW(INDIRECT("1:"&amp;LEN(A153)))),1))," ",REPT(" ",LEN(A153))),LEN(A153)))), LARGE(INDEX(ISNUMBER(--MID((--TRIM(RIGHT(SUBSTITUTE(LEFT(A153,_xlfn.AGGREGATE(16,6,FIND({0,1,2,3,4,5,6,7,8,9},A153,ROW(INDIRECT("1:"&amp;LEN(A153)))),1))," ",REPT(" ",LEN(A153))),LEN(A153)))), ROW(INDIRECT("1:"&amp;LEN((--TRIM(RIGHT(SUBSTITUTE(LEFT(A153,_xlfn.AGGREGATE(16,6,FIND({0,1,2,3,4,5,6,7,8,9},A153,ROW(INDIRECT("1:"&amp;LEN(A153)))),1))," ",REPT(" ",LEN(A153))),LEN(A153))))))), 1)) * ROW(INDIRECT("1:"&amp;LEN((--TRIM(RIGHT(SUBSTITUTE(LEFT(A153,_xlfn.AGGREGATE(16,6,FIND({0,1,2,3,4,5,6,7,8,9},A153,ROW(INDIRECT("1:"&amp;LEN(A153)))),1))," ",REPT(" ",LEN(A153))),LEN(A153))))))), 0), ROW(INDIRECT("1:"&amp;LEN((--TRIM(RIGHT(SUBSTITUTE(LEFT(A153,_xlfn.AGGREGATE(16,6,FIND({0,1,2,3,4,5,6,7,8,9},A153,ROW(INDIRECT("1:"&amp;LEN(A153)))),1))," ",REPT(" ",LEN(A153))),LEN(A153))))))))+1, 1) * 10^ROW(INDIRECT("1:"&amp;LEN((--TRIM(RIGHT(SUBSTITUTE(LEFT(A153,_xlfn.AGGREGATE(16,6,FIND({0,1,2,3,4,5,6,7,8,9},A153,ROW(INDIRECT("1:"&amp;LEN(A153)))),1))," ",REPT(" ",LEN(A153))),LEN(A153)))))))/10))*100+1</f>
        <v>301</v>
      </c>
    </row>
    <row r="140" spans="1:18" ht="15" customHeight="1" x14ac:dyDescent="0.25">
      <c r="A140" s="20">
        <f t="shared" si="16"/>
        <v>19</v>
      </c>
      <c r="B140" s="2" t="s">
        <v>190</v>
      </c>
      <c r="C140" s="32">
        <f t="shared" si="17"/>
        <v>263.13674400000002</v>
      </c>
      <c r="D140" s="33">
        <f t="shared" si="13"/>
        <v>29.062799999999999</v>
      </c>
      <c r="E140" s="33">
        <f>(3.16*0.75)*10.764</f>
        <v>25.510680000000001</v>
      </c>
      <c r="F140" s="2">
        <f t="shared" si="23"/>
        <v>317.71022399999998</v>
      </c>
      <c r="G140" s="35">
        <f>(1.2*4.6+1.8*1.2+2.2*1+1.4*1)*10.764</f>
        <v>121.41791999999998</v>
      </c>
      <c r="H140" s="2">
        <f>F140*(($H$118)+1)+(IF(G140&lt;101,G140,IF(G140&lt;201,G140/2,IF(G140&lt;=301,G140/3,G140/4))))</f>
        <v>537.27429600000005</v>
      </c>
      <c r="I140" s="124"/>
      <c r="J140" s="125"/>
      <c r="P140" s="6" t="str">
        <f t="shared" ref="P140:P148" ca="1" si="25">Q140&amp;",..,"&amp;R140</f>
        <v>302,..,302</v>
      </c>
      <c r="Q140" s="6">
        <f ca="1">Q139+1</f>
        <v>302</v>
      </c>
      <c r="R140" s="6">
        <f ca="1">R139+1</f>
        <v>302</v>
      </c>
    </row>
    <row r="141" spans="1:18" ht="15" customHeight="1" x14ac:dyDescent="0.25">
      <c r="A141" s="20">
        <f t="shared" si="16"/>
        <v>20</v>
      </c>
      <c r="B141" s="2" t="s">
        <v>190</v>
      </c>
      <c r="C141" s="32">
        <f t="shared" si="17"/>
        <v>263.13674400000002</v>
      </c>
      <c r="D141" s="33">
        <f t="shared" si="13"/>
        <v>29.062799999999999</v>
      </c>
      <c r="E141" s="33">
        <v>0</v>
      </c>
      <c r="F141" s="2">
        <f t="shared" si="23"/>
        <v>292.199544</v>
      </c>
      <c r="G141" s="35">
        <f>(3.5*1.8+3.3*1.2+1.2*5)*10.764</f>
        <v>175.02263999999997</v>
      </c>
      <c r="H141" s="2">
        <f>F141*(($H$118)+1)+(IF(G141&lt;101,G141,IF(G141&lt;201,G141/2,IF(G141&lt;=301,G141/3,G141/4))))</f>
        <v>525.81063599999993</v>
      </c>
      <c r="I141" s="124"/>
      <c r="J141" s="125"/>
      <c r="P141" s="6" t="str">
        <f t="shared" ca="1" si="25"/>
        <v>303,..,303</v>
      </c>
      <c r="Q141" s="6">
        <f t="shared" ref="Q141:Q148" ca="1" si="26">Q140+1</f>
        <v>303</v>
      </c>
      <c r="R141" s="6">
        <f t="shared" ref="R141:R148" ca="1" si="27">R140+1</f>
        <v>303</v>
      </c>
    </row>
    <row r="142" spans="1:18" ht="15" customHeight="1" x14ac:dyDescent="0.25">
      <c r="A142" s="20">
        <f t="shared" si="16"/>
        <v>21</v>
      </c>
      <c r="B142" s="2" t="s">
        <v>190</v>
      </c>
      <c r="C142" s="32">
        <f t="shared" si="17"/>
        <v>263.13674400000002</v>
      </c>
      <c r="D142" s="33">
        <f t="shared" si="13"/>
        <v>29.062799999999999</v>
      </c>
      <c r="E142" s="33">
        <f>(1.2*1.2)*10.764</f>
        <v>15.500159999999999</v>
      </c>
      <c r="F142" s="2">
        <f t="shared" ref="F142" si="28">C142+D142+E142</f>
        <v>307.699704</v>
      </c>
      <c r="G142" s="35">
        <f>(1.2*5+1.8*2.7)*10.764</f>
        <v>116.89703999999999</v>
      </c>
      <c r="H142" s="2">
        <f>F142*(($H$118)+1)+(IF(G142&lt;101,G142,IF(G142&lt;201,G142/2,IF(G142&lt;=301,G142/3,G142/4))))</f>
        <v>519.99807599999997</v>
      </c>
      <c r="I142" s="124"/>
      <c r="J142" s="125"/>
      <c r="P142" s="6" t="str">
        <f t="shared" ca="1" si="25"/>
        <v>304,..,304</v>
      </c>
      <c r="Q142" s="6">
        <f t="shared" ca="1" si="26"/>
        <v>304</v>
      </c>
      <c r="R142" s="6">
        <f t="shared" ca="1" si="27"/>
        <v>304</v>
      </c>
    </row>
    <row r="143" spans="1:18" ht="15" customHeight="1" x14ac:dyDescent="0.25">
      <c r="A143" s="20">
        <f t="shared" si="16"/>
        <v>22</v>
      </c>
      <c r="B143" s="2" t="s">
        <v>190</v>
      </c>
      <c r="C143" s="32">
        <f t="shared" si="17"/>
        <v>263.13674400000002</v>
      </c>
      <c r="D143" s="33">
        <f t="shared" si="13"/>
        <v>29.062799999999999</v>
      </c>
      <c r="E143" s="33">
        <f>(1.2*1.2)*10.764</f>
        <v>15.500159999999999</v>
      </c>
      <c r="F143" s="2">
        <f t="shared" ref="F143:F152" si="29">C143+D143+E143</f>
        <v>307.699704</v>
      </c>
      <c r="G143" s="35">
        <f>(1.2*4.6+1.8*2.7)*10.764</f>
        <v>111.73031999999998</v>
      </c>
      <c r="H143" s="2">
        <f t="shared" ref="H143:H152" si="30">F143*(($H$118)+1)+(IF(G143&lt;101,G143,IF(G143&lt;201,G143/2,IF(G143&lt;=301,G143/3,G143/4))))</f>
        <v>517.414716</v>
      </c>
      <c r="I143" s="124"/>
      <c r="J143" s="125"/>
      <c r="P143" s="6" t="str">
        <f t="shared" ca="1" si="25"/>
        <v>305,..,305</v>
      </c>
      <c r="Q143" s="6">
        <f t="shared" ca="1" si="26"/>
        <v>305</v>
      </c>
      <c r="R143" s="6">
        <f t="shared" ca="1" si="27"/>
        <v>305</v>
      </c>
    </row>
    <row r="144" spans="1:18" ht="15" customHeight="1" x14ac:dyDescent="0.25">
      <c r="A144" s="20">
        <f t="shared" si="16"/>
        <v>23</v>
      </c>
      <c r="B144" s="2" t="s">
        <v>190</v>
      </c>
      <c r="C144" s="32">
        <f t="shared" si="17"/>
        <v>263.13674400000002</v>
      </c>
      <c r="D144" s="33">
        <f t="shared" si="13"/>
        <v>29.062799999999999</v>
      </c>
      <c r="E144" s="33">
        <v>0</v>
      </c>
      <c r="F144" s="2">
        <f t="shared" si="29"/>
        <v>292.199544</v>
      </c>
      <c r="G144" s="35">
        <f>(3.5*1.8+3.3*1.2+1.2*5)*10.764</f>
        <v>175.02263999999997</v>
      </c>
      <c r="H144" s="2">
        <f t="shared" si="30"/>
        <v>525.81063599999993</v>
      </c>
      <c r="I144" s="124"/>
      <c r="J144" s="125"/>
      <c r="P144" s="6" t="str">
        <f t="shared" ca="1" si="25"/>
        <v>306,..,306</v>
      </c>
      <c r="Q144" s="6">
        <f t="shared" ca="1" si="26"/>
        <v>306</v>
      </c>
      <c r="R144" s="6">
        <f t="shared" ca="1" si="27"/>
        <v>306</v>
      </c>
    </row>
    <row r="145" spans="1:18" ht="15" customHeight="1" x14ac:dyDescent="0.25">
      <c r="A145" s="20">
        <f t="shared" si="16"/>
        <v>24</v>
      </c>
      <c r="B145" s="2" t="s">
        <v>190</v>
      </c>
      <c r="C145" s="32">
        <f t="shared" si="17"/>
        <v>263.13674400000002</v>
      </c>
      <c r="D145" s="33">
        <f t="shared" si="13"/>
        <v>29.062799999999999</v>
      </c>
      <c r="E145" s="33">
        <f>(3.16*0.75)*10.764</f>
        <v>25.510680000000001</v>
      </c>
      <c r="F145" s="2">
        <f t="shared" si="29"/>
        <v>317.71022399999998</v>
      </c>
      <c r="G145" s="32">
        <f>(3.5*1.8+5*1.2+1.4*2.7)*10.764</f>
        <v>173.08512000000002</v>
      </c>
      <c r="H145" s="2">
        <f t="shared" si="30"/>
        <v>563.10789599999998</v>
      </c>
      <c r="I145" s="124"/>
      <c r="J145" s="125"/>
      <c r="P145" s="6" t="str">
        <f t="shared" ca="1" si="25"/>
        <v>307,..,307</v>
      </c>
      <c r="Q145" s="6">
        <f t="shared" ca="1" si="26"/>
        <v>307</v>
      </c>
      <c r="R145" s="6">
        <f t="shared" ca="1" si="27"/>
        <v>307</v>
      </c>
    </row>
    <row r="146" spans="1:18" ht="15" customHeight="1" x14ac:dyDescent="0.25">
      <c r="A146" s="20">
        <f t="shared" si="16"/>
        <v>25</v>
      </c>
      <c r="B146" s="2" t="s">
        <v>190</v>
      </c>
      <c r="C146" s="32">
        <f t="shared" si="17"/>
        <v>263.13674400000002</v>
      </c>
      <c r="D146" s="33">
        <f t="shared" si="13"/>
        <v>29.062799999999999</v>
      </c>
      <c r="E146" s="33">
        <f>(3.16*0.75)*10.764</f>
        <v>25.510680000000001</v>
      </c>
      <c r="F146" s="2">
        <f t="shared" si="29"/>
        <v>317.71022399999998</v>
      </c>
      <c r="G146" s="32">
        <f>(5*1.2+3.5*1.8)*10.764</f>
        <v>132.3972</v>
      </c>
      <c r="H146" s="2">
        <f t="shared" si="30"/>
        <v>542.76393600000006</v>
      </c>
      <c r="I146" s="124"/>
      <c r="J146" s="125"/>
      <c r="P146" s="6" t="str">
        <f t="shared" ca="1" si="25"/>
        <v>308,..,308</v>
      </c>
      <c r="Q146" s="6">
        <f t="shared" ca="1" si="26"/>
        <v>308</v>
      </c>
      <c r="R146" s="6">
        <f t="shared" ca="1" si="27"/>
        <v>308</v>
      </c>
    </row>
    <row r="147" spans="1:18" ht="15" customHeight="1" x14ac:dyDescent="0.25">
      <c r="A147" s="20">
        <f t="shared" si="16"/>
        <v>26</v>
      </c>
      <c r="B147" s="2" t="s">
        <v>190</v>
      </c>
      <c r="C147" s="32">
        <f t="shared" si="17"/>
        <v>263.13674400000002</v>
      </c>
      <c r="D147" s="33">
        <f t="shared" si="13"/>
        <v>29.062799999999999</v>
      </c>
      <c r="E147" s="33">
        <v>0</v>
      </c>
      <c r="F147" s="2">
        <f t="shared" si="29"/>
        <v>292.199544</v>
      </c>
      <c r="G147" s="35">
        <f>(3.5*1.8+3.3*1.2+1.2*5)*10.764</f>
        <v>175.02263999999997</v>
      </c>
      <c r="H147" s="2">
        <f t="shared" si="30"/>
        <v>525.81063599999993</v>
      </c>
      <c r="I147" s="124"/>
      <c r="J147" s="125"/>
      <c r="K147" s="118"/>
      <c r="L147" s="118"/>
      <c r="P147" s="6" t="str">
        <f t="shared" ca="1" si="25"/>
        <v>309,..,309</v>
      </c>
      <c r="Q147" s="6">
        <f t="shared" ca="1" si="26"/>
        <v>309</v>
      </c>
      <c r="R147" s="6">
        <f t="shared" ca="1" si="27"/>
        <v>309</v>
      </c>
    </row>
    <row r="148" spans="1:18" ht="15" customHeight="1" x14ac:dyDescent="0.25">
      <c r="A148" s="20">
        <f t="shared" si="16"/>
        <v>27</v>
      </c>
      <c r="B148" s="2" t="s">
        <v>190</v>
      </c>
      <c r="C148" s="32">
        <f t="shared" si="17"/>
        <v>263.13674400000002</v>
      </c>
      <c r="D148" s="33">
        <f t="shared" si="13"/>
        <v>29.062799999999999</v>
      </c>
      <c r="E148" s="33">
        <f>(1.2*1.2)*10.764</f>
        <v>15.500159999999999</v>
      </c>
      <c r="F148" s="2">
        <f t="shared" si="29"/>
        <v>307.699704</v>
      </c>
      <c r="G148" s="35">
        <f>(1.2*4.6+1.8*2.7)*10.764</f>
        <v>111.73031999999998</v>
      </c>
      <c r="H148" s="2">
        <f t="shared" si="30"/>
        <v>517.414716</v>
      </c>
      <c r="I148" s="124"/>
      <c r="J148" s="125"/>
      <c r="P148" s="6" t="str">
        <f t="shared" ca="1" si="25"/>
        <v>310,..,310</v>
      </c>
      <c r="Q148" s="6">
        <f t="shared" ca="1" si="26"/>
        <v>310</v>
      </c>
      <c r="R148" s="6">
        <f t="shared" ca="1" si="27"/>
        <v>310</v>
      </c>
    </row>
    <row r="149" spans="1:18" ht="15" customHeight="1" x14ac:dyDescent="0.25">
      <c r="A149" s="20">
        <f t="shared" si="16"/>
        <v>28</v>
      </c>
      <c r="B149" s="2" t="s">
        <v>190</v>
      </c>
      <c r="C149" s="32">
        <f t="shared" si="17"/>
        <v>263.13674400000002</v>
      </c>
      <c r="D149" s="33">
        <f t="shared" si="13"/>
        <v>29.062799999999999</v>
      </c>
      <c r="E149" s="33">
        <f>(3.16*0.75+1.2*1.8)*10.764</f>
        <v>48.760919999999999</v>
      </c>
      <c r="F149" s="2">
        <f t="shared" si="29"/>
        <v>340.960464</v>
      </c>
      <c r="G149" s="32">
        <f>(5*1.2)*10.764</f>
        <v>64.584000000000003</v>
      </c>
      <c r="H149" s="2">
        <f t="shared" si="30"/>
        <v>576.02469599999995</v>
      </c>
      <c r="I149" s="126"/>
      <c r="J149" s="127"/>
    </row>
    <row r="150" spans="1:18" x14ac:dyDescent="0.25">
      <c r="A150" s="75" t="s">
        <v>193</v>
      </c>
      <c r="B150" s="76"/>
      <c r="C150" s="76"/>
      <c r="D150" s="76"/>
      <c r="E150" s="76"/>
      <c r="F150" s="76"/>
      <c r="G150" s="76"/>
      <c r="H150" s="76"/>
      <c r="I150" s="76"/>
      <c r="J150" s="77"/>
      <c r="K150" s="120"/>
      <c r="L150" s="121"/>
    </row>
    <row r="151" spans="1:18" x14ac:dyDescent="0.25">
      <c r="A151" s="20">
        <v>1</v>
      </c>
      <c r="B151" s="32" t="s">
        <v>190</v>
      </c>
      <c r="C151" s="32">
        <f>(23.69+0.45*1.68)*10.764</f>
        <v>263.13674400000002</v>
      </c>
      <c r="D151" s="33">
        <f t="shared" ref="D151:D178" si="31">(1.8*1.5)*10.764</f>
        <v>29.062799999999999</v>
      </c>
      <c r="E151" s="33">
        <f>(1.8*1.2+3.16*0.75+1.2*1.2)*10.764</f>
        <v>64.261080000000007</v>
      </c>
      <c r="F151" s="2">
        <f t="shared" si="29"/>
        <v>356.460624</v>
      </c>
      <c r="G151" s="2">
        <v>0</v>
      </c>
      <c r="H151" s="2">
        <f t="shared" si="30"/>
        <v>534.69093599999997</v>
      </c>
      <c r="I151" s="122" t="str">
        <f>A150</f>
        <v>2nd to 7th, 9th to 11th, 13th to 15th, 17th to 19th &amp; 21st to 23rd Floor</v>
      </c>
      <c r="J151" s="123"/>
    </row>
    <row r="152" spans="1:18" x14ac:dyDescent="0.25">
      <c r="A152" s="20">
        <f t="shared" ref="A152:A178" si="32">A151+1</f>
        <v>2</v>
      </c>
      <c r="B152" s="32" t="s">
        <v>190</v>
      </c>
      <c r="C152" s="32">
        <f t="shared" ref="C152:C178" si="33">(23.69+0.45*1.68)*10.764</f>
        <v>263.13674400000002</v>
      </c>
      <c r="D152" s="33">
        <f t="shared" si="31"/>
        <v>29.062799999999999</v>
      </c>
      <c r="E152" s="33">
        <f t="shared" ref="E152:E178" si="34">(1.8*1.2+3.16*0.75+1.2*1.2)*10.764</f>
        <v>64.261080000000007</v>
      </c>
      <c r="F152" s="2">
        <f t="shared" si="29"/>
        <v>356.460624</v>
      </c>
      <c r="G152" s="2">
        <v>0</v>
      </c>
      <c r="H152" s="2">
        <f t="shared" si="30"/>
        <v>534.69093599999997</v>
      </c>
      <c r="I152" s="124"/>
      <c r="J152" s="125"/>
    </row>
    <row r="153" spans="1:18" ht="15" customHeight="1" x14ac:dyDescent="0.25">
      <c r="A153" s="20">
        <f t="shared" si="32"/>
        <v>3</v>
      </c>
      <c r="B153" s="32" t="s">
        <v>190</v>
      </c>
      <c r="C153" s="32">
        <f t="shared" si="33"/>
        <v>263.13674400000002</v>
      </c>
      <c r="D153" s="33">
        <f t="shared" si="31"/>
        <v>29.062799999999999</v>
      </c>
      <c r="E153" s="33">
        <f t="shared" si="34"/>
        <v>64.261080000000007</v>
      </c>
      <c r="F153" s="2">
        <f t="shared" ref="F153" si="35">C153+D153+E153</f>
        <v>356.460624</v>
      </c>
      <c r="G153" s="2">
        <v>0</v>
      </c>
      <c r="H153" s="2">
        <f t="shared" ref="H153" si="36">F153*(($H$118)+1)+(IF(G153&lt;101,G153,IF(G153&lt;201,G153/2,IF(G153&lt;=301,G153/3,G153/4))))</f>
        <v>534.69093599999997</v>
      </c>
      <c r="I153" s="124"/>
      <c r="J153" s="125"/>
    </row>
    <row r="154" spans="1:18" x14ac:dyDescent="0.25">
      <c r="A154" s="20">
        <f t="shared" si="32"/>
        <v>4</v>
      </c>
      <c r="B154" s="32" t="s">
        <v>190</v>
      </c>
      <c r="C154" s="32">
        <f t="shared" si="33"/>
        <v>263.13674400000002</v>
      </c>
      <c r="D154" s="33">
        <f t="shared" si="31"/>
        <v>29.062799999999999</v>
      </c>
      <c r="E154" s="33">
        <f t="shared" si="34"/>
        <v>64.261080000000007</v>
      </c>
      <c r="F154" s="2">
        <f t="shared" ref="F154:F163" si="37">C154+D154+E154</f>
        <v>356.460624</v>
      </c>
      <c r="G154" s="2">
        <v>0</v>
      </c>
      <c r="H154" s="2">
        <f t="shared" ref="H154:H163" si="38">F154*(($H$118)+1)+(IF(G154&lt;101,G154,IF(G154&lt;201,G154/2,IF(G154&lt;=301,G154/3,G154/4))))</f>
        <v>534.69093599999997</v>
      </c>
      <c r="I154" s="124"/>
      <c r="J154" s="125"/>
    </row>
    <row r="155" spans="1:18" x14ac:dyDescent="0.25">
      <c r="A155" s="20">
        <f t="shared" si="32"/>
        <v>5</v>
      </c>
      <c r="B155" s="32" t="s">
        <v>190</v>
      </c>
      <c r="C155" s="32">
        <f t="shared" si="33"/>
        <v>263.13674400000002</v>
      </c>
      <c r="D155" s="33">
        <f t="shared" si="31"/>
        <v>29.062799999999999</v>
      </c>
      <c r="E155" s="33">
        <f t="shared" si="34"/>
        <v>64.261080000000007</v>
      </c>
      <c r="F155" s="2">
        <f t="shared" si="37"/>
        <v>356.460624</v>
      </c>
      <c r="G155" s="2">
        <v>0</v>
      </c>
      <c r="H155" s="2">
        <f t="shared" si="38"/>
        <v>534.69093599999997</v>
      </c>
      <c r="I155" s="124"/>
      <c r="J155" s="125"/>
    </row>
    <row r="156" spans="1:18" x14ac:dyDescent="0.25">
      <c r="A156" s="20">
        <f t="shared" si="32"/>
        <v>6</v>
      </c>
      <c r="B156" s="32" t="s">
        <v>190</v>
      </c>
      <c r="C156" s="32">
        <f t="shared" si="33"/>
        <v>263.13674400000002</v>
      </c>
      <c r="D156" s="33">
        <f t="shared" si="31"/>
        <v>29.062799999999999</v>
      </c>
      <c r="E156" s="33">
        <f t="shared" si="34"/>
        <v>64.261080000000007</v>
      </c>
      <c r="F156" s="2">
        <f t="shared" si="37"/>
        <v>356.460624</v>
      </c>
      <c r="G156" s="2">
        <v>0</v>
      </c>
      <c r="H156" s="2">
        <f t="shared" si="38"/>
        <v>534.69093599999997</v>
      </c>
      <c r="I156" s="124"/>
      <c r="J156" s="125"/>
    </row>
    <row r="157" spans="1:18" x14ac:dyDescent="0.25">
      <c r="A157" s="20">
        <f t="shared" si="32"/>
        <v>7</v>
      </c>
      <c r="B157" s="32" t="s">
        <v>190</v>
      </c>
      <c r="C157" s="32">
        <f t="shared" si="33"/>
        <v>263.13674400000002</v>
      </c>
      <c r="D157" s="33">
        <f t="shared" si="31"/>
        <v>29.062799999999999</v>
      </c>
      <c r="E157" s="33">
        <f t="shared" si="34"/>
        <v>64.261080000000007</v>
      </c>
      <c r="F157" s="2">
        <f t="shared" si="37"/>
        <v>356.460624</v>
      </c>
      <c r="G157" s="2">
        <v>0</v>
      </c>
      <c r="H157" s="2">
        <f t="shared" si="38"/>
        <v>534.69093599999997</v>
      </c>
      <c r="I157" s="124"/>
      <c r="J157" s="125"/>
    </row>
    <row r="158" spans="1:18" x14ac:dyDescent="0.25">
      <c r="A158" s="20">
        <f t="shared" si="32"/>
        <v>8</v>
      </c>
      <c r="B158" s="32" t="s">
        <v>190</v>
      </c>
      <c r="C158" s="32">
        <f t="shared" si="33"/>
        <v>263.13674400000002</v>
      </c>
      <c r="D158" s="33">
        <f t="shared" si="31"/>
        <v>29.062799999999999</v>
      </c>
      <c r="E158" s="33">
        <f t="shared" si="34"/>
        <v>64.261080000000007</v>
      </c>
      <c r="F158" s="2">
        <f t="shared" si="37"/>
        <v>356.460624</v>
      </c>
      <c r="G158" s="2">
        <v>0</v>
      </c>
      <c r="H158" s="2">
        <f t="shared" si="38"/>
        <v>534.69093599999997</v>
      </c>
      <c r="I158" s="124"/>
      <c r="J158" s="125"/>
    </row>
    <row r="159" spans="1:18" x14ac:dyDescent="0.25">
      <c r="A159" s="20">
        <f t="shared" si="32"/>
        <v>9</v>
      </c>
      <c r="B159" s="32" t="s">
        <v>190</v>
      </c>
      <c r="C159" s="32">
        <f t="shared" si="33"/>
        <v>263.13674400000002</v>
      </c>
      <c r="D159" s="33">
        <f t="shared" si="31"/>
        <v>29.062799999999999</v>
      </c>
      <c r="E159" s="33">
        <f t="shared" si="34"/>
        <v>64.261080000000007</v>
      </c>
      <c r="F159" s="2">
        <f t="shared" si="37"/>
        <v>356.460624</v>
      </c>
      <c r="G159" s="2">
        <v>0</v>
      </c>
      <c r="H159" s="2">
        <f t="shared" si="38"/>
        <v>534.69093599999997</v>
      </c>
      <c r="I159" s="124"/>
      <c r="J159" s="125"/>
    </row>
    <row r="160" spans="1:18" x14ac:dyDescent="0.25">
      <c r="A160" s="20">
        <f t="shared" si="32"/>
        <v>10</v>
      </c>
      <c r="B160" s="32" t="s">
        <v>190</v>
      </c>
      <c r="C160" s="32">
        <f t="shared" si="33"/>
        <v>263.13674400000002</v>
      </c>
      <c r="D160" s="33">
        <f t="shared" si="31"/>
        <v>29.062799999999999</v>
      </c>
      <c r="E160" s="33">
        <f t="shared" si="34"/>
        <v>64.261080000000007</v>
      </c>
      <c r="F160" s="2">
        <f t="shared" si="37"/>
        <v>356.460624</v>
      </c>
      <c r="G160" s="2">
        <v>0</v>
      </c>
      <c r="H160" s="2">
        <f t="shared" si="38"/>
        <v>534.69093599999997</v>
      </c>
      <c r="I160" s="124"/>
      <c r="J160" s="125"/>
    </row>
    <row r="161" spans="1:10" x14ac:dyDescent="0.25">
      <c r="A161" s="20">
        <v>11</v>
      </c>
      <c r="B161" s="32" t="s">
        <v>190</v>
      </c>
      <c r="C161" s="32">
        <f t="shared" si="33"/>
        <v>263.13674400000002</v>
      </c>
      <c r="D161" s="33">
        <f t="shared" si="31"/>
        <v>29.062799999999999</v>
      </c>
      <c r="E161" s="33">
        <f t="shared" si="34"/>
        <v>64.261080000000007</v>
      </c>
      <c r="F161" s="2">
        <f t="shared" si="37"/>
        <v>356.460624</v>
      </c>
      <c r="G161" s="2">
        <v>0</v>
      </c>
      <c r="H161" s="2">
        <f t="shared" si="38"/>
        <v>534.69093599999997</v>
      </c>
      <c r="I161" s="124"/>
      <c r="J161" s="125"/>
    </row>
    <row r="162" spans="1:10" x14ac:dyDescent="0.25">
      <c r="A162" s="20">
        <f t="shared" si="32"/>
        <v>12</v>
      </c>
      <c r="B162" s="32" t="s">
        <v>190</v>
      </c>
      <c r="C162" s="32">
        <f t="shared" si="33"/>
        <v>263.13674400000002</v>
      </c>
      <c r="D162" s="33">
        <f t="shared" si="31"/>
        <v>29.062799999999999</v>
      </c>
      <c r="E162" s="33">
        <f t="shared" si="34"/>
        <v>64.261080000000007</v>
      </c>
      <c r="F162" s="2">
        <f t="shared" si="37"/>
        <v>356.460624</v>
      </c>
      <c r="G162" s="2">
        <v>0</v>
      </c>
      <c r="H162" s="2">
        <f t="shared" si="38"/>
        <v>534.69093599999997</v>
      </c>
      <c r="I162" s="124"/>
      <c r="J162" s="125"/>
    </row>
    <row r="163" spans="1:10" x14ac:dyDescent="0.25">
      <c r="A163" s="20">
        <f t="shared" si="32"/>
        <v>13</v>
      </c>
      <c r="B163" s="32" t="s">
        <v>190</v>
      </c>
      <c r="C163" s="32">
        <f t="shared" si="33"/>
        <v>263.13674400000002</v>
      </c>
      <c r="D163" s="33">
        <f t="shared" si="31"/>
        <v>29.062799999999999</v>
      </c>
      <c r="E163" s="33">
        <f t="shared" si="34"/>
        <v>64.261080000000007</v>
      </c>
      <c r="F163" s="2">
        <f t="shared" si="37"/>
        <v>356.460624</v>
      </c>
      <c r="G163" s="2">
        <v>0</v>
      </c>
      <c r="H163" s="2">
        <f t="shared" si="38"/>
        <v>534.69093599999997</v>
      </c>
      <c r="I163" s="124"/>
      <c r="J163" s="125"/>
    </row>
    <row r="164" spans="1:10" x14ac:dyDescent="0.25">
      <c r="A164" s="20">
        <f t="shared" si="32"/>
        <v>14</v>
      </c>
      <c r="B164" s="32" t="s">
        <v>190</v>
      </c>
      <c r="C164" s="32">
        <f t="shared" si="33"/>
        <v>263.13674400000002</v>
      </c>
      <c r="D164" s="33">
        <f t="shared" si="31"/>
        <v>29.062799999999999</v>
      </c>
      <c r="E164" s="33">
        <f t="shared" si="34"/>
        <v>64.261080000000007</v>
      </c>
      <c r="F164" s="2">
        <f t="shared" ref="F164:F178" si="39">C164+D164+E164</f>
        <v>356.460624</v>
      </c>
      <c r="G164" s="2">
        <v>0</v>
      </c>
      <c r="H164" s="2">
        <f t="shared" ref="H164:H178" si="40">F164*(($H$118)+1)+(IF(G164&lt;101,G164,IF(G164&lt;201,G164/2,IF(G164&lt;=301,G164/3,G164/4))))</f>
        <v>534.69093599999997</v>
      </c>
      <c r="I164" s="124"/>
      <c r="J164" s="125"/>
    </row>
    <row r="165" spans="1:10" x14ac:dyDescent="0.25">
      <c r="A165" s="20">
        <f t="shared" si="32"/>
        <v>15</v>
      </c>
      <c r="B165" s="32" t="s">
        <v>190</v>
      </c>
      <c r="C165" s="32">
        <f t="shared" si="33"/>
        <v>263.13674400000002</v>
      </c>
      <c r="D165" s="33">
        <f t="shared" si="31"/>
        <v>29.062799999999999</v>
      </c>
      <c r="E165" s="33">
        <f t="shared" si="34"/>
        <v>64.261080000000007</v>
      </c>
      <c r="F165" s="2">
        <f t="shared" si="39"/>
        <v>356.460624</v>
      </c>
      <c r="G165" s="2">
        <v>0</v>
      </c>
      <c r="H165" s="2">
        <f t="shared" si="40"/>
        <v>534.69093599999997</v>
      </c>
      <c r="I165" s="124"/>
      <c r="J165" s="125"/>
    </row>
    <row r="166" spans="1:10" x14ac:dyDescent="0.25">
      <c r="A166" s="20">
        <f t="shared" si="32"/>
        <v>16</v>
      </c>
      <c r="B166" s="32" t="s">
        <v>190</v>
      </c>
      <c r="C166" s="32">
        <f t="shared" si="33"/>
        <v>263.13674400000002</v>
      </c>
      <c r="D166" s="33">
        <f t="shared" si="31"/>
        <v>29.062799999999999</v>
      </c>
      <c r="E166" s="33">
        <f t="shared" si="34"/>
        <v>64.261080000000007</v>
      </c>
      <c r="F166" s="2">
        <f t="shared" si="39"/>
        <v>356.460624</v>
      </c>
      <c r="G166" s="2">
        <v>0</v>
      </c>
      <c r="H166" s="2">
        <f t="shared" si="40"/>
        <v>534.69093599999997</v>
      </c>
      <c r="I166" s="124"/>
      <c r="J166" s="125"/>
    </row>
    <row r="167" spans="1:10" x14ac:dyDescent="0.25">
      <c r="A167" s="20">
        <f t="shared" si="32"/>
        <v>17</v>
      </c>
      <c r="B167" s="32" t="s">
        <v>190</v>
      </c>
      <c r="C167" s="32">
        <f t="shared" si="33"/>
        <v>263.13674400000002</v>
      </c>
      <c r="D167" s="33">
        <f t="shared" si="31"/>
        <v>29.062799999999999</v>
      </c>
      <c r="E167" s="33">
        <f t="shared" si="34"/>
        <v>64.261080000000007</v>
      </c>
      <c r="F167" s="2">
        <f t="shared" si="39"/>
        <v>356.460624</v>
      </c>
      <c r="G167" s="2">
        <v>0</v>
      </c>
      <c r="H167" s="2">
        <f t="shared" si="40"/>
        <v>534.69093599999997</v>
      </c>
      <c r="I167" s="124"/>
      <c r="J167" s="125"/>
    </row>
    <row r="168" spans="1:10" x14ac:dyDescent="0.25">
      <c r="A168" s="20">
        <f t="shared" si="32"/>
        <v>18</v>
      </c>
      <c r="B168" s="32" t="s">
        <v>190</v>
      </c>
      <c r="C168" s="32">
        <f t="shared" si="33"/>
        <v>263.13674400000002</v>
      </c>
      <c r="D168" s="33">
        <f t="shared" si="31"/>
        <v>29.062799999999999</v>
      </c>
      <c r="E168" s="33">
        <f t="shared" si="34"/>
        <v>64.261080000000007</v>
      </c>
      <c r="F168" s="2">
        <f t="shared" si="39"/>
        <v>356.460624</v>
      </c>
      <c r="G168" s="2">
        <v>0</v>
      </c>
      <c r="H168" s="2">
        <f t="shared" si="40"/>
        <v>534.69093599999997</v>
      </c>
      <c r="I168" s="124"/>
      <c r="J168" s="125"/>
    </row>
    <row r="169" spans="1:10" x14ac:dyDescent="0.25">
      <c r="A169" s="20">
        <f t="shared" si="32"/>
        <v>19</v>
      </c>
      <c r="B169" s="32" t="s">
        <v>190</v>
      </c>
      <c r="C169" s="32">
        <f t="shared" si="33"/>
        <v>263.13674400000002</v>
      </c>
      <c r="D169" s="33">
        <f t="shared" si="31"/>
        <v>29.062799999999999</v>
      </c>
      <c r="E169" s="33">
        <f t="shared" si="34"/>
        <v>64.261080000000007</v>
      </c>
      <c r="F169" s="2">
        <f t="shared" si="39"/>
        <v>356.460624</v>
      </c>
      <c r="G169" s="2">
        <v>0</v>
      </c>
      <c r="H169" s="2">
        <f t="shared" si="40"/>
        <v>534.69093599999997</v>
      </c>
      <c r="I169" s="124"/>
      <c r="J169" s="125"/>
    </row>
    <row r="170" spans="1:10" x14ac:dyDescent="0.25">
      <c r="A170" s="20">
        <f t="shared" si="32"/>
        <v>20</v>
      </c>
      <c r="B170" s="32" t="s">
        <v>190</v>
      </c>
      <c r="C170" s="32">
        <f t="shared" si="33"/>
        <v>263.13674400000002</v>
      </c>
      <c r="D170" s="33">
        <f t="shared" si="31"/>
        <v>29.062799999999999</v>
      </c>
      <c r="E170" s="33">
        <f t="shared" si="34"/>
        <v>64.261080000000007</v>
      </c>
      <c r="F170" s="2">
        <f t="shared" si="39"/>
        <v>356.460624</v>
      </c>
      <c r="G170" s="2">
        <v>0</v>
      </c>
      <c r="H170" s="2">
        <f t="shared" si="40"/>
        <v>534.69093599999997</v>
      </c>
      <c r="I170" s="124"/>
      <c r="J170" s="125"/>
    </row>
    <row r="171" spans="1:10" x14ac:dyDescent="0.25">
      <c r="A171" s="20">
        <f t="shared" si="32"/>
        <v>21</v>
      </c>
      <c r="B171" s="32" t="s">
        <v>190</v>
      </c>
      <c r="C171" s="32">
        <f t="shared" si="33"/>
        <v>263.13674400000002</v>
      </c>
      <c r="D171" s="33">
        <f t="shared" si="31"/>
        <v>29.062799999999999</v>
      </c>
      <c r="E171" s="33">
        <f t="shared" si="34"/>
        <v>64.261080000000007</v>
      </c>
      <c r="F171" s="2">
        <f t="shared" si="39"/>
        <v>356.460624</v>
      </c>
      <c r="G171" s="2">
        <v>0</v>
      </c>
      <c r="H171" s="2">
        <f t="shared" si="40"/>
        <v>534.69093599999997</v>
      </c>
      <c r="I171" s="124"/>
      <c r="J171" s="125"/>
    </row>
    <row r="172" spans="1:10" x14ac:dyDescent="0.25">
      <c r="A172" s="20">
        <f t="shared" si="32"/>
        <v>22</v>
      </c>
      <c r="B172" s="32" t="s">
        <v>190</v>
      </c>
      <c r="C172" s="32">
        <f t="shared" si="33"/>
        <v>263.13674400000002</v>
      </c>
      <c r="D172" s="33">
        <f t="shared" si="31"/>
        <v>29.062799999999999</v>
      </c>
      <c r="E172" s="33">
        <f t="shared" si="34"/>
        <v>64.261080000000007</v>
      </c>
      <c r="F172" s="2">
        <f t="shared" si="39"/>
        <v>356.460624</v>
      </c>
      <c r="G172" s="2">
        <v>0</v>
      </c>
      <c r="H172" s="2">
        <f t="shared" si="40"/>
        <v>534.69093599999997</v>
      </c>
      <c r="I172" s="124"/>
      <c r="J172" s="125"/>
    </row>
    <row r="173" spans="1:10" x14ac:dyDescent="0.25">
      <c r="A173" s="20">
        <f t="shared" si="32"/>
        <v>23</v>
      </c>
      <c r="B173" s="32" t="s">
        <v>190</v>
      </c>
      <c r="C173" s="32">
        <f t="shared" si="33"/>
        <v>263.13674400000002</v>
      </c>
      <c r="D173" s="33">
        <f t="shared" si="31"/>
        <v>29.062799999999999</v>
      </c>
      <c r="E173" s="33">
        <f t="shared" si="34"/>
        <v>64.261080000000007</v>
      </c>
      <c r="F173" s="2">
        <f t="shared" si="39"/>
        <v>356.460624</v>
      </c>
      <c r="G173" s="2">
        <v>0</v>
      </c>
      <c r="H173" s="2">
        <f t="shared" si="40"/>
        <v>534.69093599999997</v>
      </c>
      <c r="I173" s="124"/>
      <c r="J173" s="125"/>
    </row>
    <row r="174" spans="1:10" x14ac:dyDescent="0.25">
      <c r="A174" s="20">
        <f t="shared" si="32"/>
        <v>24</v>
      </c>
      <c r="B174" s="32" t="s">
        <v>190</v>
      </c>
      <c r="C174" s="32">
        <f t="shared" si="33"/>
        <v>263.13674400000002</v>
      </c>
      <c r="D174" s="33">
        <f t="shared" si="31"/>
        <v>29.062799999999999</v>
      </c>
      <c r="E174" s="33">
        <f t="shared" si="34"/>
        <v>64.261080000000007</v>
      </c>
      <c r="F174" s="2">
        <f t="shared" si="39"/>
        <v>356.460624</v>
      </c>
      <c r="G174" s="2">
        <v>0</v>
      </c>
      <c r="H174" s="2">
        <f t="shared" si="40"/>
        <v>534.69093599999997</v>
      </c>
      <c r="I174" s="124"/>
      <c r="J174" s="125"/>
    </row>
    <row r="175" spans="1:10" x14ac:dyDescent="0.25">
      <c r="A175" s="20">
        <f t="shared" si="32"/>
        <v>25</v>
      </c>
      <c r="B175" s="32" t="s">
        <v>190</v>
      </c>
      <c r="C175" s="32">
        <f t="shared" si="33"/>
        <v>263.13674400000002</v>
      </c>
      <c r="D175" s="33">
        <f t="shared" si="31"/>
        <v>29.062799999999999</v>
      </c>
      <c r="E175" s="33">
        <f t="shared" si="34"/>
        <v>64.261080000000007</v>
      </c>
      <c r="F175" s="2">
        <f t="shared" si="39"/>
        <v>356.460624</v>
      </c>
      <c r="G175" s="2">
        <v>0</v>
      </c>
      <c r="H175" s="2">
        <f t="shared" si="40"/>
        <v>534.69093599999997</v>
      </c>
      <c r="I175" s="124"/>
      <c r="J175" s="125"/>
    </row>
    <row r="176" spans="1:10" x14ac:dyDescent="0.25">
      <c r="A176" s="20">
        <f t="shared" si="32"/>
        <v>26</v>
      </c>
      <c r="B176" s="32" t="s">
        <v>190</v>
      </c>
      <c r="C176" s="32">
        <f t="shared" si="33"/>
        <v>263.13674400000002</v>
      </c>
      <c r="D176" s="33">
        <f t="shared" si="31"/>
        <v>29.062799999999999</v>
      </c>
      <c r="E176" s="33">
        <f t="shared" si="34"/>
        <v>64.261080000000007</v>
      </c>
      <c r="F176" s="2">
        <f t="shared" si="39"/>
        <v>356.460624</v>
      </c>
      <c r="G176" s="2">
        <v>0</v>
      </c>
      <c r="H176" s="2">
        <f t="shared" si="40"/>
        <v>534.69093599999997</v>
      </c>
      <c r="I176" s="124"/>
      <c r="J176" s="125"/>
    </row>
    <row r="177" spans="1:10" x14ac:dyDescent="0.25">
      <c r="A177" s="20">
        <f t="shared" si="32"/>
        <v>27</v>
      </c>
      <c r="B177" s="32" t="s">
        <v>190</v>
      </c>
      <c r="C177" s="32">
        <f t="shared" si="33"/>
        <v>263.13674400000002</v>
      </c>
      <c r="D177" s="33">
        <f t="shared" si="31"/>
        <v>29.062799999999999</v>
      </c>
      <c r="E177" s="33">
        <f t="shared" si="34"/>
        <v>64.261080000000007</v>
      </c>
      <c r="F177" s="2">
        <f t="shared" si="39"/>
        <v>356.460624</v>
      </c>
      <c r="G177" s="2">
        <v>0</v>
      </c>
      <c r="H177" s="2">
        <f t="shared" si="40"/>
        <v>534.69093599999997</v>
      </c>
      <c r="I177" s="124"/>
      <c r="J177" s="125"/>
    </row>
    <row r="178" spans="1:10" x14ac:dyDescent="0.25">
      <c r="A178" s="20">
        <f t="shared" si="32"/>
        <v>28</v>
      </c>
      <c r="B178" s="32" t="s">
        <v>190</v>
      </c>
      <c r="C178" s="32">
        <f t="shared" si="33"/>
        <v>263.13674400000002</v>
      </c>
      <c r="D178" s="33">
        <f t="shared" si="31"/>
        <v>29.062799999999999</v>
      </c>
      <c r="E178" s="33">
        <f t="shared" si="34"/>
        <v>64.261080000000007</v>
      </c>
      <c r="F178" s="2">
        <f t="shared" si="39"/>
        <v>356.460624</v>
      </c>
      <c r="G178" s="2">
        <v>0</v>
      </c>
      <c r="H178" s="2">
        <f t="shared" si="40"/>
        <v>534.69093599999997</v>
      </c>
      <c r="I178" s="126"/>
      <c r="J178" s="127"/>
    </row>
    <row r="179" spans="1:10" x14ac:dyDescent="0.25">
      <c r="A179" s="128" t="s">
        <v>195</v>
      </c>
      <c r="B179" s="129"/>
      <c r="C179" s="129"/>
      <c r="D179" s="129"/>
      <c r="E179" s="129"/>
      <c r="F179" s="129"/>
      <c r="G179" s="129"/>
      <c r="H179" s="129"/>
      <c r="I179" s="129"/>
      <c r="J179" s="130"/>
    </row>
    <row r="180" spans="1:10" x14ac:dyDescent="0.25">
      <c r="A180" s="20">
        <v>1</v>
      </c>
      <c r="B180" s="32" t="s">
        <v>190</v>
      </c>
      <c r="C180" s="32">
        <f>(23.69+0.45*1.68)*10.764</f>
        <v>263.13674400000002</v>
      </c>
      <c r="D180" s="33">
        <f t="shared" ref="D180:D191" si="41">(1.8*1.5)*10.764</f>
        <v>29.062799999999999</v>
      </c>
      <c r="E180" s="33">
        <f>(1.8*1.2+3.16*0.75+1.2*1.2)*10.764</f>
        <v>64.261080000000007</v>
      </c>
      <c r="F180" s="2">
        <f t="shared" ref="F180:F207" si="42">C180+D180+E180</f>
        <v>356.460624</v>
      </c>
      <c r="G180" s="2">
        <v>0</v>
      </c>
      <c r="H180" s="2">
        <f t="shared" ref="H180:H207" si="43">F180*(($H$118)+1)+(IF(G180&lt;101,G180,IF(G180&lt;201,G180/2,IF(G180&lt;=301,G180/3,G180/4))))</f>
        <v>534.69093599999997</v>
      </c>
      <c r="I180" s="122" t="str">
        <f>A179</f>
        <v>8th, 12th, 16th &amp; 20th Floor (Part Refuge Area)</v>
      </c>
      <c r="J180" s="123"/>
    </row>
    <row r="181" spans="1:10" x14ac:dyDescent="0.25">
      <c r="A181" s="20">
        <f t="shared" ref="A181:A207" si="44">A180+1</f>
        <v>2</v>
      </c>
      <c r="B181" s="32" t="s">
        <v>190</v>
      </c>
      <c r="C181" s="32">
        <f t="shared" ref="C181:C207" si="45">(23.69+0.45*1.68)*10.764</f>
        <v>263.13674400000002</v>
      </c>
      <c r="D181" s="33">
        <f t="shared" si="41"/>
        <v>29.062799999999999</v>
      </c>
      <c r="E181" s="33">
        <f t="shared" ref="E181:E207" si="46">(1.8*1.2+3.16*0.75+1.2*1.2)*10.764</f>
        <v>64.261080000000007</v>
      </c>
      <c r="F181" s="2">
        <f t="shared" si="42"/>
        <v>356.460624</v>
      </c>
      <c r="G181" s="2">
        <v>0</v>
      </c>
      <c r="H181" s="2">
        <f t="shared" si="43"/>
        <v>534.69093599999997</v>
      </c>
      <c r="I181" s="124"/>
      <c r="J181" s="125"/>
    </row>
    <row r="182" spans="1:10" x14ac:dyDescent="0.25">
      <c r="A182" s="20">
        <f t="shared" si="44"/>
        <v>3</v>
      </c>
      <c r="B182" s="32" t="s">
        <v>190</v>
      </c>
      <c r="C182" s="32">
        <f t="shared" si="45"/>
        <v>263.13674400000002</v>
      </c>
      <c r="D182" s="33">
        <f t="shared" si="41"/>
        <v>29.062799999999999</v>
      </c>
      <c r="E182" s="33">
        <f t="shared" si="46"/>
        <v>64.261080000000007</v>
      </c>
      <c r="F182" s="2">
        <f t="shared" si="42"/>
        <v>356.460624</v>
      </c>
      <c r="G182" s="2">
        <v>0</v>
      </c>
      <c r="H182" s="2">
        <f t="shared" si="43"/>
        <v>534.69093599999997</v>
      </c>
      <c r="I182" s="124"/>
      <c r="J182" s="125"/>
    </row>
    <row r="183" spans="1:10" x14ac:dyDescent="0.25">
      <c r="A183" s="20">
        <f t="shared" si="44"/>
        <v>4</v>
      </c>
      <c r="B183" s="32" t="s">
        <v>190</v>
      </c>
      <c r="C183" s="32">
        <f t="shared" si="45"/>
        <v>263.13674400000002</v>
      </c>
      <c r="D183" s="33">
        <f t="shared" si="41"/>
        <v>29.062799999999999</v>
      </c>
      <c r="E183" s="33">
        <f t="shared" si="46"/>
        <v>64.261080000000007</v>
      </c>
      <c r="F183" s="2">
        <f t="shared" si="42"/>
        <v>356.460624</v>
      </c>
      <c r="G183" s="2">
        <v>0</v>
      </c>
      <c r="H183" s="2">
        <f t="shared" si="43"/>
        <v>534.69093599999997</v>
      </c>
      <c r="I183" s="124"/>
      <c r="J183" s="125"/>
    </row>
    <row r="184" spans="1:10" x14ac:dyDescent="0.25">
      <c r="A184" s="20">
        <f t="shared" si="44"/>
        <v>5</v>
      </c>
      <c r="B184" s="32" t="s">
        <v>190</v>
      </c>
      <c r="C184" s="32">
        <f t="shared" si="45"/>
        <v>263.13674400000002</v>
      </c>
      <c r="D184" s="33">
        <f t="shared" si="41"/>
        <v>29.062799999999999</v>
      </c>
      <c r="E184" s="33">
        <f t="shared" si="46"/>
        <v>64.261080000000007</v>
      </c>
      <c r="F184" s="2">
        <f t="shared" si="42"/>
        <v>356.460624</v>
      </c>
      <c r="G184" s="2">
        <v>0</v>
      </c>
      <c r="H184" s="2">
        <f t="shared" si="43"/>
        <v>534.69093599999997</v>
      </c>
      <c r="I184" s="124"/>
      <c r="J184" s="125"/>
    </row>
    <row r="185" spans="1:10" x14ac:dyDescent="0.25">
      <c r="A185" s="20">
        <f t="shared" si="44"/>
        <v>6</v>
      </c>
      <c r="B185" s="32" t="s">
        <v>190</v>
      </c>
      <c r="C185" s="32">
        <f t="shared" si="45"/>
        <v>263.13674400000002</v>
      </c>
      <c r="D185" s="33">
        <f t="shared" si="41"/>
        <v>29.062799999999999</v>
      </c>
      <c r="E185" s="33">
        <f t="shared" si="46"/>
        <v>64.261080000000007</v>
      </c>
      <c r="F185" s="2">
        <f t="shared" si="42"/>
        <v>356.460624</v>
      </c>
      <c r="G185" s="2">
        <v>0</v>
      </c>
      <c r="H185" s="2">
        <f t="shared" si="43"/>
        <v>534.69093599999997</v>
      </c>
      <c r="I185" s="124"/>
      <c r="J185" s="125"/>
    </row>
    <row r="186" spans="1:10" x14ac:dyDescent="0.25">
      <c r="A186" s="20">
        <f t="shared" si="44"/>
        <v>7</v>
      </c>
      <c r="B186" s="32" t="s">
        <v>190</v>
      </c>
      <c r="C186" s="32">
        <f t="shared" si="45"/>
        <v>263.13674400000002</v>
      </c>
      <c r="D186" s="33">
        <f t="shared" si="41"/>
        <v>29.062799999999999</v>
      </c>
      <c r="E186" s="33">
        <f t="shared" si="46"/>
        <v>64.261080000000007</v>
      </c>
      <c r="F186" s="2">
        <f t="shared" si="42"/>
        <v>356.460624</v>
      </c>
      <c r="G186" s="2">
        <v>0</v>
      </c>
      <c r="H186" s="2">
        <f t="shared" si="43"/>
        <v>534.69093599999997</v>
      </c>
      <c r="I186" s="124"/>
      <c r="J186" s="125"/>
    </row>
    <row r="187" spans="1:10" x14ac:dyDescent="0.25">
      <c r="A187" s="20">
        <f t="shared" si="44"/>
        <v>8</v>
      </c>
      <c r="B187" s="32" t="s">
        <v>190</v>
      </c>
      <c r="C187" s="32">
        <f t="shared" si="45"/>
        <v>263.13674400000002</v>
      </c>
      <c r="D187" s="33">
        <f t="shared" si="41"/>
        <v>29.062799999999999</v>
      </c>
      <c r="E187" s="33">
        <f t="shared" si="46"/>
        <v>64.261080000000007</v>
      </c>
      <c r="F187" s="2">
        <f t="shared" si="42"/>
        <v>356.460624</v>
      </c>
      <c r="G187" s="2">
        <v>0</v>
      </c>
      <c r="H187" s="2">
        <f t="shared" si="43"/>
        <v>534.69093599999997</v>
      </c>
      <c r="I187" s="124"/>
      <c r="J187" s="125"/>
    </row>
    <row r="188" spans="1:10" x14ac:dyDescent="0.25">
      <c r="A188" s="20">
        <f t="shared" si="44"/>
        <v>9</v>
      </c>
      <c r="B188" s="32" t="s">
        <v>190</v>
      </c>
      <c r="C188" s="32">
        <f t="shared" si="45"/>
        <v>263.13674400000002</v>
      </c>
      <c r="D188" s="33">
        <f t="shared" si="41"/>
        <v>29.062799999999999</v>
      </c>
      <c r="E188" s="33">
        <f t="shared" si="46"/>
        <v>64.261080000000007</v>
      </c>
      <c r="F188" s="2">
        <f t="shared" si="42"/>
        <v>356.460624</v>
      </c>
      <c r="G188" s="2">
        <v>0</v>
      </c>
      <c r="H188" s="2">
        <f t="shared" si="43"/>
        <v>534.69093599999997</v>
      </c>
      <c r="I188" s="124"/>
      <c r="J188" s="125"/>
    </row>
    <row r="189" spans="1:10" x14ac:dyDescent="0.25">
      <c r="A189" s="20">
        <f t="shared" si="44"/>
        <v>10</v>
      </c>
      <c r="B189" s="32" t="s">
        <v>190</v>
      </c>
      <c r="C189" s="32">
        <f t="shared" si="45"/>
        <v>263.13674400000002</v>
      </c>
      <c r="D189" s="33">
        <f t="shared" si="41"/>
        <v>29.062799999999999</v>
      </c>
      <c r="E189" s="33">
        <f t="shared" si="46"/>
        <v>64.261080000000007</v>
      </c>
      <c r="F189" s="2">
        <f t="shared" si="42"/>
        <v>356.460624</v>
      </c>
      <c r="G189" s="2">
        <v>0</v>
      </c>
      <c r="H189" s="2">
        <f t="shared" si="43"/>
        <v>534.69093599999997</v>
      </c>
      <c r="I189" s="124"/>
      <c r="J189" s="125"/>
    </row>
    <row r="190" spans="1:10" x14ac:dyDescent="0.25">
      <c r="A190" s="20">
        <v>11</v>
      </c>
      <c r="B190" s="32" t="s">
        <v>190</v>
      </c>
      <c r="C190" s="32">
        <f t="shared" si="45"/>
        <v>263.13674400000002</v>
      </c>
      <c r="D190" s="33">
        <f t="shared" si="41"/>
        <v>29.062799999999999</v>
      </c>
      <c r="E190" s="33">
        <f t="shared" si="46"/>
        <v>64.261080000000007</v>
      </c>
      <c r="F190" s="2">
        <f t="shared" si="42"/>
        <v>356.460624</v>
      </c>
      <c r="G190" s="2">
        <v>0</v>
      </c>
      <c r="H190" s="2">
        <f t="shared" si="43"/>
        <v>534.69093599999997</v>
      </c>
      <c r="I190" s="124"/>
      <c r="J190" s="125"/>
    </row>
    <row r="191" spans="1:10" x14ac:dyDescent="0.25">
      <c r="A191" s="20">
        <f t="shared" si="44"/>
        <v>12</v>
      </c>
      <c r="B191" s="32" t="s">
        <v>190</v>
      </c>
      <c r="C191" s="32">
        <f t="shared" si="45"/>
        <v>263.13674400000002</v>
      </c>
      <c r="D191" s="33">
        <f t="shared" si="41"/>
        <v>29.062799999999999</v>
      </c>
      <c r="E191" s="33">
        <f t="shared" si="46"/>
        <v>64.261080000000007</v>
      </c>
      <c r="F191" s="2">
        <f t="shared" si="42"/>
        <v>356.460624</v>
      </c>
      <c r="G191" s="2">
        <v>0</v>
      </c>
      <c r="H191" s="2">
        <f t="shared" si="43"/>
        <v>534.69093599999997</v>
      </c>
      <c r="I191" s="124"/>
      <c r="J191" s="125"/>
    </row>
    <row r="192" spans="1:10" ht="15" customHeight="1" x14ac:dyDescent="0.25">
      <c r="A192" s="20">
        <f t="shared" si="44"/>
        <v>13</v>
      </c>
      <c r="B192" s="78" t="s">
        <v>194</v>
      </c>
      <c r="C192" s="79"/>
      <c r="D192" s="79"/>
      <c r="E192" s="79"/>
      <c r="F192" s="79"/>
      <c r="G192" s="79"/>
      <c r="H192" s="80"/>
      <c r="I192" s="124"/>
      <c r="J192" s="125"/>
    </row>
    <row r="193" spans="1:10" x14ac:dyDescent="0.25">
      <c r="A193" s="20">
        <f t="shared" si="44"/>
        <v>14</v>
      </c>
      <c r="B193" s="81"/>
      <c r="C193" s="82"/>
      <c r="D193" s="82"/>
      <c r="E193" s="82"/>
      <c r="F193" s="82"/>
      <c r="G193" s="82"/>
      <c r="H193" s="83"/>
      <c r="I193" s="124"/>
      <c r="J193" s="125"/>
    </row>
    <row r="194" spans="1:10" ht="15" customHeight="1" x14ac:dyDescent="0.25">
      <c r="A194" s="20">
        <f t="shared" si="44"/>
        <v>15</v>
      </c>
      <c r="B194" s="84"/>
      <c r="C194" s="85"/>
      <c r="D194" s="85"/>
      <c r="E194" s="85"/>
      <c r="F194" s="85"/>
      <c r="G194" s="85"/>
      <c r="H194" s="86"/>
      <c r="I194" s="124"/>
      <c r="J194" s="125"/>
    </row>
    <row r="195" spans="1:10" x14ac:dyDescent="0.25">
      <c r="A195" s="20">
        <f t="shared" si="44"/>
        <v>16</v>
      </c>
      <c r="B195" s="32" t="s">
        <v>190</v>
      </c>
      <c r="C195" s="32">
        <f t="shared" si="45"/>
        <v>263.13674400000002</v>
      </c>
      <c r="D195" s="33">
        <f t="shared" ref="D195:D207" si="47">(1.8*1.5)*10.764</f>
        <v>29.062799999999999</v>
      </c>
      <c r="E195" s="33">
        <f t="shared" si="46"/>
        <v>64.261080000000007</v>
      </c>
      <c r="F195" s="2">
        <f t="shared" si="42"/>
        <v>356.460624</v>
      </c>
      <c r="G195" s="2">
        <v>0</v>
      </c>
      <c r="H195" s="2">
        <f t="shared" si="43"/>
        <v>534.69093599999997</v>
      </c>
      <c r="I195" s="124"/>
      <c r="J195" s="125"/>
    </row>
    <row r="196" spans="1:10" x14ac:dyDescent="0.25">
      <c r="A196" s="20">
        <f t="shared" si="44"/>
        <v>17</v>
      </c>
      <c r="B196" s="32" t="s">
        <v>190</v>
      </c>
      <c r="C196" s="32">
        <f t="shared" si="45"/>
        <v>263.13674400000002</v>
      </c>
      <c r="D196" s="33">
        <f t="shared" si="47"/>
        <v>29.062799999999999</v>
      </c>
      <c r="E196" s="33">
        <f t="shared" si="46"/>
        <v>64.261080000000007</v>
      </c>
      <c r="F196" s="2">
        <f t="shared" si="42"/>
        <v>356.460624</v>
      </c>
      <c r="G196" s="2">
        <v>0</v>
      </c>
      <c r="H196" s="2">
        <f t="shared" si="43"/>
        <v>534.69093599999997</v>
      </c>
      <c r="I196" s="124"/>
      <c r="J196" s="125"/>
    </row>
    <row r="197" spans="1:10" x14ac:dyDescent="0.25">
      <c r="A197" s="20">
        <f t="shared" si="44"/>
        <v>18</v>
      </c>
      <c r="B197" s="32" t="s">
        <v>190</v>
      </c>
      <c r="C197" s="32">
        <f t="shared" si="45"/>
        <v>263.13674400000002</v>
      </c>
      <c r="D197" s="33">
        <f t="shared" si="47"/>
        <v>29.062799999999999</v>
      </c>
      <c r="E197" s="33">
        <f t="shared" si="46"/>
        <v>64.261080000000007</v>
      </c>
      <c r="F197" s="2">
        <f t="shared" si="42"/>
        <v>356.460624</v>
      </c>
      <c r="G197" s="2">
        <v>0</v>
      </c>
      <c r="H197" s="2">
        <f t="shared" si="43"/>
        <v>534.69093599999997</v>
      </c>
      <c r="I197" s="124"/>
      <c r="J197" s="125"/>
    </row>
    <row r="198" spans="1:10" x14ac:dyDescent="0.25">
      <c r="A198" s="20">
        <f t="shared" si="44"/>
        <v>19</v>
      </c>
      <c r="B198" s="32" t="s">
        <v>190</v>
      </c>
      <c r="C198" s="32">
        <f t="shared" si="45"/>
        <v>263.13674400000002</v>
      </c>
      <c r="D198" s="33">
        <f t="shared" si="47"/>
        <v>29.062799999999999</v>
      </c>
      <c r="E198" s="33">
        <f t="shared" si="46"/>
        <v>64.261080000000007</v>
      </c>
      <c r="F198" s="2">
        <f t="shared" si="42"/>
        <v>356.460624</v>
      </c>
      <c r="G198" s="2">
        <v>0</v>
      </c>
      <c r="H198" s="2">
        <f t="shared" si="43"/>
        <v>534.69093599999997</v>
      </c>
      <c r="I198" s="124"/>
      <c r="J198" s="125"/>
    </row>
    <row r="199" spans="1:10" x14ac:dyDescent="0.25">
      <c r="A199" s="20">
        <f t="shared" si="44"/>
        <v>20</v>
      </c>
      <c r="B199" s="32" t="s">
        <v>190</v>
      </c>
      <c r="C199" s="32">
        <f t="shared" si="45"/>
        <v>263.13674400000002</v>
      </c>
      <c r="D199" s="33">
        <f t="shared" si="47"/>
        <v>29.062799999999999</v>
      </c>
      <c r="E199" s="33">
        <f t="shared" si="46"/>
        <v>64.261080000000007</v>
      </c>
      <c r="F199" s="2">
        <f t="shared" si="42"/>
        <v>356.460624</v>
      </c>
      <c r="G199" s="2">
        <v>0</v>
      </c>
      <c r="H199" s="2">
        <f t="shared" si="43"/>
        <v>534.69093599999997</v>
      </c>
      <c r="I199" s="124"/>
      <c r="J199" s="125"/>
    </row>
    <row r="200" spans="1:10" x14ac:dyDescent="0.25">
      <c r="A200" s="20">
        <f t="shared" si="44"/>
        <v>21</v>
      </c>
      <c r="B200" s="32" t="s">
        <v>190</v>
      </c>
      <c r="C200" s="32">
        <f t="shared" si="45"/>
        <v>263.13674400000002</v>
      </c>
      <c r="D200" s="33">
        <f t="shared" si="47"/>
        <v>29.062799999999999</v>
      </c>
      <c r="E200" s="33">
        <f t="shared" si="46"/>
        <v>64.261080000000007</v>
      </c>
      <c r="F200" s="2">
        <f t="shared" si="42"/>
        <v>356.460624</v>
      </c>
      <c r="G200" s="2">
        <v>0</v>
      </c>
      <c r="H200" s="2">
        <f t="shared" si="43"/>
        <v>534.69093599999997</v>
      </c>
      <c r="I200" s="124"/>
      <c r="J200" s="125"/>
    </row>
    <row r="201" spans="1:10" x14ac:dyDescent="0.25">
      <c r="A201" s="20">
        <f t="shared" si="44"/>
        <v>22</v>
      </c>
      <c r="B201" s="32" t="s">
        <v>190</v>
      </c>
      <c r="C201" s="32">
        <f t="shared" si="45"/>
        <v>263.13674400000002</v>
      </c>
      <c r="D201" s="33">
        <f t="shared" si="47"/>
        <v>29.062799999999999</v>
      </c>
      <c r="E201" s="33">
        <f t="shared" si="46"/>
        <v>64.261080000000007</v>
      </c>
      <c r="F201" s="2">
        <f t="shared" si="42"/>
        <v>356.460624</v>
      </c>
      <c r="G201" s="2">
        <v>0</v>
      </c>
      <c r="H201" s="2">
        <f t="shared" si="43"/>
        <v>534.69093599999997</v>
      </c>
      <c r="I201" s="124"/>
      <c r="J201" s="125"/>
    </row>
    <row r="202" spans="1:10" x14ac:dyDescent="0.25">
      <c r="A202" s="20">
        <f t="shared" si="44"/>
        <v>23</v>
      </c>
      <c r="B202" s="32" t="s">
        <v>190</v>
      </c>
      <c r="C202" s="32">
        <f t="shared" si="45"/>
        <v>263.13674400000002</v>
      </c>
      <c r="D202" s="33">
        <f t="shared" si="47"/>
        <v>29.062799999999999</v>
      </c>
      <c r="E202" s="33">
        <f t="shared" si="46"/>
        <v>64.261080000000007</v>
      </c>
      <c r="F202" s="2">
        <f t="shared" si="42"/>
        <v>356.460624</v>
      </c>
      <c r="G202" s="2">
        <v>0</v>
      </c>
      <c r="H202" s="2">
        <f t="shared" si="43"/>
        <v>534.69093599999997</v>
      </c>
      <c r="I202" s="124"/>
      <c r="J202" s="125"/>
    </row>
    <row r="203" spans="1:10" x14ac:dyDescent="0.25">
      <c r="A203" s="20">
        <f t="shared" si="44"/>
        <v>24</v>
      </c>
      <c r="B203" s="32" t="s">
        <v>190</v>
      </c>
      <c r="C203" s="32">
        <f t="shared" si="45"/>
        <v>263.13674400000002</v>
      </c>
      <c r="D203" s="33">
        <f t="shared" si="47"/>
        <v>29.062799999999999</v>
      </c>
      <c r="E203" s="33">
        <f t="shared" si="46"/>
        <v>64.261080000000007</v>
      </c>
      <c r="F203" s="2">
        <f t="shared" si="42"/>
        <v>356.460624</v>
      </c>
      <c r="G203" s="2">
        <v>0</v>
      </c>
      <c r="H203" s="2">
        <f t="shared" si="43"/>
        <v>534.69093599999997</v>
      </c>
      <c r="I203" s="124"/>
      <c r="J203" s="125"/>
    </row>
    <row r="204" spans="1:10" x14ac:dyDescent="0.25">
      <c r="A204" s="20">
        <f t="shared" si="44"/>
        <v>25</v>
      </c>
      <c r="B204" s="32" t="s">
        <v>190</v>
      </c>
      <c r="C204" s="32">
        <f t="shared" si="45"/>
        <v>263.13674400000002</v>
      </c>
      <c r="D204" s="33">
        <f t="shared" si="47"/>
        <v>29.062799999999999</v>
      </c>
      <c r="E204" s="33">
        <f t="shared" si="46"/>
        <v>64.261080000000007</v>
      </c>
      <c r="F204" s="2">
        <f t="shared" si="42"/>
        <v>356.460624</v>
      </c>
      <c r="G204" s="2">
        <v>0</v>
      </c>
      <c r="H204" s="2">
        <f t="shared" si="43"/>
        <v>534.69093599999997</v>
      </c>
      <c r="I204" s="124"/>
      <c r="J204" s="125"/>
    </row>
    <row r="205" spans="1:10" x14ac:dyDescent="0.25">
      <c r="A205" s="20">
        <f t="shared" si="44"/>
        <v>26</v>
      </c>
      <c r="B205" s="32" t="s">
        <v>190</v>
      </c>
      <c r="C205" s="32">
        <f t="shared" si="45"/>
        <v>263.13674400000002</v>
      </c>
      <c r="D205" s="33">
        <f t="shared" si="47"/>
        <v>29.062799999999999</v>
      </c>
      <c r="E205" s="33">
        <f t="shared" si="46"/>
        <v>64.261080000000007</v>
      </c>
      <c r="F205" s="2">
        <f t="shared" si="42"/>
        <v>356.460624</v>
      </c>
      <c r="G205" s="2">
        <v>0</v>
      </c>
      <c r="H205" s="2">
        <f t="shared" si="43"/>
        <v>534.69093599999997</v>
      </c>
      <c r="I205" s="124"/>
      <c r="J205" s="125"/>
    </row>
    <row r="206" spans="1:10" x14ac:dyDescent="0.25">
      <c r="A206" s="20">
        <f t="shared" si="44"/>
        <v>27</v>
      </c>
      <c r="B206" s="32" t="s">
        <v>190</v>
      </c>
      <c r="C206" s="32">
        <f t="shared" si="45"/>
        <v>263.13674400000002</v>
      </c>
      <c r="D206" s="33">
        <f t="shared" si="47"/>
        <v>29.062799999999999</v>
      </c>
      <c r="E206" s="33">
        <f t="shared" si="46"/>
        <v>64.261080000000007</v>
      </c>
      <c r="F206" s="2">
        <f t="shared" si="42"/>
        <v>356.460624</v>
      </c>
      <c r="G206" s="2">
        <v>0</v>
      </c>
      <c r="H206" s="2">
        <f t="shared" si="43"/>
        <v>534.69093599999997</v>
      </c>
      <c r="I206" s="124"/>
      <c r="J206" s="125"/>
    </row>
    <row r="207" spans="1:10" x14ac:dyDescent="0.25">
      <c r="A207" s="20">
        <f t="shared" si="44"/>
        <v>28</v>
      </c>
      <c r="B207" s="32" t="s">
        <v>190</v>
      </c>
      <c r="C207" s="32">
        <f t="shared" si="45"/>
        <v>263.13674400000002</v>
      </c>
      <c r="D207" s="33">
        <f t="shared" si="47"/>
        <v>29.062799999999999</v>
      </c>
      <c r="E207" s="33">
        <f t="shared" si="46"/>
        <v>64.261080000000007</v>
      </c>
      <c r="F207" s="2">
        <f t="shared" si="42"/>
        <v>356.460624</v>
      </c>
      <c r="G207" s="2">
        <v>0</v>
      </c>
      <c r="H207" s="2">
        <f t="shared" si="43"/>
        <v>534.69093599999997</v>
      </c>
      <c r="I207" s="126"/>
      <c r="J207" s="127"/>
    </row>
    <row r="208" spans="1:10" ht="34.5" customHeight="1" x14ac:dyDescent="0.25">
      <c r="A208" s="23">
        <v>48</v>
      </c>
      <c r="B208" s="95" t="s">
        <v>51</v>
      </c>
      <c r="C208" s="95"/>
      <c r="D208" s="95"/>
      <c r="E208" s="95"/>
      <c r="F208" s="68" t="s">
        <v>210</v>
      </c>
      <c r="G208" s="68"/>
      <c r="H208" s="68"/>
      <c r="I208" s="68"/>
      <c r="J208" s="68"/>
    </row>
    <row r="209" spans="1:12" ht="45" customHeight="1" x14ac:dyDescent="0.25">
      <c r="A209" s="23">
        <v>49</v>
      </c>
      <c r="B209" s="95" t="s">
        <v>142</v>
      </c>
      <c r="C209" s="95"/>
      <c r="D209" s="95"/>
      <c r="E209" s="95"/>
      <c r="F209" s="68" t="s">
        <v>198</v>
      </c>
      <c r="G209" s="68"/>
      <c r="H209" s="68"/>
      <c r="I209" s="68"/>
      <c r="J209" s="68"/>
    </row>
    <row r="210" spans="1:12" ht="49.8" customHeight="1" x14ac:dyDescent="0.25">
      <c r="A210" s="23">
        <v>50</v>
      </c>
      <c r="B210" s="95" t="s">
        <v>52</v>
      </c>
      <c r="C210" s="95"/>
      <c r="D210" s="95"/>
      <c r="E210" s="95"/>
      <c r="F210" s="87" t="s">
        <v>74</v>
      </c>
      <c r="G210" s="87"/>
      <c r="H210" s="87"/>
      <c r="I210" s="87"/>
      <c r="J210" s="87"/>
    </row>
    <row r="211" spans="1:12" ht="15" customHeight="1" x14ac:dyDescent="0.25">
      <c r="A211" s="119">
        <v>51</v>
      </c>
      <c r="B211" s="95" t="s">
        <v>53</v>
      </c>
      <c r="C211" s="95"/>
      <c r="D211" s="95"/>
      <c r="E211" s="95"/>
      <c r="F211" s="170" t="s">
        <v>73</v>
      </c>
      <c r="G211" s="170"/>
      <c r="H211" s="170"/>
      <c r="I211" s="170"/>
      <c r="J211" s="170"/>
    </row>
    <row r="212" spans="1:12" ht="32.4" customHeight="1" x14ac:dyDescent="0.25">
      <c r="A212" s="119"/>
      <c r="B212" s="95"/>
      <c r="C212" s="95"/>
      <c r="D212" s="95"/>
      <c r="E212" s="95"/>
      <c r="F212" s="69" t="s">
        <v>223</v>
      </c>
      <c r="G212" s="69"/>
      <c r="H212" s="69"/>
      <c r="I212" s="69">
        <v>5300</v>
      </c>
      <c r="J212" s="69"/>
      <c r="K212" s="6" t="s">
        <v>225</v>
      </c>
      <c r="L212" s="6" t="s">
        <v>226</v>
      </c>
    </row>
    <row r="213" spans="1:12" ht="32.4" hidden="1" customHeight="1" x14ac:dyDescent="0.25">
      <c r="A213" s="119"/>
      <c r="B213" s="95"/>
      <c r="C213" s="95"/>
      <c r="D213" s="95"/>
      <c r="E213" s="95"/>
      <c r="F213" s="69" t="s">
        <v>222</v>
      </c>
      <c r="G213" s="69"/>
      <c r="H213" s="69"/>
      <c r="I213" s="69">
        <v>7500</v>
      </c>
      <c r="J213" s="69"/>
    </row>
    <row r="214" spans="1:12" ht="29.4" customHeight="1" x14ac:dyDescent="0.25">
      <c r="A214" s="23">
        <v>52</v>
      </c>
      <c r="B214" s="95" t="s">
        <v>54</v>
      </c>
      <c r="C214" s="95"/>
      <c r="D214" s="95"/>
      <c r="E214" s="95"/>
      <c r="F214" s="68" t="s">
        <v>74</v>
      </c>
      <c r="G214" s="68"/>
      <c r="H214" s="68"/>
      <c r="I214" s="68"/>
      <c r="J214" s="68"/>
    </row>
    <row r="215" spans="1:12" ht="15" customHeight="1" x14ac:dyDescent="0.25">
      <c r="A215" s="119">
        <v>53</v>
      </c>
      <c r="B215" s="95" t="s">
        <v>55</v>
      </c>
      <c r="C215" s="95"/>
      <c r="D215" s="95"/>
      <c r="E215" s="95"/>
      <c r="F215" s="172" t="s">
        <v>163</v>
      </c>
      <c r="G215" s="172"/>
      <c r="H215" s="172"/>
      <c r="I215" s="172"/>
      <c r="J215" s="172"/>
    </row>
    <row r="216" spans="1:12" ht="45" customHeight="1" x14ac:dyDescent="0.25">
      <c r="A216" s="119"/>
      <c r="B216" s="95"/>
      <c r="C216" s="95"/>
      <c r="D216" s="95"/>
      <c r="E216" s="95"/>
      <c r="F216" s="69" t="s">
        <v>221</v>
      </c>
      <c r="G216" s="69"/>
      <c r="H216" s="69"/>
      <c r="I216" s="69">
        <v>5300</v>
      </c>
      <c r="J216" s="69"/>
    </row>
    <row r="217" spans="1:12" ht="33" hidden="1" customHeight="1" x14ac:dyDescent="0.25">
      <c r="A217" s="119"/>
      <c r="B217" s="95"/>
      <c r="C217" s="95"/>
      <c r="D217" s="95"/>
      <c r="E217" s="95"/>
      <c r="F217" s="69" t="s">
        <v>222</v>
      </c>
      <c r="G217" s="69"/>
      <c r="H217" s="69"/>
      <c r="I217" s="69">
        <v>7500</v>
      </c>
      <c r="J217" s="69"/>
    </row>
    <row r="218" spans="1:12" ht="15" hidden="1" customHeight="1" x14ac:dyDescent="0.25">
      <c r="A218" s="119"/>
      <c r="B218" s="95"/>
      <c r="C218" s="95"/>
      <c r="D218" s="95"/>
      <c r="E218" s="95"/>
      <c r="F218" s="69" t="s">
        <v>106</v>
      </c>
      <c r="G218" s="69"/>
      <c r="H218" s="69"/>
      <c r="I218" s="69"/>
      <c r="J218" s="69"/>
    </row>
    <row r="219" spans="1:12" ht="15" hidden="1" customHeight="1" x14ac:dyDescent="0.25">
      <c r="A219" s="119"/>
      <c r="B219" s="95"/>
      <c r="C219" s="95"/>
      <c r="D219" s="95"/>
      <c r="E219" s="95"/>
      <c r="F219" s="69" t="s">
        <v>107</v>
      </c>
      <c r="G219" s="69"/>
      <c r="H219" s="69"/>
      <c r="I219" s="69"/>
      <c r="J219" s="69"/>
    </row>
    <row r="220" spans="1:12" hidden="1" x14ac:dyDescent="0.25">
      <c r="A220" s="119"/>
      <c r="B220" s="95"/>
      <c r="C220" s="95"/>
      <c r="D220" s="95"/>
      <c r="E220" s="95"/>
      <c r="F220" s="69" t="s">
        <v>108</v>
      </c>
      <c r="G220" s="69"/>
      <c r="H220" s="69"/>
      <c r="I220" s="69"/>
      <c r="J220" s="69"/>
    </row>
    <row r="221" spans="1:12" ht="45" customHeight="1" x14ac:dyDescent="0.25">
      <c r="A221" s="119"/>
      <c r="B221" s="95"/>
      <c r="C221" s="95"/>
      <c r="D221" s="95"/>
      <c r="E221" s="95"/>
      <c r="F221" s="95" t="s">
        <v>15</v>
      </c>
      <c r="G221" s="95"/>
      <c r="H221" s="95"/>
      <c r="I221" s="69">
        <v>200000</v>
      </c>
      <c r="J221" s="69"/>
      <c r="L221" s="6" t="s">
        <v>227</v>
      </c>
    </row>
    <row r="222" spans="1:12" ht="11.4" hidden="1" customHeight="1" x14ac:dyDescent="0.25">
      <c r="A222" s="119"/>
      <c r="B222" s="95"/>
      <c r="C222" s="95"/>
      <c r="D222" s="95"/>
      <c r="E222" s="95"/>
      <c r="F222" s="95" t="s">
        <v>13</v>
      </c>
      <c r="G222" s="95"/>
      <c r="H222" s="95"/>
      <c r="I222" s="95"/>
      <c r="J222" s="95"/>
    </row>
    <row r="223" spans="1:12" ht="45" customHeight="1" x14ac:dyDescent="0.25">
      <c r="A223" s="23">
        <v>54</v>
      </c>
      <c r="B223" s="95" t="s">
        <v>56</v>
      </c>
      <c r="C223" s="95"/>
      <c r="D223" s="95"/>
      <c r="E223" s="95"/>
      <c r="F223" s="87" t="s">
        <v>11</v>
      </c>
      <c r="G223" s="87"/>
      <c r="H223" s="87"/>
      <c r="I223" s="87"/>
      <c r="J223" s="87"/>
    </row>
    <row r="224" spans="1:12" x14ac:dyDescent="0.25">
      <c r="A224" s="119">
        <v>55</v>
      </c>
      <c r="B224" s="95" t="s">
        <v>57</v>
      </c>
      <c r="C224" s="95"/>
      <c r="D224" s="95"/>
      <c r="E224" s="95"/>
      <c r="F224" s="54" t="s">
        <v>199</v>
      </c>
      <c r="G224" s="54"/>
      <c r="H224" s="54"/>
      <c r="I224" s="131">
        <v>0.1</v>
      </c>
      <c r="J224" s="132"/>
    </row>
    <row r="225" spans="1:10" x14ac:dyDescent="0.25">
      <c r="A225" s="119"/>
      <c r="B225" s="95"/>
      <c r="C225" s="95"/>
      <c r="D225" s="95"/>
      <c r="E225" s="95"/>
      <c r="F225" s="54" t="s">
        <v>200</v>
      </c>
      <c r="G225" s="54"/>
      <c r="H225" s="54"/>
      <c r="I225" s="131">
        <v>0.15</v>
      </c>
      <c r="J225" s="132"/>
    </row>
    <row r="226" spans="1:10" x14ac:dyDescent="0.25">
      <c r="A226" s="119"/>
      <c r="B226" s="95"/>
      <c r="C226" s="95"/>
      <c r="D226" s="95"/>
      <c r="E226" s="95"/>
      <c r="F226" s="54" t="s">
        <v>201</v>
      </c>
      <c r="G226" s="54"/>
      <c r="H226" s="54"/>
      <c r="I226" s="131">
        <v>0.1</v>
      </c>
      <c r="J226" s="132"/>
    </row>
    <row r="227" spans="1:10" x14ac:dyDescent="0.25">
      <c r="A227" s="119"/>
      <c r="B227" s="95"/>
      <c r="C227" s="95"/>
      <c r="D227" s="95"/>
      <c r="E227" s="95"/>
      <c r="F227" s="54" t="s">
        <v>202</v>
      </c>
      <c r="G227" s="54"/>
      <c r="H227" s="54"/>
      <c r="I227" s="131">
        <v>0.1</v>
      </c>
      <c r="J227" s="132"/>
    </row>
    <row r="228" spans="1:10" x14ac:dyDescent="0.25">
      <c r="A228" s="119"/>
      <c r="B228" s="95"/>
      <c r="C228" s="95"/>
      <c r="D228" s="95"/>
      <c r="E228" s="95"/>
      <c r="F228" s="54" t="s">
        <v>203</v>
      </c>
      <c r="G228" s="54"/>
      <c r="H228" s="54"/>
      <c r="I228" s="131">
        <v>0.1</v>
      </c>
      <c r="J228" s="132"/>
    </row>
    <row r="229" spans="1:10" x14ac:dyDescent="0.25">
      <c r="A229" s="119"/>
      <c r="B229" s="95"/>
      <c r="C229" s="95"/>
      <c r="D229" s="95"/>
      <c r="E229" s="95"/>
      <c r="F229" s="54" t="s">
        <v>204</v>
      </c>
      <c r="G229" s="54"/>
      <c r="H229" s="54"/>
      <c r="I229" s="131">
        <v>0.1</v>
      </c>
      <c r="J229" s="132"/>
    </row>
    <row r="230" spans="1:10" x14ac:dyDescent="0.25">
      <c r="A230" s="119"/>
      <c r="B230" s="95"/>
      <c r="C230" s="95"/>
      <c r="D230" s="95"/>
      <c r="E230" s="95"/>
      <c r="F230" s="54" t="s">
        <v>205</v>
      </c>
      <c r="G230" s="54"/>
      <c r="H230" s="54"/>
      <c r="I230" s="131">
        <v>0.05</v>
      </c>
      <c r="J230" s="132"/>
    </row>
    <row r="231" spans="1:10" ht="31.5" customHeight="1" x14ac:dyDescent="0.25">
      <c r="A231" s="119"/>
      <c r="B231" s="95"/>
      <c r="C231" s="95"/>
      <c r="D231" s="95"/>
      <c r="E231" s="95"/>
      <c r="F231" s="54" t="s">
        <v>206</v>
      </c>
      <c r="G231" s="54"/>
      <c r="H231" s="54"/>
      <c r="I231" s="131">
        <v>0.15</v>
      </c>
      <c r="J231" s="132"/>
    </row>
    <row r="232" spans="1:10" ht="15" customHeight="1" x14ac:dyDescent="0.25">
      <c r="A232" s="119"/>
      <c r="B232" s="95"/>
      <c r="C232" s="95"/>
      <c r="D232" s="95"/>
      <c r="E232" s="95"/>
      <c r="F232" s="54" t="s">
        <v>207</v>
      </c>
      <c r="G232" s="54"/>
      <c r="H232" s="54"/>
      <c r="I232" s="131">
        <v>0.1</v>
      </c>
      <c r="J232" s="132"/>
    </row>
    <row r="233" spans="1:10" ht="15" customHeight="1" x14ac:dyDescent="0.25">
      <c r="A233" s="119"/>
      <c r="B233" s="95"/>
      <c r="C233" s="95"/>
      <c r="D233" s="95"/>
      <c r="E233" s="95"/>
      <c r="F233" s="54" t="s">
        <v>111</v>
      </c>
      <c r="G233" s="54"/>
      <c r="H233" s="54"/>
      <c r="I233" s="131">
        <v>0.05</v>
      </c>
      <c r="J233" s="132"/>
    </row>
    <row r="234" spans="1:10" x14ac:dyDescent="0.25">
      <c r="A234" s="119"/>
      <c r="B234" s="95"/>
      <c r="C234" s="95"/>
      <c r="D234" s="95"/>
      <c r="E234" s="95"/>
      <c r="F234" s="54" t="s">
        <v>14</v>
      </c>
      <c r="G234" s="54"/>
      <c r="H234" s="54"/>
      <c r="I234" s="131">
        <f>SUM(I224:J233)</f>
        <v>1</v>
      </c>
      <c r="J234" s="132"/>
    </row>
    <row r="235" spans="1:10" ht="45.6" customHeight="1" x14ac:dyDescent="0.25">
      <c r="A235" s="23">
        <v>56</v>
      </c>
      <c r="B235" s="95" t="s">
        <v>58</v>
      </c>
      <c r="C235" s="95"/>
      <c r="D235" s="95"/>
      <c r="E235" s="95"/>
      <c r="F235" s="87" t="s">
        <v>72</v>
      </c>
      <c r="G235" s="87"/>
      <c r="H235" s="87"/>
      <c r="I235" s="87"/>
      <c r="J235" s="87"/>
    </row>
    <row r="236" spans="1:10" ht="45.6" customHeight="1" x14ac:dyDescent="0.25">
      <c r="A236" s="23">
        <v>57</v>
      </c>
      <c r="B236" s="95" t="s">
        <v>59</v>
      </c>
      <c r="C236" s="95"/>
      <c r="D236" s="95"/>
      <c r="E236" s="95"/>
      <c r="F236" s="87" t="s">
        <v>72</v>
      </c>
      <c r="G236" s="87"/>
      <c r="H236" s="87"/>
      <c r="I236" s="87"/>
      <c r="J236" s="87"/>
    </row>
    <row r="237" spans="1:10" ht="45.6" customHeight="1" x14ac:dyDescent="0.25">
      <c r="A237" s="23">
        <v>58</v>
      </c>
      <c r="B237" s="95" t="s">
        <v>60</v>
      </c>
      <c r="C237" s="95"/>
      <c r="D237" s="95"/>
      <c r="E237" s="95"/>
      <c r="F237" s="87" t="s">
        <v>72</v>
      </c>
      <c r="G237" s="87"/>
      <c r="H237" s="87"/>
      <c r="I237" s="87"/>
      <c r="J237" s="87"/>
    </row>
    <row r="238" spans="1:10" ht="58.8" customHeight="1" x14ac:dyDescent="0.25">
      <c r="A238" s="23">
        <v>59</v>
      </c>
      <c r="B238" s="95" t="s">
        <v>61</v>
      </c>
      <c r="C238" s="95"/>
      <c r="D238" s="95"/>
      <c r="E238" s="95"/>
      <c r="F238" s="87" t="s">
        <v>72</v>
      </c>
      <c r="G238" s="87"/>
      <c r="H238" s="87"/>
      <c r="I238" s="87"/>
      <c r="J238" s="87"/>
    </row>
    <row r="239" spans="1:10" x14ac:dyDescent="0.25">
      <c r="A239" s="23">
        <v>60</v>
      </c>
      <c r="B239" s="95" t="s">
        <v>62</v>
      </c>
      <c r="C239" s="95"/>
      <c r="D239" s="95"/>
      <c r="E239" s="95"/>
      <c r="F239" s="95"/>
      <c r="G239" s="95"/>
      <c r="H239" s="95"/>
      <c r="I239" s="95"/>
      <c r="J239" s="95"/>
    </row>
    <row r="240" spans="1:10" ht="30.6" customHeight="1" x14ac:dyDescent="0.25">
      <c r="A240" s="23" t="s">
        <v>63</v>
      </c>
      <c r="B240" s="95" t="s">
        <v>64</v>
      </c>
      <c r="C240" s="95"/>
      <c r="D240" s="95"/>
      <c r="E240" s="95"/>
      <c r="F240" s="87" t="s">
        <v>72</v>
      </c>
      <c r="G240" s="87"/>
      <c r="H240" s="87"/>
      <c r="I240" s="87"/>
      <c r="J240" s="87"/>
    </row>
    <row r="241" spans="1:10" ht="45.6" customHeight="1" x14ac:dyDescent="0.25">
      <c r="A241" s="23" t="s">
        <v>66</v>
      </c>
      <c r="B241" s="95" t="s">
        <v>65</v>
      </c>
      <c r="C241" s="95"/>
      <c r="D241" s="95"/>
      <c r="E241" s="95"/>
      <c r="F241" s="87" t="s">
        <v>74</v>
      </c>
      <c r="G241" s="87"/>
      <c r="H241" s="87"/>
      <c r="I241" s="87"/>
      <c r="J241" s="87"/>
    </row>
    <row r="242" spans="1:10" x14ac:dyDescent="0.25">
      <c r="A242" s="171" t="s">
        <v>155</v>
      </c>
      <c r="B242" s="171"/>
      <c r="C242" s="171"/>
      <c r="D242" s="171"/>
      <c r="E242" s="171"/>
      <c r="F242" s="171"/>
      <c r="G242" s="171"/>
      <c r="H242" s="171"/>
      <c r="I242" s="171"/>
      <c r="J242" s="171"/>
    </row>
    <row r="243" spans="1:10" ht="15" customHeight="1" x14ac:dyDescent="0.25">
      <c r="A243" s="28">
        <v>1</v>
      </c>
      <c r="B243" s="51" t="s">
        <v>183</v>
      </c>
      <c r="C243" s="52"/>
      <c r="D243" s="52"/>
      <c r="E243" s="52"/>
      <c r="F243" s="52"/>
      <c r="G243" s="52"/>
      <c r="H243" s="52"/>
      <c r="I243" s="52"/>
      <c r="J243" s="53"/>
    </row>
    <row r="244" spans="1:10" x14ac:dyDescent="0.25">
      <c r="A244" s="28">
        <v>2</v>
      </c>
      <c r="B244" s="48" t="s">
        <v>152</v>
      </c>
      <c r="C244" s="49"/>
      <c r="D244" s="49"/>
      <c r="E244" s="49"/>
      <c r="F244" s="49"/>
      <c r="G244" s="49"/>
      <c r="H244" s="49"/>
      <c r="I244" s="49"/>
      <c r="J244" s="50"/>
    </row>
    <row r="245" spans="1:10" x14ac:dyDescent="0.25">
      <c r="A245" s="28">
        <v>3</v>
      </c>
      <c r="B245" s="48" t="s">
        <v>151</v>
      </c>
      <c r="C245" s="49"/>
      <c r="D245" s="49"/>
      <c r="E245" s="49"/>
      <c r="F245" s="49"/>
      <c r="G245" s="49"/>
      <c r="H245" s="49"/>
      <c r="I245" s="49"/>
      <c r="J245" s="50"/>
    </row>
    <row r="246" spans="1:10" x14ac:dyDescent="0.25">
      <c r="A246" s="28">
        <v>4</v>
      </c>
      <c r="B246" s="48" t="s">
        <v>208</v>
      </c>
      <c r="C246" s="49"/>
      <c r="D246" s="49"/>
      <c r="E246" s="49"/>
      <c r="F246" s="49"/>
      <c r="G246" s="49"/>
      <c r="H246" s="49"/>
      <c r="I246" s="49"/>
      <c r="J246" s="50"/>
    </row>
    <row r="247" spans="1:10" x14ac:dyDescent="0.25">
      <c r="A247" s="28">
        <v>5</v>
      </c>
      <c r="B247" s="48" t="s">
        <v>153</v>
      </c>
      <c r="C247" s="49"/>
      <c r="D247" s="49"/>
      <c r="E247" s="49"/>
      <c r="F247" s="49"/>
      <c r="G247" s="49"/>
      <c r="H247" s="49"/>
      <c r="I247" s="49"/>
      <c r="J247" s="50"/>
    </row>
    <row r="248" spans="1:10" x14ac:dyDescent="0.25">
      <c r="A248" s="28">
        <v>6</v>
      </c>
      <c r="B248" s="48" t="s">
        <v>154</v>
      </c>
      <c r="C248" s="49"/>
      <c r="D248" s="49"/>
      <c r="E248" s="49"/>
      <c r="F248" s="49"/>
      <c r="G248" s="49"/>
      <c r="H248" s="49"/>
      <c r="I248" s="49"/>
      <c r="J248" s="50"/>
    </row>
    <row r="249" spans="1:10" x14ac:dyDescent="0.25">
      <c r="A249" s="28">
        <v>7</v>
      </c>
      <c r="B249" s="48" t="s">
        <v>220</v>
      </c>
      <c r="C249" s="49"/>
      <c r="D249" s="49"/>
      <c r="E249" s="49"/>
      <c r="F249" s="49"/>
      <c r="G249" s="49"/>
      <c r="H249" s="49"/>
      <c r="I249" s="49"/>
      <c r="J249" s="50"/>
    </row>
    <row r="250" spans="1:10" x14ac:dyDescent="0.25">
      <c r="A250" s="28">
        <v>8</v>
      </c>
      <c r="B250" s="48" t="s">
        <v>229</v>
      </c>
      <c r="C250" s="49"/>
      <c r="D250" s="49"/>
      <c r="E250" s="49"/>
      <c r="F250" s="49"/>
      <c r="G250" s="49"/>
      <c r="H250" s="49"/>
      <c r="I250" s="49"/>
      <c r="J250" s="50"/>
    </row>
    <row r="251" spans="1:10" x14ac:dyDescent="0.25">
      <c r="A251" s="24" t="s">
        <v>93</v>
      </c>
      <c r="B251" s="15"/>
      <c r="C251" s="15"/>
      <c r="D251" s="186" t="str">
        <f>F4</f>
        <v>Suraksha Smart City Phase I</v>
      </c>
      <c r="E251" s="186"/>
      <c r="F251" s="186"/>
      <c r="G251" s="186"/>
      <c r="H251" s="186"/>
      <c r="I251" s="186"/>
      <c r="J251" s="186"/>
    </row>
    <row r="252" spans="1:10" x14ac:dyDescent="0.25">
      <c r="A252" s="25"/>
      <c r="B252" s="15"/>
      <c r="C252" s="15"/>
      <c r="D252" s="15"/>
      <c r="E252" s="15"/>
      <c r="F252" s="15"/>
      <c r="G252" s="15"/>
      <c r="H252" s="15"/>
      <c r="I252" s="15"/>
      <c r="J252" s="15"/>
    </row>
    <row r="253" spans="1:10" x14ac:dyDescent="0.25">
      <c r="A253" s="25"/>
      <c r="B253" s="15"/>
      <c r="C253" s="15"/>
      <c r="D253" s="15"/>
      <c r="E253" s="15"/>
      <c r="F253" s="15"/>
      <c r="G253" s="15"/>
      <c r="H253" s="15"/>
      <c r="I253" s="15"/>
      <c r="J253" s="15"/>
    </row>
    <row r="272" spans="3:8" x14ac:dyDescent="0.25">
      <c r="C272" s="16"/>
      <c r="G272" s="177"/>
      <c r="H272" s="177"/>
    </row>
    <row r="297" spans="1:1" x14ac:dyDescent="0.25">
      <c r="A297" s="27" t="s">
        <v>147</v>
      </c>
    </row>
    <row r="341" spans="1:10" x14ac:dyDescent="0.25">
      <c r="A341" s="27" t="s">
        <v>19</v>
      </c>
      <c r="B341" s="15"/>
      <c r="C341" s="15"/>
      <c r="D341" s="17"/>
      <c r="E341" s="18"/>
      <c r="F341" s="14"/>
      <c r="G341" s="15"/>
      <c r="H341" s="15"/>
      <c r="I341" s="15"/>
      <c r="J341" s="15"/>
    </row>
    <row r="342" spans="1:10" x14ac:dyDescent="0.25">
      <c r="A342" s="25"/>
      <c r="B342" s="15"/>
      <c r="C342" s="15"/>
      <c r="D342" s="15"/>
      <c r="E342" s="15"/>
      <c r="F342" s="15"/>
      <c r="G342" s="15"/>
      <c r="H342" s="15"/>
      <c r="I342" s="15"/>
      <c r="J342" s="15"/>
    </row>
    <row r="343" spans="1:10" x14ac:dyDescent="0.25">
      <c r="A343" s="25"/>
      <c r="B343" s="15"/>
      <c r="C343" s="15"/>
      <c r="D343" s="15"/>
      <c r="E343" s="15"/>
      <c r="F343" s="15"/>
      <c r="G343" s="15"/>
      <c r="H343" s="15"/>
      <c r="I343" s="15"/>
      <c r="J343" s="15"/>
    </row>
    <row r="362" spans="3:8" x14ac:dyDescent="0.25">
      <c r="C362" s="16"/>
      <c r="G362" s="177"/>
      <c r="H362" s="177"/>
    </row>
    <row r="368" spans="3:8" ht="47.25" customHeight="1" x14ac:dyDescent="0.25"/>
    <row r="377" spans="1:10" x14ac:dyDescent="0.25">
      <c r="A377" s="113" t="s">
        <v>0</v>
      </c>
      <c r="B377" s="113"/>
      <c r="C377" s="113"/>
      <c r="D377" s="113"/>
      <c r="E377" s="113"/>
      <c r="F377" s="113"/>
      <c r="G377" s="113"/>
      <c r="H377" s="113"/>
      <c r="I377" s="113"/>
      <c r="J377" s="113"/>
    </row>
    <row r="378" spans="1:10" x14ac:dyDescent="0.25">
      <c r="A378" s="113" t="s">
        <v>3</v>
      </c>
      <c r="B378" s="113"/>
      <c r="C378" s="113"/>
      <c r="D378" s="113"/>
      <c r="E378" s="113"/>
      <c r="F378" s="113"/>
      <c r="G378" s="113"/>
      <c r="H378" s="113"/>
      <c r="I378" s="113"/>
      <c r="J378" s="113"/>
    </row>
    <row r="379" spans="1:10" x14ac:dyDescent="0.25">
      <c r="A379" s="113" t="s">
        <v>1</v>
      </c>
      <c r="B379" s="113"/>
      <c r="C379" s="113"/>
      <c r="D379" s="113"/>
      <c r="E379" s="113"/>
      <c r="F379" s="113"/>
      <c r="G379" s="113"/>
      <c r="H379" s="113"/>
      <c r="I379" s="113"/>
      <c r="J379" s="113"/>
    </row>
    <row r="380" spans="1:10" x14ac:dyDescent="0.25">
      <c r="A380" s="113" t="s">
        <v>6</v>
      </c>
      <c r="B380" s="113"/>
      <c r="C380" s="113"/>
      <c r="D380" s="113"/>
      <c r="E380" s="113"/>
      <c r="F380" s="113"/>
      <c r="G380" s="113"/>
      <c r="H380" s="113"/>
      <c r="I380" s="113"/>
      <c r="J380" s="113"/>
    </row>
    <row r="381" spans="1:10" x14ac:dyDescent="0.25">
      <c r="A381" s="113" t="s">
        <v>12</v>
      </c>
      <c r="B381" s="113"/>
      <c r="C381" s="113"/>
      <c r="D381" s="113"/>
      <c r="E381" s="113"/>
      <c r="F381" s="113"/>
      <c r="G381" s="113"/>
      <c r="H381" s="113"/>
      <c r="I381" s="113"/>
      <c r="J381" s="113"/>
    </row>
    <row r="382" spans="1:10" x14ac:dyDescent="0.25">
      <c r="A382" s="113" t="s">
        <v>7</v>
      </c>
      <c r="B382" s="113"/>
      <c r="C382" s="113"/>
      <c r="D382" s="113"/>
      <c r="E382" s="113"/>
      <c r="F382" s="113"/>
      <c r="G382" s="113"/>
      <c r="H382" s="113"/>
      <c r="I382" s="113"/>
      <c r="J382" s="113"/>
    </row>
    <row r="383" spans="1:10" ht="37.5" customHeight="1" x14ac:dyDescent="0.25">
      <c r="A383" s="178" t="s">
        <v>141</v>
      </c>
      <c r="B383" s="179"/>
      <c r="C383" s="178" t="s">
        <v>212</v>
      </c>
      <c r="D383" s="179"/>
      <c r="E383" s="178" t="s">
        <v>140</v>
      </c>
      <c r="F383" s="179"/>
      <c r="G383" s="183"/>
      <c r="H383" s="184"/>
      <c r="I383" s="184"/>
      <c r="J383" s="185"/>
    </row>
    <row r="384" spans="1:10" x14ac:dyDescent="0.25">
      <c r="A384" s="27"/>
    </row>
  </sheetData>
  <mergeCells count="314">
    <mergeCell ref="K69:S69"/>
    <mergeCell ref="A40:A41"/>
    <mergeCell ref="H7:J7"/>
    <mergeCell ref="K12:K13"/>
    <mergeCell ref="K23:L23"/>
    <mergeCell ref="K22:L22"/>
    <mergeCell ref="K24:L24"/>
    <mergeCell ref="K32:L33"/>
    <mergeCell ref="F45:J45"/>
    <mergeCell ref="F29:J29"/>
    <mergeCell ref="F38:J38"/>
    <mergeCell ref="F39:J39"/>
    <mergeCell ref="F40:J40"/>
    <mergeCell ref="F30:J30"/>
    <mergeCell ref="F44:J44"/>
    <mergeCell ref="F31:J31"/>
    <mergeCell ref="F32:J32"/>
    <mergeCell ref="F36:J36"/>
    <mergeCell ref="F41:J41"/>
    <mergeCell ref="F43:J43"/>
    <mergeCell ref="F37:J37"/>
    <mergeCell ref="F35:J35"/>
    <mergeCell ref="F42:J42"/>
    <mergeCell ref="F27:J27"/>
    <mergeCell ref="B71:E72"/>
    <mergeCell ref="G383:J383"/>
    <mergeCell ref="D251:J251"/>
    <mergeCell ref="D59:E59"/>
    <mergeCell ref="I117:J118"/>
    <mergeCell ref="K147:L147"/>
    <mergeCell ref="K136:L136"/>
    <mergeCell ref="I226:J226"/>
    <mergeCell ref="I229:J229"/>
    <mergeCell ref="F230:H230"/>
    <mergeCell ref="B241:E241"/>
    <mergeCell ref="B239:J239"/>
    <mergeCell ref="A380:J380"/>
    <mergeCell ref="F225:H225"/>
    <mergeCell ref="F231:H231"/>
    <mergeCell ref="A378:J378"/>
    <mergeCell ref="F236:J236"/>
    <mergeCell ref="F234:H234"/>
    <mergeCell ref="B240:E240"/>
    <mergeCell ref="A62:B62"/>
    <mergeCell ref="D62:E62"/>
    <mergeCell ref="E383:F383"/>
    <mergeCell ref="A383:B383"/>
    <mergeCell ref="C383:D383"/>
    <mergeCell ref="B245:J245"/>
    <mergeCell ref="B70:E70"/>
    <mergeCell ref="F63:J63"/>
    <mergeCell ref="B63:E63"/>
    <mergeCell ref="H75:J75"/>
    <mergeCell ref="F235:J235"/>
    <mergeCell ref="B224:E234"/>
    <mergeCell ref="I230:J230"/>
    <mergeCell ref="F227:H227"/>
    <mergeCell ref="F228:H228"/>
    <mergeCell ref="I228:J228"/>
    <mergeCell ref="F233:H233"/>
    <mergeCell ref="I233:J233"/>
    <mergeCell ref="F224:H224"/>
    <mergeCell ref="I224:J224"/>
    <mergeCell ref="I225:J225"/>
    <mergeCell ref="A88:J88"/>
    <mergeCell ref="A86:A87"/>
    <mergeCell ref="A77:B77"/>
    <mergeCell ref="C77:F77"/>
    <mergeCell ref="H77:J77"/>
    <mergeCell ref="F72:G72"/>
    <mergeCell ref="H72:J72"/>
    <mergeCell ref="F232:H232"/>
    <mergeCell ref="A76:B76"/>
    <mergeCell ref="C76:F76"/>
    <mergeCell ref="H76:J76"/>
    <mergeCell ref="A377:J377"/>
    <mergeCell ref="B237:E237"/>
    <mergeCell ref="A116:J116"/>
    <mergeCell ref="A117:A118"/>
    <mergeCell ref="B117:B118"/>
    <mergeCell ref="C117:C118"/>
    <mergeCell ref="D117:D118"/>
    <mergeCell ref="E117:E118"/>
    <mergeCell ref="F117:F118"/>
    <mergeCell ref="G362:H362"/>
    <mergeCell ref="I231:J231"/>
    <mergeCell ref="I122:J149"/>
    <mergeCell ref="G272:H272"/>
    <mergeCell ref="B236:E236"/>
    <mergeCell ref="F240:J240"/>
    <mergeCell ref="F237:J237"/>
    <mergeCell ref="B235:E235"/>
    <mergeCell ref="B249:J249"/>
    <mergeCell ref="B247:J247"/>
    <mergeCell ref="B246:J246"/>
    <mergeCell ref="B69:E69"/>
    <mergeCell ref="F65:J65"/>
    <mergeCell ref="A215:A222"/>
    <mergeCell ref="C74:F74"/>
    <mergeCell ref="I232:J232"/>
    <mergeCell ref="B214:E214"/>
    <mergeCell ref="F219:H219"/>
    <mergeCell ref="I219:J219"/>
    <mergeCell ref="A242:J242"/>
    <mergeCell ref="F222:H222"/>
    <mergeCell ref="I220:J220"/>
    <mergeCell ref="F221:H221"/>
    <mergeCell ref="F216:H216"/>
    <mergeCell ref="I217:J217"/>
    <mergeCell ref="I216:J216"/>
    <mergeCell ref="B215:E222"/>
    <mergeCell ref="F215:J215"/>
    <mergeCell ref="F217:H217"/>
    <mergeCell ref="F241:J241"/>
    <mergeCell ref="F226:H226"/>
    <mergeCell ref="A224:A234"/>
    <mergeCell ref="I227:J227"/>
    <mergeCell ref="B238:E238"/>
    <mergeCell ref="F25:J25"/>
    <mergeCell ref="B25:E25"/>
    <mergeCell ref="B23:E23"/>
    <mergeCell ref="F26:J26"/>
    <mergeCell ref="F15:J15"/>
    <mergeCell ref="F229:H229"/>
    <mergeCell ref="F33:J33"/>
    <mergeCell ref="B45:E45"/>
    <mergeCell ref="B47:E47"/>
    <mergeCell ref="B35:E35"/>
    <mergeCell ref="B34:E34"/>
    <mergeCell ref="F34:J34"/>
    <mergeCell ref="B29:E29"/>
    <mergeCell ref="B30:E30"/>
    <mergeCell ref="B31:E31"/>
    <mergeCell ref="B32:E32"/>
    <mergeCell ref="B33:E33"/>
    <mergeCell ref="B36:E36"/>
    <mergeCell ref="B39:E39"/>
    <mergeCell ref="B38:E38"/>
    <mergeCell ref="B37:E37"/>
    <mergeCell ref="F211:J211"/>
    <mergeCell ref="B223:E223"/>
    <mergeCell ref="F223:J223"/>
    <mergeCell ref="B24:E24"/>
    <mergeCell ref="F24:J24"/>
    <mergeCell ref="B17:E17"/>
    <mergeCell ref="B20:E20"/>
    <mergeCell ref="B18:E18"/>
    <mergeCell ref="B19:E19"/>
    <mergeCell ref="B21:E21"/>
    <mergeCell ref="F21:J21"/>
    <mergeCell ref="B22:E22"/>
    <mergeCell ref="F22:J22"/>
    <mergeCell ref="F17:J17"/>
    <mergeCell ref="F18:J18"/>
    <mergeCell ref="F19:J19"/>
    <mergeCell ref="F20:J20"/>
    <mergeCell ref="A1:J1"/>
    <mergeCell ref="A2:J2"/>
    <mergeCell ref="F12:J12"/>
    <mergeCell ref="F13:J13"/>
    <mergeCell ref="F14:J14"/>
    <mergeCell ref="B13:E13"/>
    <mergeCell ref="B14:E14"/>
    <mergeCell ref="B6:E7"/>
    <mergeCell ref="A6:A7"/>
    <mergeCell ref="B4:E4"/>
    <mergeCell ref="B10:E10"/>
    <mergeCell ref="B11:E11"/>
    <mergeCell ref="F10:J10"/>
    <mergeCell ref="F11:J11"/>
    <mergeCell ref="B9:E9"/>
    <mergeCell ref="F9:J9"/>
    <mergeCell ref="F3:J3"/>
    <mergeCell ref="B3:E3"/>
    <mergeCell ref="B12:E12"/>
    <mergeCell ref="F4:J4"/>
    <mergeCell ref="F6:J6"/>
    <mergeCell ref="B8:E8"/>
    <mergeCell ref="F8:J8"/>
    <mergeCell ref="F7:G7"/>
    <mergeCell ref="I91:J115"/>
    <mergeCell ref="A52:B52"/>
    <mergeCell ref="D52:E52"/>
    <mergeCell ref="F47:J47"/>
    <mergeCell ref="F64:J64"/>
    <mergeCell ref="A73:J73"/>
    <mergeCell ref="C80:D80"/>
    <mergeCell ref="F218:H218"/>
    <mergeCell ref="I218:J218"/>
    <mergeCell ref="A65:A68"/>
    <mergeCell ref="E80:G80"/>
    <mergeCell ref="A54:B54"/>
    <mergeCell ref="D54:E54"/>
    <mergeCell ref="A55:B55"/>
    <mergeCell ref="A81:J81"/>
    <mergeCell ref="D58:E58"/>
    <mergeCell ref="A59:B59"/>
    <mergeCell ref="A49:B49"/>
    <mergeCell ref="C49:J49"/>
    <mergeCell ref="E50:F50"/>
    <mergeCell ref="I50:J50"/>
    <mergeCell ref="A51:B51"/>
    <mergeCell ref="C51:J51"/>
    <mergeCell ref="A71:A72"/>
    <mergeCell ref="A382:J382"/>
    <mergeCell ref="I234:J234"/>
    <mergeCell ref="I222:J222"/>
    <mergeCell ref="F220:H220"/>
    <mergeCell ref="I221:J221"/>
    <mergeCell ref="A381:J381"/>
    <mergeCell ref="F238:J238"/>
    <mergeCell ref="A379:J379"/>
    <mergeCell ref="H82:J82"/>
    <mergeCell ref="E82:G82"/>
    <mergeCell ref="A83:B83"/>
    <mergeCell ref="G117:G118"/>
    <mergeCell ref="D86:D87"/>
    <mergeCell ref="A82:B82"/>
    <mergeCell ref="A84:J84"/>
    <mergeCell ref="A85:J85"/>
    <mergeCell ref="H83:J83"/>
    <mergeCell ref="C83:D83"/>
    <mergeCell ref="E83:G83"/>
    <mergeCell ref="C86:C87"/>
    <mergeCell ref="B86:B87"/>
    <mergeCell ref="A90:J90"/>
    <mergeCell ref="C82:D82"/>
    <mergeCell ref="B250:J250"/>
    <mergeCell ref="K125:L125"/>
    <mergeCell ref="F212:H212"/>
    <mergeCell ref="I212:J212"/>
    <mergeCell ref="A120:J120"/>
    <mergeCell ref="A211:A213"/>
    <mergeCell ref="F210:J210"/>
    <mergeCell ref="K150:L150"/>
    <mergeCell ref="B208:E208"/>
    <mergeCell ref="B209:E209"/>
    <mergeCell ref="B211:E213"/>
    <mergeCell ref="B210:E210"/>
    <mergeCell ref="I151:J178"/>
    <mergeCell ref="A179:J179"/>
    <mergeCell ref="I180:J207"/>
    <mergeCell ref="A150:J150"/>
    <mergeCell ref="B5:E5"/>
    <mergeCell ref="F5:J5"/>
    <mergeCell ref="A4:A5"/>
    <mergeCell ref="B27:E27"/>
    <mergeCell ref="F71:G71"/>
    <mergeCell ref="H71:J71"/>
    <mergeCell ref="A74:B74"/>
    <mergeCell ref="H74:J74"/>
    <mergeCell ref="A60:B60"/>
    <mergeCell ref="D60:E60"/>
    <mergeCell ref="D55:E55"/>
    <mergeCell ref="A56:B56"/>
    <mergeCell ref="D56:E56"/>
    <mergeCell ref="A57:B57"/>
    <mergeCell ref="D57:E57"/>
    <mergeCell ref="A58:B58"/>
    <mergeCell ref="A61:B61"/>
    <mergeCell ref="D61:E61"/>
    <mergeCell ref="B64:E64"/>
    <mergeCell ref="B26:E26"/>
    <mergeCell ref="B15:E15"/>
    <mergeCell ref="B16:E16"/>
    <mergeCell ref="F16:J16"/>
    <mergeCell ref="F23:J23"/>
    <mergeCell ref="A79:B79"/>
    <mergeCell ref="C79:D79"/>
    <mergeCell ref="E79:G79"/>
    <mergeCell ref="H79:J79"/>
    <mergeCell ref="A80:B80"/>
    <mergeCell ref="F52:G52"/>
    <mergeCell ref="F28:J28"/>
    <mergeCell ref="B46:E46"/>
    <mergeCell ref="F46:J46"/>
    <mergeCell ref="B48:J48"/>
    <mergeCell ref="F69:J69"/>
    <mergeCell ref="H52:J52"/>
    <mergeCell ref="A53:B53"/>
    <mergeCell ref="D53:E53"/>
    <mergeCell ref="F53:G62"/>
    <mergeCell ref="H53:J62"/>
    <mergeCell ref="C75:F75"/>
    <mergeCell ref="B40:E40"/>
    <mergeCell ref="B41:E41"/>
    <mergeCell ref="B42:E42"/>
    <mergeCell ref="B43:E43"/>
    <mergeCell ref="B44:E44"/>
    <mergeCell ref="B28:E28"/>
    <mergeCell ref="B244:J244"/>
    <mergeCell ref="B243:J243"/>
    <mergeCell ref="B248:J248"/>
    <mergeCell ref="F66:J66"/>
    <mergeCell ref="F67:J67"/>
    <mergeCell ref="F68:J68"/>
    <mergeCell ref="B65:E68"/>
    <mergeCell ref="H80:J80"/>
    <mergeCell ref="I86:J87"/>
    <mergeCell ref="G86:G87"/>
    <mergeCell ref="F208:J208"/>
    <mergeCell ref="F214:J214"/>
    <mergeCell ref="F209:J209"/>
    <mergeCell ref="F213:H213"/>
    <mergeCell ref="I213:J213"/>
    <mergeCell ref="F86:F87"/>
    <mergeCell ref="E86:E87"/>
    <mergeCell ref="A119:J119"/>
    <mergeCell ref="A89:J89"/>
    <mergeCell ref="A121:J121"/>
    <mergeCell ref="B192:H194"/>
    <mergeCell ref="F70:J70"/>
    <mergeCell ref="A75:B75"/>
    <mergeCell ref="A78:J78"/>
  </mergeCells>
  <dataValidations count="2">
    <dataValidation type="list" allowBlank="1" showInputMessage="1" showErrorMessage="1" sqref="F17:J17" xr:uid="{00000000-0002-0000-0000-000000000000}">
      <formula1>"None,Yes"</formula1>
    </dataValidation>
    <dataValidation type="list" allowBlank="1" showInputMessage="1" showErrorMessage="1" sqref="B249:J249" xr:uid="{00000000-0002-0000-0000-000001000000}">
      <formula1>"Recommended rate should be considered as all inclusive rate if other charges are not mentioned. (Excluding GST &amp; other government Taxes),Other charges can be considered from cost sheet. "</formula1>
    </dataValidation>
  </dataValidations>
  <hyperlinks>
    <hyperlink ref="F8" r:id="rId1" xr:uid="{00000000-0004-0000-0000-000000000000}"/>
    <hyperlink ref="K69" r:id="rId2" xr:uid="{00000000-0004-0000-0000-000001000000}"/>
  </hyperlinks>
  <printOptions horizontalCentered="1"/>
  <pageMargins left="0.23622047244094491" right="0.23622047244094491" top="0.74803149606299213" bottom="0.59055118110236227" header="0.19685039370078741" footer="0.19685039370078741"/>
  <pageSetup paperSize="2" fitToHeight="0" orientation="portrait" r:id="rId3"/>
  <headerFooter>
    <oddHeader>&amp;C&amp;"Times New Roman,Bold"&amp;20&amp;G</oddHeader>
    <oddFooter>&amp;L&amp;"Times New Roman,Bold"Ref No: &amp;F&amp;R&amp;P</oddFooter>
  </headerFooter>
  <rowBreaks count="5" manualBreakCount="5">
    <brk id="48" max="9" man="1"/>
    <brk id="149" max="9" man="1"/>
    <brk id="250" max="9" man="1"/>
    <brk id="296" max="9" man="1"/>
    <brk id="340" max="9" man="1"/>
  </rowBreaks>
  <ignoredErrors>
    <ignoredError sqref="A91:J116 C122:G149 C151:H175 C180:H191 C195:F206" unlockedFormula="1"/>
  </ignoredError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vt:lpstr>
      <vt:lpstr>Valuation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cp:lastPrinted>2025-07-31T12:25:42Z</cp:lastPrinted>
  <dcterms:created xsi:type="dcterms:W3CDTF">2013-11-23T05:32:33Z</dcterms:created>
  <dcterms:modified xsi:type="dcterms:W3CDTF">2025-07-31T12:28:51Z</dcterms:modified>
</cp:coreProperties>
</file>