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31-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3" i="1" l="1"/>
  <c r="I163" i="1"/>
  <c r="J162" i="1"/>
  <c r="I162" i="1"/>
  <c r="K162" i="1" s="1"/>
  <c r="J161" i="1"/>
  <c r="I161" i="1"/>
  <c r="J160" i="1"/>
  <c r="I160" i="1"/>
  <c r="K160" i="1" s="1"/>
  <c r="J152" i="1"/>
  <c r="I152" i="1"/>
  <c r="K152" i="1" s="1"/>
  <c r="J151" i="1"/>
  <c r="I151" i="1"/>
  <c r="K151" i="1" s="1"/>
  <c r="J150" i="1"/>
  <c r="I150" i="1"/>
  <c r="J149" i="1"/>
  <c r="I149" i="1"/>
  <c r="K149" i="1" s="1"/>
  <c r="M149" i="1"/>
  <c r="D160" i="1"/>
  <c r="D147" i="1"/>
  <c r="C16" i="1"/>
  <c r="K150" i="1" l="1"/>
  <c r="K161" i="1"/>
  <c r="K163" i="1"/>
  <c r="E170" i="1"/>
  <c r="D170" i="1"/>
  <c r="E173" i="1"/>
  <c r="D173" i="1"/>
  <c r="E172" i="1"/>
  <c r="D172" i="1"/>
  <c r="E168" i="1"/>
  <c r="D168" i="1"/>
  <c r="E167" i="1"/>
  <c r="D167" i="1"/>
  <c r="E165" i="1"/>
  <c r="D165" i="1"/>
  <c r="E163" i="1"/>
  <c r="D163" i="1"/>
  <c r="E162" i="1"/>
  <c r="D162" i="1"/>
  <c r="E161" i="1"/>
  <c r="D161" i="1"/>
  <c r="E160" i="1"/>
  <c r="E158" i="1"/>
  <c r="D158" i="1"/>
  <c r="E157" i="1"/>
  <c r="D157" i="1"/>
  <c r="E156" i="1"/>
  <c r="D156" i="1"/>
  <c r="E155" i="1"/>
  <c r="D155" i="1"/>
  <c r="E152" i="1"/>
  <c r="D152" i="1"/>
  <c r="E151" i="1"/>
  <c r="D151" i="1"/>
  <c r="E150" i="1"/>
  <c r="D150" i="1"/>
  <c r="E149" i="1"/>
  <c r="D149" i="1"/>
  <c r="E147" i="1"/>
  <c r="E146" i="1"/>
  <c r="D146" i="1"/>
  <c r="E145" i="1"/>
  <c r="D145" i="1"/>
  <c r="E144" i="1"/>
  <c r="D144" i="1"/>
  <c r="K140" i="1"/>
  <c r="I167" i="1"/>
  <c r="C123" i="1" l="1"/>
  <c r="C122" i="1"/>
  <c r="C124" i="1"/>
  <c r="F151" i="1" l="1"/>
  <c r="H151" i="1" s="1"/>
  <c r="F150" i="1"/>
  <c r="H150" i="1" s="1"/>
  <c r="F149" i="1"/>
  <c r="H149" i="1" s="1"/>
  <c r="F144" i="1"/>
  <c r="F170" i="1"/>
  <c r="H170" i="1" s="1"/>
  <c r="F173" i="1"/>
  <c r="H173" i="1" s="1"/>
  <c r="F168" i="1"/>
  <c r="H168" i="1" s="1"/>
  <c r="F167" i="1"/>
  <c r="H167" i="1" s="1"/>
  <c r="F165" i="1"/>
  <c r="H165" i="1" s="1"/>
  <c r="F163" i="1"/>
  <c r="H163" i="1" s="1"/>
  <c r="F160" i="1"/>
  <c r="H160" i="1" s="1"/>
  <c r="F158" i="1"/>
  <c r="H158" i="1" s="1"/>
  <c r="F156" i="1"/>
  <c r="H156" i="1" s="1"/>
  <c r="F155" i="1"/>
  <c r="F172" i="1"/>
  <c r="H172" i="1" s="1"/>
  <c r="A170" i="1"/>
  <c r="A171" i="1" s="1"/>
  <c r="A172" i="1" s="1"/>
  <c r="A173" i="1" s="1"/>
  <c r="A165" i="1"/>
  <c r="A166" i="1" s="1"/>
  <c r="A167" i="1" s="1"/>
  <c r="A168" i="1" s="1"/>
  <c r="F162" i="1"/>
  <c r="H162" i="1" s="1"/>
  <c r="F161" i="1"/>
  <c r="H161" i="1" s="1"/>
  <c r="A155" i="1"/>
  <c r="A156" i="1" s="1"/>
  <c r="A157" i="1" s="1"/>
  <c r="A158" i="1" s="1"/>
  <c r="F152" i="1"/>
  <c r="H152" i="1" s="1"/>
  <c r="F146" i="1"/>
  <c r="H146" i="1" s="1"/>
  <c r="A144" i="1"/>
  <c r="A145" i="1" s="1"/>
  <c r="A146" i="1" s="1"/>
  <c r="A147" i="1" s="1"/>
  <c r="A160" i="1"/>
  <c r="A149" i="1"/>
  <c r="H144" i="1" l="1"/>
  <c r="H155" i="1"/>
  <c r="F147" i="1"/>
  <c r="H147" i="1" s="1"/>
  <c r="F157" i="1"/>
  <c r="H157" i="1" s="1"/>
  <c r="F145" i="1"/>
  <c r="H145"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I42" i="7" s="1"/>
  <c r="H42" i="7" s="1"/>
  <c r="E6" i="7"/>
  <c r="F11" i="5"/>
  <c r="G11" i="5" s="1"/>
  <c r="F10" i="5"/>
  <c r="G10" i="5" s="1"/>
  <c r="F9" i="5"/>
  <c r="G9" i="5" s="1"/>
  <c r="F8" i="5"/>
  <c r="G8" i="5" s="1"/>
  <c r="F7" i="5"/>
  <c r="G7" i="5" s="1"/>
  <c r="F6" i="5"/>
  <c r="G6" i="5" s="1"/>
  <c r="F5" i="5"/>
  <c r="G5" i="5" s="1"/>
  <c r="G12" i="5" s="1"/>
  <c r="D231" i="1"/>
  <c r="B206" i="1"/>
  <c r="B205" i="1"/>
  <c r="F202" i="1"/>
  <c r="H202" i="1" s="1"/>
  <c r="F201" i="1"/>
  <c r="H201" i="1" s="1"/>
  <c r="F200" i="1"/>
  <c r="H200" i="1" s="1"/>
  <c r="F199" i="1"/>
  <c r="H199" i="1" s="1"/>
  <c r="F198" i="1"/>
  <c r="H198" i="1" s="1"/>
  <c r="F196" i="1"/>
  <c r="H196" i="1" s="1"/>
  <c r="F195" i="1"/>
  <c r="H195" i="1" s="1"/>
  <c r="F194" i="1"/>
  <c r="H194" i="1" s="1"/>
  <c r="F193" i="1"/>
  <c r="H193" i="1" s="1"/>
  <c r="F192" i="1"/>
  <c r="H192" i="1" s="1"/>
  <c r="F190" i="1"/>
  <c r="H190" i="1" s="1"/>
  <c r="F189" i="1"/>
  <c r="H189" i="1" s="1"/>
  <c r="F188" i="1"/>
  <c r="H188" i="1" s="1"/>
  <c r="F187" i="1"/>
  <c r="H187" i="1" s="1"/>
  <c r="F186" i="1"/>
  <c r="H186" i="1" s="1"/>
  <c r="F184" i="1"/>
  <c r="H184" i="1" s="1"/>
  <c r="F183" i="1"/>
  <c r="H183" i="1" s="1"/>
  <c r="F182" i="1"/>
  <c r="H182" i="1" s="1"/>
  <c r="F181" i="1"/>
  <c r="H181" i="1" s="1"/>
  <c r="F180" i="1"/>
  <c r="H180" i="1" s="1"/>
  <c r="A180" i="1"/>
  <c r="A181" i="1" s="1"/>
  <c r="A182" i="1" s="1"/>
  <c r="A183" i="1" s="1"/>
  <c r="A184" i="1" s="1"/>
  <c r="F178" i="1"/>
  <c r="H178" i="1" s="1"/>
  <c r="F177" i="1"/>
  <c r="H177" i="1" s="1"/>
  <c r="F176" i="1"/>
  <c r="H176" i="1" s="1"/>
  <c r="A176" i="1"/>
  <c r="A177" i="1" s="1"/>
  <c r="A178" i="1" s="1"/>
  <c r="F175" i="1"/>
  <c r="H175" i="1" s="1"/>
  <c r="F134" i="1"/>
  <c r="H134" i="1" s="1"/>
  <c r="F133" i="1"/>
  <c r="H133" i="1" s="1"/>
  <c r="F132" i="1"/>
  <c r="H132" i="1" s="1"/>
  <c r="A132" i="1"/>
  <c r="A133" i="1" s="1"/>
  <c r="A134" i="1" s="1"/>
  <c r="F131" i="1"/>
  <c r="H131" i="1" s="1"/>
  <c r="C125" i="1"/>
  <c r="F114" i="1"/>
  <c r="C88" i="1"/>
  <c r="B89" i="1" s="1"/>
  <c r="C74" i="1"/>
  <c r="B75" i="1" s="1"/>
  <c r="D68" i="1"/>
  <c r="D62" i="1"/>
  <c r="G56" i="1"/>
  <c r="C56" i="1"/>
  <c r="K54" i="1"/>
  <c r="G51" i="1"/>
  <c r="C51" i="1"/>
  <c r="E44" i="1"/>
  <c r="E45" i="1" s="1"/>
  <c r="S33" i="1"/>
  <c r="E31" i="1"/>
  <c r="E28" i="1"/>
  <c r="E26" i="1"/>
  <c r="I15" i="1"/>
  <c r="Z13" i="1"/>
  <c r="E8" i="1"/>
  <c r="E3" i="1"/>
  <c r="B217" i="1" s="1"/>
  <c r="A198" i="1"/>
  <c r="A192" i="1"/>
  <c r="H75" i="1"/>
  <c r="A161" i="1"/>
  <c r="A150" i="1"/>
  <c r="A186" i="1"/>
  <c r="E122" i="1" l="1"/>
  <c r="E123" i="1"/>
  <c r="E124" i="1" s="1"/>
  <c r="E125" i="1" s="1"/>
  <c r="E42" i="7"/>
  <c r="G123" i="1"/>
  <c r="L42" i="7"/>
  <c r="K42" i="7" s="1"/>
  <c r="G122" i="1"/>
  <c r="D83" i="1"/>
  <c r="J77" i="1"/>
  <c r="D82" i="1"/>
  <c r="D87" i="1"/>
  <c r="D81" i="1"/>
  <c r="D86" i="1"/>
  <c r="D80" i="1"/>
  <c r="J79" i="1"/>
  <c r="C78" i="1" s="1"/>
  <c r="D85" i="1"/>
  <c r="D84" i="1"/>
  <c r="J78" i="1"/>
  <c r="J74" i="1"/>
  <c r="J76" i="1" s="1"/>
  <c r="E44" i="7"/>
  <c r="D42" i="7"/>
  <c r="D44" i="7" s="1"/>
  <c r="L54" i="1"/>
  <c r="J84" i="1"/>
  <c r="J99" i="1"/>
  <c r="J85" i="1"/>
  <c r="I52" i="1"/>
  <c r="J98" i="1"/>
  <c r="J80" i="1"/>
  <c r="J81" i="1" s="1"/>
  <c r="J86" i="1" s="1"/>
  <c r="A193" i="1"/>
  <c r="A199" i="1"/>
  <c r="A151" i="1"/>
  <c r="A162" i="1"/>
  <c r="H89" i="1"/>
  <c r="A187" i="1"/>
  <c r="G124" i="1" l="1"/>
  <c r="G125" i="1" s="1"/>
  <c r="D100" i="1"/>
  <c r="D98" i="1"/>
  <c r="D94" i="1"/>
  <c r="J92" i="1"/>
  <c r="D97" i="1"/>
  <c r="J91" i="1"/>
  <c r="J88" i="1"/>
  <c r="J90" i="1" s="1"/>
  <c r="J93" i="1"/>
  <c r="C92" i="1" s="1"/>
  <c r="D92" i="1" s="1"/>
  <c r="J94" i="1"/>
  <c r="J95" i="1" s="1"/>
  <c r="C93" i="1" s="1"/>
  <c r="D99" i="1"/>
  <c r="D96" i="1"/>
  <c r="D101" i="1"/>
  <c r="D95" i="1"/>
  <c r="J82" i="1"/>
  <c r="J83" i="1" s="1"/>
  <c r="D78" i="1"/>
  <c r="A194" i="1"/>
  <c r="A188" i="1"/>
  <c r="A200" i="1"/>
  <c r="A163" i="1"/>
  <c r="A152" i="1"/>
  <c r="J100" i="1" l="1"/>
  <c r="J96" i="1"/>
  <c r="J97" i="1" s="1"/>
  <c r="J87" i="1"/>
  <c r="A201" i="1"/>
  <c r="A189" i="1"/>
  <c r="A195" i="1"/>
  <c r="C79" i="1" l="1"/>
  <c r="G78" i="1" s="1"/>
  <c r="D72" i="1" s="1"/>
  <c r="J101" i="1"/>
  <c r="E92" i="1" s="1"/>
  <c r="G92" i="1"/>
  <c r="J89" i="1"/>
  <c r="D93" i="1"/>
  <c r="I89" i="1" s="1"/>
  <c r="I90" i="1" s="1"/>
  <c r="A190" i="1"/>
  <c r="A196" i="1"/>
  <c r="A202" i="1"/>
  <c r="D79" i="1" l="1"/>
  <c r="I75" i="1" s="1"/>
  <c r="I76" i="1" s="1"/>
  <c r="E78" i="1"/>
  <c r="J75" i="1"/>
  <c r="I88" i="1"/>
  <c r="C90" i="1" s="1"/>
  <c r="D73" i="1"/>
  <c r="F73" i="1"/>
  <c r="I74" i="1" l="1"/>
  <c r="C7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<sst xmlns="http://schemas.openxmlformats.org/spreadsheetml/2006/main" count="678" uniqueCount="420">
  <si>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</si>
  <si>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</si>
  <si>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</si>
  <si>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</si>
  <si>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</si>
  <si>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</si>
  <si>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</si>
  <si>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</si>
  <si>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</si>
  <si>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</si>
  <si>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</si>
  <si>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</si>
  <si>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</si>
  <si>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</si>
  <si>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</si>
  <si>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</si>
  <si>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</si>
  <si>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</si>
  <si>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</si>
  <si>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</si>
  <si>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</si>
  <si>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</si>
  <si>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</si>
  <si>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</si>
  <si>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</si>
  <si>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</si>
  <si>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</si>
  <si>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</si>
  <si>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</si>
  <si>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</si>
  <si>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</si>
  <si>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</si>
  <si>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</si>
  <si>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</si>
  <si>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</si>
  <si>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</si>
  <si>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</si>
  <si>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</si>
  <si>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</si>
  <si>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</si>
  <si>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</si>
  <si>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</si>
  <si>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</si>
  <si>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</si>
  <si>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</si>
  <si>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</si>
  <si>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</si>
  <si>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</si>
  <si>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</si>
  <si>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</si>
  <si>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</si>
  <si>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</si>
  <si>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</si>
  <si>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</si>
  <si>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</si>
  <si>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</si>
  <si>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</si>
  <si>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</si>
  <si>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</si>
  <si>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</si>
  <si>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</si>
  <si>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</si>
  <si>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</si>
  <si>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</si>
  <si>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</si>
  <si>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</si>
  <si>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</si>
  <si>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</si>
  <si>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</si>
  <si>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</si>
  <si>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</si>
  <si>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</si>
  <si>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</si>
  <si>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</si>
  <si>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</si>
  <si>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</si>
  <si>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</si>
  <si>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</si>
  <si>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</si>
  <si>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</si>
  <si>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</si>
  <si>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</si>
  <si>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</si>
  <si>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</si>
  <si>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</si>
  <si>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</si>
  <si>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</si>
  <si>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</si>
  <si>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</si>
  <si>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</si>
  <si>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</si>
  <si>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</si>
  <si>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</si>
  <si>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</si>
  <si>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</si>
  <si>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</si>
  <si>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</si>
  <si>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</si>
  <si>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</si>
  <si>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</si>
  <si>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</si>
  <si>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</si>
  <si>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</si>
  <si>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</si>
  <si>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</si>
  <si>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</si>
  <si>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</si>
  <si>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</si>
  <si>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</si>
  <si>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</si>
  <si>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</si>
  <si>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</si>
  <si>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</si>
  <si>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</si>
  <si>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</si>
  <si>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</si>
  <si>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</si>
  <si>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</si>
  <si>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</si>
  <si>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</si>
  <si>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</si>
  <si>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</si>
  <si>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</si>
  <si>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</si>
  <si>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</si>
  <si>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</si>
  <si>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</si>
  <si>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</si>
  <si>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</si>
  <si>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</si>
  <si>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</si>
  <si>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</si>
  <si>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</si>
  <si>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</si>
  <si>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</si>
  <si>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</si>
  <si>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</si>
  <si>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</si>
  <si>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</si>
  <si>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</si>
  <si>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</si>
  <si>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</si>
  <si>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</si>
  <si>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</si>
  <si>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</si>
  <si>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</si>
  <si>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</si>
  <si>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</si>
  <si>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</si>
  <si>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</si>
  <si>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</si>
  <si>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</si>
  <si>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</si>
  <si>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</si>
  <si>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</si>
  <si>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</si>
  <si>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</si>
  <si>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</si>
  <si>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</si>
  <si>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</si>
  <si>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</si>
  <si>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</si>
  <si>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</si>
  <si>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</si>
  <si>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</si>
  <si>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</si>
  <si>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</si>
  <si>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</si>
  <si>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</si>
  <si>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</si>
  <si>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</si>
  <si>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</si>
  <si>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</si>
  <si>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</si>
  <si>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</si>
  <si>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</si>
  <si>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</si>
  <si>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</si>
  <si>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</si>
  <si>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</si>
  <si>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</si>
  <si>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</si>
  <si>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</si>
  <si>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</si>
  <si>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</si>
  <si>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</si>
  <si>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</si>
  <si>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</si>
  <si>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</si>
  <si>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</si>
  <si>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</si>
  <si>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</si>
  <si>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</si>
  <si>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</si>
  <si>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</si>
  <si>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</si>
  <si>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</si>
  <si>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</si>
  <si>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</si>
  <si>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</si>
  <si>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</si>
  <si>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</si>
  <si>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</si>
  <si>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</si>
  <si>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</si>
  <si>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</si>
  <si>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</si>
  <si>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</si>
  <si>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</si>
  <si>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</si>
  <si>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</si>
  <si>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</si>
  <si>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</si>
  <si>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</si>
  <si>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</si>
  <si>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</si>
  <si>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</si>
  <si>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</si>
  <si>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</si>
  <si>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</si>
  <si>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</si>
  <si>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</si>
  <si>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</si>
  <si>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</si>
  <si>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</si>
  <si>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</si>
  <si>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</si>
  <si>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</si>
  <si>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</si>
  <si>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</si>
  <si>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</si>
  <si>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</si>
  <si>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</si>
  <si>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</si>
  <si>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</si>
  <si>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</si>
  <si>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</si>
  <si>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</si>
  <si>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</si>
  <si>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</si>
  <si>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</si>
  <si>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</si>
  <si>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</si>
  <si>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</si>
  <si>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</si>
  <si>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</si>
  <si>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</si>
  <si>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</si>
  <si>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</si>
  <si>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</si>
  <si>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</si>
  <si>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</si>
  <si>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</si>
  <si>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</si>
  <si>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</si>
  <si>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</si>
  <si>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</si>
  <si>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</si>
  <si>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</si>
  <si>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</si>
  <si>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</si>
  <si>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</si>
  <si>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</si>
  <si>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</si>
  <si>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</si>
  <si>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</si>
  <si>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</si>
  <si>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</si>
  <si>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</si>
  <si>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</si>
  <si>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</si>
  <si>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</si>
  <si>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</si>
  <si>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</si>
  <si>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</si>
  <si>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</si>
  <si>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</si>
  <si>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</si>
  <si>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</si>
  <si>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</si>
  <si>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</si>
  <si>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</si>
  <si>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</si>
  <si>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</si>
  <si>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</si>
  <si>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</si>
  <si>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</si>
  <si>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</si>
  <si>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</si>
  <si>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</si>
  <si>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</si>
  <si>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</si>
  <si>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</si>
  <si>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</si>
  <si>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</si>
  <si>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</si>
  <si>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</si>
  <si>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</si>
  <si>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</si>
  <si>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</si>
  <si>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</si>
  <si>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</si>
  <si>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</si>
  <si>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</si>
  <si>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</si>
  <si>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</si>
  <si>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</si>
  <si>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</si>
  <si>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</si>
  <si>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</si>
  <si>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</si>
  <si>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</si>
  <si>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</si>
  <si>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</si>
  <si>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</si>
  <si>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</si>
  <si>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</si>
  <si>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</si>
  <si>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</si>
  <si>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</si>
  <si>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</si>
  <si>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</si>
  <si>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</si>
  <si>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</si>
  <si>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</si>
  <si>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</si>
  <si>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</si>
  <si>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</si>
  <si>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</si>
  <si>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</si>
  <si>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</si>
  <si>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</si>
  <si>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</si>
  <si>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</si>
  <si>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</si>
  <si>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</si>
  <si>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</si>
  <si>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</si>
  <si>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</si>
  <si>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</si>
  <si>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</si>
  <si>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</si>
  <si>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</si>
  <si>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</si>
  <si>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</si>
  <si>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</si>
  <si>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</si>
  <si>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</si>
  <si>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</si>
  <si>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</si>
  <si>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</si>
  <si>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</si>
  <si>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</si>
  <si>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</si>
  <si>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</si>
  <si>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</si>
  <si>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</si>
  <si>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</si>
  <si>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K Raheja Corp Real Estate Private Limited
</t>
  </si>
  <si>
    <t>Raheja Amaltis</t>
  </si>
  <si>
    <t>Mr. Osben Dsouza 9167562639</t>
  </si>
  <si>
    <t>Wing A &amp; B</t>
  </si>
  <si>
    <t>Wing A = P51900054129
Wing B = P51900054152</t>
  </si>
  <si>
    <t>2/2 (Part)</t>
  </si>
  <si>
    <t>Chunabhatti</t>
  </si>
  <si>
    <t>Sion</t>
  </si>
  <si>
    <t>Eastern Express Highway</t>
  </si>
  <si>
    <t>Chunabhatti East</t>
  </si>
  <si>
    <t>49 M from Chunabhatti Railway Station</t>
  </si>
  <si>
    <t>Samarth Nagar Building</t>
  </si>
  <si>
    <t>19.0508892,72.8699657</t>
  </si>
  <si>
    <t>https://maps.app.goo.gl/St1Wbsa8CuVFv8MX7</t>
  </si>
  <si>
    <t>Somaiya Ground</t>
  </si>
  <si>
    <t>Dr. Gangadhar S Badhe Marg</t>
  </si>
  <si>
    <t>Ambekar Nagar Building</t>
  </si>
  <si>
    <t>13.4 W M Road</t>
  </si>
  <si>
    <t>Other Plot</t>
  </si>
  <si>
    <t>02 Wings</t>
  </si>
  <si>
    <t>P-13610/2022/(2/2)/F/NORTH/SALT</t>
  </si>
  <si>
    <t>P-13610/2022/(2/2)/F/NORTH/SALT PAN/CC/1/New</t>
  </si>
  <si>
    <t>As per RERA - 30/09/2028</t>
  </si>
  <si>
    <t xml:space="preserve">Details of Residential in Building   </t>
  </si>
  <si>
    <t>Wing A + B</t>
  </si>
  <si>
    <t>1st to 3rd Basement For Parking</t>
  </si>
  <si>
    <t>Ground Floor For DG Room, Meter Room, Panel Room, Entrance Lobby &amp; Parking</t>
  </si>
  <si>
    <t>1st &amp; 2nd Podium Floor For Parking</t>
  </si>
  <si>
    <t>1st Floor For Residential &amp; Fitness Center</t>
  </si>
  <si>
    <t>3BHK</t>
  </si>
  <si>
    <t>4BHK</t>
  </si>
  <si>
    <t>2nd &amp; 3rd Floor For Residential</t>
  </si>
  <si>
    <t>Wing A</t>
  </si>
  <si>
    <t>Wing B</t>
  </si>
  <si>
    <t>2nd to 4th, 6th to 11th &amp; 13th to 17th Floor</t>
  </si>
  <si>
    <t>5th Floor (Part Refuge Area)</t>
  </si>
  <si>
    <t>12th Floor (Part Refuge Area)</t>
  </si>
  <si>
    <t>Refuge Area</t>
  </si>
  <si>
    <t>2BHK</t>
  </si>
  <si>
    <r>
      <t xml:space="preserve">Shop No.
</t>
    </r>
    <r>
      <rPr>
        <b/>
        <sz val="11"/>
        <rFont val="Times New Roman"/>
        <family val="1"/>
      </rPr>
      <t>(Approved Plan)</t>
    </r>
  </si>
  <si>
    <r>
      <t xml:space="preserve">Flat No.
</t>
    </r>
    <r>
      <rPr>
        <b/>
        <sz val="11"/>
        <rFont val="Times New Roman"/>
        <family val="1"/>
      </rPr>
      <t>(Approved Plan)</t>
    </r>
  </si>
  <si>
    <t>We considered Gross carpet area = Net carpet + Deck Area.</t>
  </si>
  <si>
    <t xml:space="preserve">Construction work is in process at the time of Visit (labour found)
</t>
  </si>
  <si>
    <t>Flats -78</t>
  </si>
  <si>
    <t>Children's Play Area, Amphitheater, Reflexology Park, Swimming Pool, Fire Sprinklers, Landscaping &amp; Tree Planting, Badminton Court, Party Lawn, Club House, Senior Citizen Siteout, etc.</t>
  </si>
  <si>
    <r>
      <t xml:space="preserve">Proposed Amenities :                                                                                                                                                                                                                         </t>
    </r>
    <r>
      <rPr>
        <b/>
        <sz val="12"/>
        <rFont val="Times New Roman"/>
        <family val="1"/>
      </rPr>
      <t xml:space="preserve">                                               </t>
    </r>
  </si>
  <si>
    <t>CC upto Plinth level (i.e. up to top of basement floor level) as per IOD issued on 17/07/2023</t>
  </si>
  <si>
    <t>P-13610/2022/(2/2)/F/North/SALT PAN/337/1/New</t>
  </si>
  <si>
    <t>https://housing.com/in/buy/projects/page/313057-k-raheja-amaltis-by-k-raheja-corp-in-sion</t>
  </si>
  <si>
    <t>Village reffered from title report</t>
  </si>
  <si>
    <t>AAI/RHQ/WR/DoAS/Auth./SNCR/ WEST/B/060122/675207</t>
  </si>
  <si>
    <t>Permissible Top Elevation = 86.37 mtrs.</t>
  </si>
  <si>
    <t>CC, Airport Noc.</t>
  </si>
  <si>
    <t>Mr. Osben Dsouza 9167562639
Mr. Anup Tiwari 9819066487</t>
  </si>
  <si>
    <t>Wing A &amp; B = 3B + Gr. + 2P + 1st + 2nd to 17th Floor. 
(Total height = 69.50 Mtrs.)</t>
  </si>
  <si>
    <t xml:space="preserve">Wing A = 3B + G + 2P + 1st to 3rd Floor
Wing B = 3B + G + 2P + 1st to 17th Floor
</t>
  </si>
  <si>
    <t>Wing A = 3B + G + 2P + 1st to 17th Floor</t>
  </si>
  <si>
    <t>Wing B = 3B + G + 2P + 1st to 17th Floor</t>
  </si>
  <si>
    <t xml:space="preserve">Railway track is nearby project.
</t>
  </si>
  <si>
    <t xml:space="preserve">We have updated CC revalidation date on 07/11/2024.
</t>
  </si>
  <si>
    <t>Pooja Kawale</t>
  </si>
  <si>
    <t>Akash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</si>
</sst>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0" fillId="0" borderId="24"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4"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4" fillId="2" borderId="0" xfId="1" applyFont="1" applyFill="1"/>
    <xf numFmtId="14" fontId="11" fillId="0" borderId="0" xfId="1" applyNumberFormat="1" applyFont="1"/>
    <xf numFmtId="0" fontId="0" fillId="0" borderId="1" xfId="0" applyBorder="1" applyAlignment="1">
      <alignment horizontal="left" vertical="top"/>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6" fillId="0" borderId="0" xfId="1" applyNumberFormat="1" applyFont="1" applyBorder="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0" fontId="7" fillId="0" borderId="22" xfId="1" applyFont="1" applyFill="1" applyBorder="1" applyAlignment="1" applyProtection="1">
      <alignment horizontal="left" vertical="top" wrapText="1"/>
      <protection locked="0"/>
    </xf>
    <xf numFmtId="0" fontId="7" fillId="0" borderId="15" xfId="1" applyFont="1" applyFill="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24"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11" fillId="0" borderId="2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9" fillId="0" borderId="32" xfId="0" applyNumberFormat="1"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6" fillId="0" borderId="0" xfId="1" applyFont="1" applyAlignment="1">
      <alignment horizontal="center" vertical="center"/>
    </xf>
    <xf numFmtId="1" fontId="6" fillId="0" borderId="1" xfId="0" applyNumberFormat="1" applyFont="1" applyBorder="1" applyAlignment="1" applyProtection="1">
      <alignment horizontal="center" vertical="center"/>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0" fontId="12" fillId="0" borderId="16" xfId="1" applyFont="1" applyBorder="1" applyAlignment="1" applyProtection="1">
      <alignment horizontal="center" vertical="top"/>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32" xfId="0" applyNumberFormat="1" applyFont="1" applyBorder="1" applyAlignment="1" applyProtection="1">
      <alignment horizontal="center"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1" fontId="5" fillId="0" borderId="2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6" fillId="0" borderId="1" xfId="1" applyNumberFormat="1" applyFont="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8</xdr:col>
      <xdr:colOff>514910</xdr:colOff>
      <xdr:row>13</xdr:row>
      <xdr:rowOff>194423</xdr:rowOff>
    </xdr:from>
    <xdr:to>
      <xdr:col>15</xdr:col>
      <xdr:colOff>514150</xdr:colOff>
      <xdr:row>17</xdr:row>
      <xdr:rowOff>184721</xdr:rowOff>
    </xdr:to>
    <xdr:pic>
      <xdr:nvPicPr>
        <xdr:cNvPr id="2" name="Picture 1"/>
        <xdr:cNvPicPr>
          <a:picLocks noChangeAspect="1"/>
        </xdr:cNvPicPr>
      </xdr:nvPicPr>
      <xdr:blipFill>
        <a:blip xmlns:r="http://schemas.openxmlformats.org/officeDocument/2006/relationships" r:embed="rId1"/>
        <a:stretch>
          <a:fillRect/>
        </a:stretch>
      </xdr:blipFill>
      <xdr:spPr>
        <a:xfrm>
          <a:off x="6823822" y="3399305"/>
          <a:ext cx="6084034" cy="1424651"/>
        </a:xfrm>
        <a:prstGeom prst="rect">
          <a:avLst/>
        </a:prstGeom>
      </xdr:spPr>
    </xdr:pic>
    <xdr:clientData/>
  </xdr:twoCellAnchor>
  <xdr:twoCellAnchor editAs="oneCell">
    <xdr:from>
      <xdr:col>8</xdr:col>
      <xdr:colOff>676275</xdr:colOff>
      <xdr:row>110</xdr:row>
      <xdr:rowOff>171450</xdr:rowOff>
    </xdr:from>
    <xdr:to>
      <xdr:col>13</xdr:col>
      <xdr:colOff>180483</xdr:colOff>
      <xdr:row>137</xdr:row>
      <xdr:rowOff>56790</xdr:rowOff>
    </xdr:to>
    <xdr:pic>
      <xdr:nvPicPr>
        <xdr:cNvPr id="4" name="Picture 3"/>
        <xdr:cNvPicPr>
          <a:picLocks noChangeAspect="1"/>
        </xdr:cNvPicPr>
      </xdr:nvPicPr>
      <xdr:blipFill>
        <a:blip xmlns:r="http://schemas.openxmlformats.org/officeDocument/2006/relationships" r:embed="rId2"/>
        <a:stretch>
          <a:fillRect/>
        </a:stretch>
      </xdr:blipFill>
      <xdr:spPr>
        <a:xfrm>
          <a:off x="6991350" y="24593550"/>
          <a:ext cx="3933333" cy="2876190"/>
        </a:xfrm>
        <a:prstGeom prst="rect">
          <a:avLst/>
        </a:prstGeom>
      </xdr:spPr>
    </xdr:pic>
    <xdr:clientData/>
  </xdr:twoCellAnchor>
  <xdr:twoCellAnchor editAs="oneCell">
    <xdr:from>
      <xdr:col>13</xdr:col>
      <xdr:colOff>465045</xdr:colOff>
      <xdr:row>119</xdr:row>
      <xdr:rowOff>134471</xdr:rowOff>
    </xdr:from>
    <xdr:to>
      <xdr:col>18</xdr:col>
      <xdr:colOff>241061</xdr:colOff>
      <xdr:row>136</xdr:row>
      <xdr:rowOff>75370</xdr:rowOff>
    </xdr:to>
    <xdr:pic>
      <xdr:nvPicPr>
        <xdr:cNvPr id="3" name="Picture 2"/>
        <xdr:cNvPicPr>
          <a:picLocks noChangeAspect="1"/>
        </xdr:cNvPicPr>
      </xdr:nvPicPr>
      <xdr:blipFill>
        <a:blip xmlns:r="http://schemas.openxmlformats.org/officeDocument/2006/relationships" r:embed="rId3"/>
        <a:stretch>
          <a:fillRect/>
        </a:stretch>
      </xdr:blipFill>
      <xdr:spPr>
        <a:xfrm>
          <a:off x="11211486" y="26950147"/>
          <a:ext cx="3417928" cy="2182076"/>
        </a:xfrm>
        <a:prstGeom prst="rect">
          <a:avLst/>
        </a:prstGeom>
      </xdr:spPr>
    </xdr:pic>
    <xdr:clientData/>
  </xdr:twoCellAnchor>
  <xdr:twoCellAnchor editAs="oneCell">
    <xdr:from>
      <xdr:col>1</xdr:col>
      <xdr:colOff>207662</xdr:colOff>
      <xdr:row>274</xdr:row>
      <xdr:rowOff>19049</xdr:rowOff>
    </xdr:from>
    <xdr:to>
      <xdr:col>6</xdr:col>
      <xdr:colOff>561789</xdr:colOff>
      <xdr:row>291</xdr:row>
      <xdr:rowOff>95249</xdr:rowOff>
    </xdr:to>
    <xdr:pic>
      <xdr:nvPicPr>
        <xdr:cNvPr id="8" name="Picture 7"/>
        <xdr:cNvPicPr>
          <a:picLocks noChangeAspect="1"/>
        </xdr:cNvPicPr>
      </xdr:nvPicPr>
      <xdr:blipFill>
        <a:blip xmlns:r="http://schemas.openxmlformats.org/officeDocument/2006/relationships" r:embed="rId4"/>
        <a:stretch>
          <a:fillRect/>
        </a:stretch>
      </xdr:blipFill>
      <xdr:spPr>
        <a:xfrm>
          <a:off x="969662" y="48863249"/>
          <a:ext cx="4440352" cy="3476625"/>
        </a:xfrm>
        <a:prstGeom prst="rect">
          <a:avLst/>
        </a:prstGeom>
        <a:ln>
          <a:solidFill>
            <a:schemeClr val="tx1"/>
          </a:solidFill>
        </a:ln>
      </xdr:spPr>
    </xdr:pic>
    <xdr:clientData/>
  </xdr:twoCellAnchor>
  <xdr:twoCellAnchor>
    <xdr:from>
      <xdr:col>0</xdr:col>
      <xdr:colOff>581025</xdr:colOff>
      <xdr:row>292</xdr:row>
      <xdr:rowOff>38100</xdr:rowOff>
    </xdr:from>
    <xdr:to>
      <xdr:col>7</xdr:col>
      <xdr:colOff>193977</xdr:colOff>
      <xdr:row>314</xdr:row>
      <xdr:rowOff>57150</xdr:rowOff>
    </xdr:to>
    <xdr:grpSp>
      <xdr:nvGrpSpPr>
        <xdr:cNvPr id="14" name="Group 13"/>
        <xdr:cNvGrpSpPr/>
      </xdr:nvGrpSpPr>
      <xdr:grpSpPr>
        <a:xfrm>
          <a:off x="581025" y="51276250"/>
          <a:ext cx="5467652" cy="4349750"/>
          <a:chOff x="561975" y="52454175"/>
          <a:chExt cx="5194602" cy="4857750"/>
        </a:xfrm>
      </xdr:grpSpPr>
      <xdr:pic>
        <xdr:nvPicPr>
          <xdr:cNvPr id="9" name="Picture 8"/>
          <xdr:cNvPicPr>
            <a:picLocks noChangeAspect="1"/>
          </xdr:cNvPicPr>
        </xdr:nvPicPr>
        <xdr:blipFill>
          <a:blip xmlns:r="http://schemas.openxmlformats.org/officeDocument/2006/relationships" r:embed="rId5"/>
          <a:stretch>
            <a:fillRect/>
          </a:stretch>
        </xdr:blipFill>
        <xdr:spPr>
          <a:xfrm>
            <a:off x="561975" y="52454175"/>
            <a:ext cx="5194602" cy="4857750"/>
          </a:xfrm>
          <a:prstGeom prst="rect">
            <a:avLst/>
          </a:prstGeom>
          <a:ln>
            <a:solidFill>
              <a:schemeClr val="tx1"/>
            </a:solidFill>
          </a:ln>
        </xdr:spPr>
      </xdr:pic>
      <xdr:sp macro="" textlink="">
        <xdr:nvSpPr>
          <xdr:cNvPr id="10" name="Rectangle 9"/>
          <xdr:cNvSpPr/>
        </xdr:nvSpPr>
        <xdr:spPr>
          <a:xfrm>
            <a:off x="2238374" y="53292374"/>
            <a:ext cx="1838325" cy="109537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Rectangle 10"/>
          <xdr:cNvSpPr/>
        </xdr:nvSpPr>
        <xdr:spPr>
          <a:xfrm rot="16200000">
            <a:off x="3714751" y="54540149"/>
            <a:ext cx="1666876" cy="109537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2" name="TextBox 11"/>
          <xdr:cNvSpPr txBox="1"/>
        </xdr:nvSpPr>
        <xdr:spPr>
          <a:xfrm>
            <a:off x="2457450" y="52863750"/>
            <a:ext cx="9429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ysClr val="windowText" lastClr="000000"/>
                </a:solidFill>
              </a:rPr>
              <a:t>Wing A</a:t>
            </a:r>
          </a:p>
        </xdr:txBody>
      </xdr:sp>
      <xdr:sp macro="" textlink="">
        <xdr:nvSpPr>
          <xdr:cNvPr id="13" name="TextBox 12"/>
          <xdr:cNvSpPr txBox="1"/>
        </xdr:nvSpPr>
        <xdr:spPr>
          <a:xfrm>
            <a:off x="4276725" y="53901975"/>
            <a:ext cx="9429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ysClr val="windowText" lastClr="000000"/>
                </a:solidFill>
              </a:rPr>
              <a:t>Wing B</a:t>
            </a:r>
          </a:p>
        </xdr:txBody>
      </xdr:sp>
    </xdr:grpSp>
    <xdr:clientData/>
  </xdr:twoCellAnchor>
  <xdr:twoCellAnchor editAs="oneCell">
    <xdr:from>
      <xdr:col>1</xdr:col>
      <xdr:colOff>214852</xdr:colOff>
      <xdr:row>317</xdr:row>
      <xdr:rowOff>18781</xdr:rowOff>
    </xdr:from>
    <xdr:to>
      <xdr:col>6</xdr:col>
      <xdr:colOff>532461</xdr:colOff>
      <xdr:row>334</xdr:row>
      <xdr:rowOff>171449</xdr:rowOff>
    </xdr:to>
    <xdr:pic>
      <xdr:nvPicPr>
        <xdr:cNvPr id="15" name="Picture 14"/>
        <xdr:cNvPicPr>
          <a:picLocks noChangeAspect="1"/>
        </xdr:cNvPicPr>
      </xdr:nvPicPr>
      <xdr:blipFill>
        <a:blip xmlns:r="http://schemas.openxmlformats.org/officeDocument/2006/relationships" r:embed="rId6"/>
        <a:stretch>
          <a:fillRect/>
        </a:stretch>
      </xdr:blipFill>
      <xdr:spPr>
        <a:xfrm>
          <a:off x="976852" y="57664081"/>
          <a:ext cx="4403834" cy="3553093"/>
        </a:xfrm>
        <a:prstGeom prst="rect">
          <a:avLst/>
        </a:prstGeom>
        <a:ln>
          <a:solidFill>
            <a:schemeClr val="tx1"/>
          </a:solidFill>
        </a:ln>
      </xdr:spPr>
    </xdr:pic>
    <xdr:clientData/>
  </xdr:twoCellAnchor>
  <xdr:twoCellAnchor editAs="oneCell">
    <xdr:from>
      <xdr:col>9</xdr:col>
      <xdr:colOff>79561</xdr:colOff>
      <xdr:row>44</xdr:row>
      <xdr:rowOff>140818</xdr:rowOff>
    </xdr:from>
    <xdr:to>
      <xdr:col>14</xdr:col>
      <xdr:colOff>803685</xdr:colOff>
      <xdr:row>52</xdr:row>
      <xdr:rowOff>501012</xdr:rowOff>
    </xdr:to>
    <xdr:pic>
      <xdr:nvPicPr>
        <xdr:cNvPr id="27" name="Picture 26"/>
        <xdr:cNvPicPr>
          <a:picLocks noChangeAspect="1"/>
        </xdr:cNvPicPr>
      </xdr:nvPicPr>
      <xdr:blipFill>
        <a:blip xmlns:r="http://schemas.openxmlformats.org/officeDocument/2006/relationships" r:embed="rId7"/>
        <a:stretch>
          <a:fillRect/>
        </a:stretch>
      </xdr:blipFill>
      <xdr:spPr>
        <a:xfrm>
          <a:off x="7553885" y="10427818"/>
          <a:ext cx="4836682" cy="2433282"/>
        </a:xfrm>
        <a:prstGeom prst="rect">
          <a:avLst/>
        </a:prstGeom>
      </xdr:spPr>
    </xdr:pic>
    <xdr:clientData/>
  </xdr:twoCellAnchor>
  <xdr:twoCellAnchor editAs="oneCell">
    <xdr:from>
      <xdr:col>9</xdr:col>
      <xdr:colOff>345701</xdr:colOff>
      <xdr:row>46</xdr:row>
      <xdr:rowOff>153412</xdr:rowOff>
    </xdr:from>
    <xdr:to>
      <xdr:col>14</xdr:col>
      <xdr:colOff>441497</xdr:colOff>
      <xdr:row>53</xdr:row>
      <xdr:rowOff>27897</xdr:rowOff>
    </xdr:to>
    <xdr:pic>
      <xdr:nvPicPr>
        <xdr:cNvPr id="28" name="Picture 27"/>
        <xdr:cNvPicPr>
          <a:picLocks noChangeAspect="1"/>
        </xdr:cNvPicPr>
      </xdr:nvPicPr>
      <xdr:blipFill>
        <a:blip xmlns:r="http://schemas.openxmlformats.org/officeDocument/2006/relationships" r:embed="rId8"/>
        <a:stretch>
          <a:fillRect/>
        </a:stretch>
      </xdr:blipFill>
      <xdr:spPr>
        <a:xfrm>
          <a:off x="7820025" y="10843824"/>
          <a:ext cx="4208354" cy="2216514"/>
        </a:xfrm>
        <a:prstGeom prst="rect">
          <a:avLst/>
        </a:prstGeom>
      </xdr:spPr>
    </xdr:pic>
    <xdr:clientData/>
  </xdr:twoCellAnchor>
  <xdr:twoCellAnchor editAs="oneCell">
    <xdr:from>
      <xdr:col>8</xdr:col>
      <xdr:colOff>351865</xdr:colOff>
      <xdr:row>53</xdr:row>
      <xdr:rowOff>274436</xdr:rowOff>
    </xdr:from>
    <xdr:to>
      <xdr:col>14</xdr:col>
      <xdr:colOff>636921</xdr:colOff>
      <xdr:row>59</xdr:row>
      <xdr:rowOff>31097</xdr:rowOff>
    </xdr:to>
    <xdr:pic>
      <xdr:nvPicPr>
        <xdr:cNvPr id="29" name="Picture 28"/>
        <xdr:cNvPicPr>
          <a:picLocks noChangeAspect="1"/>
        </xdr:cNvPicPr>
      </xdr:nvPicPr>
      <xdr:blipFill>
        <a:blip xmlns:r="http://schemas.openxmlformats.org/officeDocument/2006/relationships" r:embed="rId9"/>
        <a:stretch>
          <a:fillRect/>
        </a:stretch>
      </xdr:blipFill>
      <xdr:spPr>
        <a:xfrm>
          <a:off x="6660777" y="13037936"/>
          <a:ext cx="5563026" cy="1381514"/>
        </a:xfrm>
        <a:prstGeom prst="rect">
          <a:avLst/>
        </a:prstGeom>
      </xdr:spPr>
    </xdr:pic>
    <xdr:clientData/>
  </xdr:twoCellAnchor>
  <xdr:twoCellAnchor editAs="oneCell">
    <xdr:from>
      <xdr:col>14</xdr:col>
      <xdr:colOff>630892</xdr:colOff>
      <xdr:row>53</xdr:row>
      <xdr:rowOff>136250</xdr:rowOff>
    </xdr:from>
    <xdr:to>
      <xdr:col>18</xdr:col>
      <xdr:colOff>56029</xdr:colOff>
      <xdr:row>58</xdr:row>
      <xdr:rowOff>411312</xdr:rowOff>
    </xdr:to>
    <xdr:pic>
      <xdr:nvPicPr>
        <xdr:cNvPr id="30" name="Picture 29"/>
        <xdr:cNvPicPr>
          <a:picLocks noChangeAspect="1"/>
        </xdr:cNvPicPr>
      </xdr:nvPicPr>
      <xdr:blipFill>
        <a:blip xmlns:r="http://schemas.openxmlformats.org/officeDocument/2006/relationships" r:embed="rId10"/>
        <a:stretch>
          <a:fillRect/>
        </a:stretch>
      </xdr:blipFill>
      <xdr:spPr>
        <a:xfrm>
          <a:off x="12217774" y="12899750"/>
          <a:ext cx="2226608" cy="1474092"/>
        </a:xfrm>
        <a:prstGeom prst="rect">
          <a:avLst/>
        </a:prstGeom>
      </xdr:spPr>
    </xdr:pic>
    <xdr:clientData/>
  </xdr:twoCellAnchor>
  <xdr:twoCellAnchor>
    <xdr:from>
      <xdr:col>0</xdr:col>
      <xdr:colOff>304801</xdr:colOff>
      <xdr:row>335</xdr:row>
      <xdr:rowOff>67237</xdr:rowOff>
    </xdr:from>
    <xdr:to>
      <xdr:col>7</xdr:col>
      <xdr:colOff>507689</xdr:colOff>
      <xdr:row>358</xdr:row>
      <xdr:rowOff>44451</xdr:rowOff>
    </xdr:to>
    <xdr:grpSp>
      <xdr:nvGrpSpPr>
        <xdr:cNvPr id="38" name="Group 37"/>
        <xdr:cNvGrpSpPr/>
      </xdr:nvGrpSpPr>
      <xdr:grpSpPr>
        <a:xfrm>
          <a:off x="304801" y="59769937"/>
          <a:ext cx="6057588" cy="4504764"/>
          <a:chOff x="304801" y="60332471"/>
          <a:chExt cx="5783417" cy="4869994"/>
        </a:xfrm>
      </xdr:grpSpPr>
      <xdr:grpSp>
        <xdr:nvGrpSpPr>
          <xdr:cNvPr id="18" name="Group 17"/>
          <xdr:cNvGrpSpPr/>
        </xdr:nvGrpSpPr>
        <xdr:grpSpPr>
          <a:xfrm>
            <a:off x="304801" y="60339111"/>
            <a:ext cx="5783417" cy="4824215"/>
            <a:chOff x="304801" y="61319626"/>
            <a:chExt cx="5784538" cy="4783874"/>
          </a:xfrm>
        </xdr:grpSpPr>
        <xdr:pic>
          <xdr:nvPicPr>
            <xdr:cNvPr id="16" name="Picture 15"/>
            <xdr:cNvPicPr>
              <a:picLocks noChangeAspect="1"/>
            </xdr:cNvPicPr>
          </xdr:nvPicPr>
          <xdr:blipFill>
            <a:blip xmlns:r="http://schemas.openxmlformats.org/officeDocument/2006/relationships" r:embed="rId11"/>
            <a:stretch>
              <a:fillRect/>
            </a:stretch>
          </xdr:blipFill>
          <xdr:spPr>
            <a:xfrm>
              <a:off x="304801" y="61319626"/>
              <a:ext cx="5784538" cy="4783874"/>
            </a:xfrm>
            <a:prstGeom prst="rect">
              <a:avLst/>
            </a:prstGeom>
            <a:ln>
              <a:solidFill>
                <a:schemeClr val="tx1"/>
              </a:solidFill>
            </a:ln>
          </xdr:spPr>
        </xdr:pic>
        <xdr:sp macro="" textlink="">
          <xdr:nvSpPr>
            <xdr:cNvPr id="17" name="Freeform 16"/>
            <xdr:cNvSpPr/>
          </xdr:nvSpPr>
          <xdr:spPr>
            <a:xfrm>
              <a:off x="2143125" y="62950725"/>
              <a:ext cx="2200275" cy="2133600"/>
            </a:xfrm>
            <a:custGeom>
              <a:avLst/>
              <a:gdLst>
                <a:gd name="connsiteX0" fmla="*/ 1914525 w 2200275"/>
                <a:gd name="connsiteY0" fmla="*/ 1943100 h 2133600"/>
                <a:gd name="connsiteX1" fmla="*/ 66675 w 2200275"/>
                <a:gd name="connsiteY1" fmla="*/ 514350 h 2133600"/>
                <a:gd name="connsiteX2" fmla="*/ 0 w 2200275"/>
                <a:gd name="connsiteY2" fmla="*/ 57150 h 2133600"/>
                <a:gd name="connsiteX3" fmla="*/ 2200275 w 2200275"/>
                <a:gd name="connsiteY3" fmla="*/ 0 h 2133600"/>
                <a:gd name="connsiteX4" fmla="*/ 2200275 w 2200275"/>
                <a:gd name="connsiteY4" fmla="*/ 2133600 h 2133600"/>
                <a:gd name="connsiteX5" fmla="*/ 1914525 w 2200275"/>
                <a:gd name="connsiteY5" fmla="*/ 1943100 h 2133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00275" h="2133600">
                  <a:moveTo>
                    <a:pt x="1914525" y="1943100"/>
                  </a:moveTo>
                  <a:lnTo>
                    <a:pt x="66675" y="514350"/>
                  </a:lnTo>
                  <a:lnTo>
                    <a:pt x="0" y="57150"/>
                  </a:lnTo>
                  <a:lnTo>
                    <a:pt x="2200275" y="0"/>
                  </a:lnTo>
                  <a:lnTo>
                    <a:pt x="2200275" y="2133600"/>
                  </a:lnTo>
                  <a:lnTo>
                    <a:pt x="1914525" y="19431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xnSp macro="">
        <xdr:nvCxnSpPr>
          <xdr:cNvPr id="32" name="Straight Connector 31"/>
          <xdr:cNvCxnSpPr/>
        </xdr:nvCxnSpPr>
        <xdr:spPr>
          <a:xfrm>
            <a:off x="1591235" y="60354882"/>
            <a:ext cx="403412" cy="479611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a:off x="1075764" y="60332471"/>
            <a:ext cx="405654" cy="486999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36" name="TextBox 35"/>
          <xdr:cNvSpPr txBox="1"/>
        </xdr:nvSpPr>
        <xdr:spPr>
          <a:xfrm>
            <a:off x="3272118" y="62103000"/>
            <a:ext cx="942772" cy="537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FF00"/>
                </a:solidFill>
              </a:rPr>
              <a:t>Site</a:t>
            </a:r>
          </a:p>
        </xdr:txBody>
      </xdr:sp>
      <xdr:sp macro="" textlink="">
        <xdr:nvSpPr>
          <xdr:cNvPr id="37" name="TextBox 36"/>
          <xdr:cNvSpPr txBox="1"/>
        </xdr:nvSpPr>
        <xdr:spPr>
          <a:xfrm rot="5085569">
            <a:off x="764787" y="63272396"/>
            <a:ext cx="1707021" cy="447023"/>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Railway</a:t>
            </a:r>
            <a:r>
              <a:rPr lang="en-IN" sz="2000" b="1" baseline="0">
                <a:solidFill>
                  <a:srgbClr val="FF0000"/>
                </a:solidFill>
              </a:rPr>
              <a:t> Track</a:t>
            </a:r>
            <a:endParaRPr lang="en-IN" sz="2000" b="1">
              <a:solidFill>
                <a:srgbClr val="FF0000"/>
              </a:solidFill>
            </a:endParaRPr>
          </a:p>
        </xdr:txBody>
      </xdr:sp>
    </xdr:grpSp>
    <xdr:clientData/>
  </xdr:twoCellAnchor>
  <xdr:twoCellAnchor>
    <xdr:from>
      <xdr:col>8</xdr:col>
      <xdr:colOff>974913</xdr:colOff>
      <xdr:row>15</xdr:row>
      <xdr:rowOff>493059</xdr:rowOff>
    </xdr:from>
    <xdr:to>
      <xdr:col>14</xdr:col>
      <xdr:colOff>611229</xdr:colOff>
      <xdr:row>22</xdr:row>
      <xdr:rowOff>110732</xdr:rowOff>
    </xdr:to>
    <xdr:grpSp>
      <xdr:nvGrpSpPr>
        <xdr:cNvPr id="41" name="Group 40"/>
        <xdr:cNvGrpSpPr/>
      </xdr:nvGrpSpPr>
      <xdr:grpSpPr>
        <a:xfrm>
          <a:off x="7597963" y="4258609"/>
          <a:ext cx="5148116" cy="1624273"/>
          <a:chOff x="6499412" y="2386853"/>
          <a:chExt cx="4914286" cy="1657143"/>
        </a:xfrm>
      </xdr:grpSpPr>
      <xdr:pic>
        <xdr:nvPicPr>
          <xdr:cNvPr id="39" name="Picture 38"/>
          <xdr:cNvPicPr>
            <a:picLocks noChangeAspect="1"/>
          </xdr:cNvPicPr>
        </xdr:nvPicPr>
        <xdr:blipFill>
          <a:blip xmlns:r="http://schemas.openxmlformats.org/officeDocument/2006/relationships" r:embed="rId12"/>
          <a:stretch>
            <a:fillRect/>
          </a:stretch>
        </xdr:blipFill>
        <xdr:spPr>
          <a:xfrm>
            <a:off x="6499412" y="2386853"/>
            <a:ext cx="4914286" cy="1657143"/>
          </a:xfrm>
          <a:prstGeom prst="rect">
            <a:avLst/>
          </a:prstGeom>
        </xdr:spPr>
      </xdr:pic>
      <xdr:sp macro="" textlink="">
        <xdr:nvSpPr>
          <xdr:cNvPr id="40" name="Rectangle 39"/>
          <xdr:cNvSpPr/>
        </xdr:nvSpPr>
        <xdr:spPr>
          <a:xfrm>
            <a:off x="8852647" y="3675529"/>
            <a:ext cx="291353" cy="15688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560294</xdr:colOff>
      <xdr:row>58</xdr:row>
      <xdr:rowOff>280147</xdr:rowOff>
    </xdr:from>
    <xdr:to>
      <xdr:col>15</xdr:col>
      <xdr:colOff>618357</xdr:colOff>
      <xdr:row>66</xdr:row>
      <xdr:rowOff>2582</xdr:rowOff>
    </xdr:to>
    <xdr:pic>
      <xdr:nvPicPr>
        <xdr:cNvPr id="5" name="Picture 4"/>
        <xdr:cNvPicPr>
          <a:picLocks noChangeAspect="1"/>
        </xdr:cNvPicPr>
      </xdr:nvPicPr>
      <xdr:blipFill>
        <a:blip xmlns:r="http://schemas.openxmlformats.org/officeDocument/2006/relationships" r:embed="rId13"/>
        <a:stretch>
          <a:fillRect/>
        </a:stretch>
      </xdr:blipFill>
      <xdr:spPr>
        <a:xfrm>
          <a:off x="6869206" y="14242676"/>
          <a:ext cx="6142857" cy="1761905"/>
        </a:xfrm>
        <a:prstGeom prst="rect">
          <a:avLst/>
        </a:prstGeom>
      </xdr:spPr>
    </xdr:pic>
    <xdr:clientData/>
  </xdr:twoCellAnchor>
  <xdr:twoCellAnchor editAs="oneCell">
    <xdr:from>
      <xdr:col>8</xdr:col>
      <xdr:colOff>425822</xdr:colOff>
      <xdr:row>63</xdr:row>
      <xdr:rowOff>369795</xdr:rowOff>
    </xdr:from>
    <xdr:to>
      <xdr:col>15</xdr:col>
      <xdr:colOff>769599</xdr:colOff>
      <xdr:row>69</xdr:row>
      <xdr:rowOff>186425</xdr:rowOff>
    </xdr:to>
    <xdr:pic>
      <xdr:nvPicPr>
        <xdr:cNvPr id="6" name="Picture 5"/>
        <xdr:cNvPicPr>
          <a:picLocks noChangeAspect="1"/>
        </xdr:cNvPicPr>
      </xdr:nvPicPr>
      <xdr:blipFill>
        <a:blip xmlns:r="http://schemas.openxmlformats.org/officeDocument/2006/relationships" r:embed="rId14"/>
        <a:stretch>
          <a:fillRect/>
        </a:stretch>
      </xdr:blipFill>
      <xdr:spPr>
        <a:xfrm>
          <a:off x="6734734" y="15564971"/>
          <a:ext cx="6428571" cy="1228571"/>
        </a:xfrm>
        <a:prstGeom prst="rect">
          <a:avLst/>
        </a:prstGeom>
      </xdr:spPr>
    </xdr:pic>
    <xdr:clientData/>
  </xdr:twoCellAnchor>
  <xdr:twoCellAnchor editAs="oneCell">
    <xdr:from>
      <xdr:col>8</xdr:col>
      <xdr:colOff>638734</xdr:colOff>
      <xdr:row>69</xdr:row>
      <xdr:rowOff>100853</xdr:rowOff>
    </xdr:from>
    <xdr:to>
      <xdr:col>17</xdr:col>
      <xdr:colOff>50125</xdr:colOff>
      <xdr:row>72</xdr:row>
      <xdr:rowOff>190333</xdr:rowOff>
    </xdr:to>
    <xdr:pic>
      <xdr:nvPicPr>
        <xdr:cNvPr id="7" name="Picture 6"/>
        <xdr:cNvPicPr>
          <a:picLocks noChangeAspect="1"/>
        </xdr:cNvPicPr>
      </xdr:nvPicPr>
      <xdr:blipFill>
        <a:blip xmlns:r="http://schemas.openxmlformats.org/officeDocument/2006/relationships" r:embed="rId15"/>
        <a:stretch>
          <a:fillRect/>
        </a:stretch>
      </xdr:blipFill>
      <xdr:spPr>
        <a:xfrm>
          <a:off x="6947646" y="16707971"/>
          <a:ext cx="6885714" cy="1333333"/>
        </a:xfrm>
        <a:prstGeom prst="rect">
          <a:avLst/>
        </a:prstGeom>
      </xdr:spPr>
    </xdr:pic>
    <xdr:clientData/>
  </xdr:twoCellAnchor>
  <xdr:twoCellAnchor>
    <xdr:from>
      <xdr:col>0</xdr:col>
      <xdr:colOff>50800</xdr:colOff>
      <xdr:row>231</xdr:row>
      <xdr:rowOff>63500</xdr:rowOff>
    </xdr:from>
    <xdr:to>
      <xdr:col>7</xdr:col>
      <xdr:colOff>711462</xdr:colOff>
      <xdr:row>272</xdr:row>
      <xdr:rowOff>12700</xdr:rowOff>
    </xdr:to>
    <xdr:grpSp>
      <xdr:nvGrpSpPr>
        <xdr:cNvPr id="22" name="Group 21"/>
        <xdr:cNvGrpSpPr/>
      </xdr:nvGrpSpPr>
      <xdr:grpSpPr>
        <a:xfrm>
          <a:off x="50800" y="39300150"/>
          <a:ext cx="6515362" cy="8013700"/>
          <a:chOff x="50800" y="39300150"/>
          <a:chExt cx="6515362" cy="8013700"/>
        </a:xfrm>
      </xdr:grpSpPr>
      <xdr:pic>
        <xdr:nvPicPr>
          <xdr:cNvPr id="42" name="Picture 4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0800" y="41545247"/>
            <a:ext cx="2880000" cy="216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075853" y="43790344"/>
            <a:ext cx="3490309"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686162" y="39300150"/>
            <a:ext cx="2880000" cy="216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648652" y="46035441"/>
            <a:ext cx="1215000" cy="1278409"/>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50800" y="43790344"/>
            <a:ext cx="2880000" cy="21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50800" y="39300150"/>
            <a:ext cx="3490309" cy="216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075853" y="41545247"/>
            <a:ext cx="3490309"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t1Wbsa8CuVFv8MX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7"/>
  <sheetViews>
    <sheetView tabSelected="1" view="pageBreakPreview" topLeftCell="A82" zoomScaleNormal="100" zoomScaleSheetLayoutView="100" zoomScalePageLayoutView="85" workbookViewId="0">
      <selection activeCell="C81" sqref="C81"/>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1.8164062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88" t="s">
        <v>166</v>
      </c>
      <c r="B1" s="188"/>
      <c r="C1" s="188"/>
      <c r="D1" s="188"/>
      <c r="E1" s="188"/>
      <c r="F1" s="188"/>
      <c r="G1" s="188"/>
      <c r="H1" s="188"/>
    </row>
    <row r="2" spans="1:26" ht="16.5" customHeight="1" x14ac:dyDescent="0.35">
      <c r="A2" s="189" t="s">
        <v>0</v>
      </c>
      <c r="B2" s="189"/>
      <c r="C2" s="189"/>
      <c r="D2" s="189"/>
      <c r="E2" s="189"/>
      <c r="F2" s="189"/>
      <c r="G2" s="189"/>
      <c r="H2" s="189"/>
    </row>
    <row r="3" spans="1:26" x14ac:dyDescent="0.35">
      <c r="A3" s="167" t="s">
        <v>1</v>
      </c>
      <c r="B3" s="167"/>
      <c r="C3" s="167"/>
      <c r="D3" s="167"/>
      <c r="E3" s="167" t="str">
        <f ca="1">TEXT(TODAY(),"DD/MM/YYYY")</f>
        <v>31/07/2025</v>
      </c>
      <c r="F3" s="167"/>
      <c r="G3" s="167"/>
      <c r="H3" s="167"/>
      <c r="K3" s="59" t="s">
        <v>239</v>
      </c>
      <c r="L3" s="56" t="s">
        <v>237</v>
      </c>
      <c r="M3" s="56" t="s">
        <v>242</v>
      </c>
      <c r="N3" s="56" t="s">
        <v>240</v>
      </c>
      <c r="O3" s="56" t="s">
        <v>344</v>
      </c>
      <c r="P3" s="56" t="s">
        <v>243</v>
      </c>
    </row>
    <row r="4" spans="1:26" ht="15" customHeight="1" x14ac:dyDescent="0.35">
      <c r="A4" s="167" t="s">
        <v>236</v>
      </c>
      <c r="B4" s="167"/>
      <c r="C4" s="167"/>
      <c r="D4" s="167"/>
      <c r="E4" s="167" t="s">
        <v>237</v>
      </c>
      <c r="F4" s="167"/>
      <c r="G4" s="167"/>
      <c r="H4" s="167"/>
      <c r="K4" s="55" t="s">
        <v>238</v>
      </c>
      <c r="L4" s="56" t="s">
        <v>172</v>
      </c>
      <c r="M4" s="56" t="s">
        <v>247</v>
      </c>
      <c r="N4" s="56" t="s">
        <v>249</v>
      </c>
      <c r="O4" s="56" t="s">
        <v>345</v>
      </c>
      <c r="P4" s="56"/>
    </row>
    <row r="5" spans="1:26" ht="15" customHeight="1" x14ac:dyDescent="0.35">
      <c r="A5" s="167" t="s">
        <v>2</v>
      </c>
      <c r="B5" s="167"/>
      <c r="C5" s="167"/>
      <c r="D5" s="167"/>
      <c r="E5" s="167" t="s">
        <v>172</v>
      </c>
      <c r="F5" s="167"/>
      <c r="G5" s="167"/>
      <c r="H5" s="167"/>
      <c r="K5" s="55"/>
      <c r="L5" s="56" t="s">
        <v>244</v>
      </c>
      <c r="M5" s="56" t="s">
        <v>248</v>
      </c>
      <c r="N5" s="56" t="s">
        <v>250</v>
      </c>
      <c r="O5" s="56" t="s">
        <v>346</v>
      </c>
      <c r="P5" s="56"/>
    </row>
    <row r="6" spans="1:26" x14ac:dyDescent="0.35">
      <c r="A6" s="167" t="s">
        <v>3</v>
      </c>
      <c r="B6" s="167"/>
      <c r="C6" s="167"/>
      <c r="D6" s="167"/>
      <c r="E6" s="190">
        <v>45869</v>
      </c>
      <c r="F6" s="167"/>
      <c r="G6" s="167"/>
      <c r="H6" s="167"/>
      <c r="K6" s="55"/>
      <c r="L6" s="56" t="s">
        <v>245</v>
      </c>
      <c r="M6" s="56"/>
      <c r="N6" s="56"/>
      <c r="O6" s="56" t="s">
        <v>347</v>
      </c>
      <c r="P6" s="56"/>
    </row>
    <row r="7" spans="1:26" ht="16.5" customHeight="1" x14ac:dyDescent="0.35">
      <c r="A7" s="167" t="s">
        <v>4</v>
      </c>
      <c r="B7" s="167"/>
      <c r="C7" s="167"/>
      <c r="D7" s="167"/>
      <c r="E7" s="138" t="s">
        <v>358</v>
      </c>
      <c r="F7" s="167"/>
      <c r="G7" s="167"/>
      <c r="H7" s="167"/>
      <c r="K7" s="55"/>
      <c r="L7" s="56" t="s">
        <v>246</v>
      </c>
      <c r="M7" s="56"/>
      <c r="N7" s="56"/>
      <c r="O7" s="56" t="s">
        <v>347</v>
      </c>
      <c r="P7" s="56"/>
    </row>
    <row r="8" spans="1:26" ht="15" customHeight="1" x14ac:dyDescent="0.35">
      <c r="A8" s="167" t="s">
        <v>5</v>
      </c>
      <c r="B8" s="167"/>
      <c r="C8" s="167"/>
      <c r="D8" s="167"/>
      <c r="E8" s="167" t="str">
        <f>E7</f>
        <v xml:space="preserve">K Raheja Corp Real Estate Private Limited
</v>
      </c>
      <c r="F8" s="167"/>
      <c r="G8" s="167"/>
      <c r="H8" s="167"/>
      <c r="K8" s="55"/>
      <c r="L8" s="56"/>
      <c r="M8" s="56"/>
      <c r="N8" s="56"/>
      <c r="O8" s="56" t="s">
        <v>348</v>
      </c>
      <c r="P8" s="56"/>
    </row>
    <row r="9" spans="1:26" x14ac:dyDescent="0.35">
      <c r="A9" s="167" t="s">
        <v>6</v>
      </c>
      <c r="B9" s="167"/>
      <c r="C9" s="167"/>
      <c r="D9" s="167"/>
      <c r="E9" s="143" t="s">
        <v>359</v>
      </c>
      <c r="F9" s="143"/>
      <c r="G9" s="143"/>
      <c r="H9" s="143"/>
      <c r="K9" s="55"/>
      <c r="L9" s="56"/>
      <c r="M9" s="56"/>
      <c r="N9" s="56"/>
      <c r="O9" s="56" t="s">
        <v>349</v>
      </c>
      <c r="P9" s="56"/>
    </row>
    <row r="10" spans="1:26" ht="31.5" customHeight="1" x14ac:dyDescent="0.35">
      <c r="A10" s="167" t="s">
        <v>169</v>
      </c>
      <c r="B10" s="167"/>
      <c r="C10" s="167"/>
      <c r="D10" s="167"/>
      <c r="E10" s="138" t="s">
        <v>411</v>
      </c>
      <c r="F10" s="167"/>
      <c r="G10" s="167"/>
      <c r="H10" s="167"/>
      <c r="K10" s="55"/>
      <c r="L10" s="56"/>
      <c r="M10" s="56"/>
      <c r="N10" s="56"/>
      <c r="O10" s="56" t="s">
        <v>350</v>
      </c>
      <c r="P10" s="56"/>
    </row>
    <row r="11" spans="1:26" x14ac:dyDescent="0.35">
      <c r="A11" s="167" t="s">
        <v>170</v>
      </c>
      <c r="B11" s="167"/>
      <c r="C11" s="167"/>
      <c r="D11" s="167"/>
      <c r="E11" s="167" t="s">
        <v>360</v>
      </c>
      <c r="F11" s="167"/>
      <c r="G11" s="167"/>
      <c r="H11" s="167"/>
      <c r="O11" s="56" t="s">
        <v>351</v>
      </c>
    </row>
    <row r="12" spans="1:26" x14ac:dyDescent="0.35">
      <c r="A12" s="167" t="s">
        <v>7</v>
      </c>
      <c r="B12" s="167"/>
      <c r="C12" s="167"/>
      <c r="D12" s="167"/>
      <c r="E12" s="167" t="s">
        <v>361</v>
      </c>
      <c r="F12" s="167"/>
      <c r="G12" s="167"/>
      <c r="H12" s="167"/>
    </row>
    <row r="13" spans="1:26" x14ac:dyDescent="0.35">
      <c r="A13" s="167" t="s">
        <v>173</v>
      </c>
      <c r="B13" s="167"/>
      <c r="C13" s="167"/>
      <c r="D13" s="167"/>
      <c r="E13" s="167" t="s">
        <v>28</v>
      </c>
      <c r="F13" s="167"/>
      <c r="G13" s="167"/>
      <c r="H13" s="167"/>
      <c r="S13" s="56" t="s">
        <v>182</v>
      </c>
      <c r="T13" s="56" t="s">
        <v>191</v>
      </c>
      <c r="U13" s="56" t="s">
        <v>174</v>
      </c>
      <c r="V13" s="56" t="s">
        <v>196</v>
      </c>
      <c r="W13" s="56" t="s">
        <v>214</v>
      </c>
      <c r="X13"/>
      <c r="Y13" t="s">
        <v>196</v>
      </c>
      <c r="Z13" t="e">
        <f ca="1">OFFSET($S$13,1,MATCH($G20,$S$13:$W$13,0)-1,15,1)</f>
        <v>#VALUE!</v>
      </c>
    </row>
    <row r="14" spans="1:26" x14ac:dyDescent="0.35">
      <c r="A14" s="191" t="s">
        <v>282</v>
      </c>
      <c r="B14" s="191"/>
      <c r="C14" s="191"/>
      <c r="D14" s="191"/>
      <c r="E14" s="138" t="s">
        <v>410</v>
      </c>
      <c r="F14" s="138"/>
      <c r="G14" s="138"/>
      <c r="H14" s="138"/>
      <c r="S14" s="56" t="s">
        <v>182</v>
      </c>
      <c r="T14" s="56" t="s">
        <v>189</v>
      </c>
      <c r="U14" s="56" t="s">
        <v>211</v>
      </c>
      <c r="V14" s="56" t="s">
        <v>197</v>
      </c>
      <c r="W14" s="56" t="s">
        <v>215</v>
      </c>
      <c r="X14"/>
      <c r="Y14"/>
      <c r="Z14"/>
    </row>
    <row r="15" spans="1:26" ht="32.25" customHeight="1" x14ac:dyDescent="0.35">
      <c r="A15" s="134" t="s">
        <v>8</v>
      </c>
      <c r="B15" s="134"/>
      <c r="C15" s="134"/>
      <c r="D15" s="134"/>
      <c r="E15" s="138" t="s">
        <v>362</v>
      </c>
      <c r="F15" s="167"/>
      <c r="G15" s="167"/>
      <c r="H15" s="167"/>
      <c r="I15" s="154" t="e">
        <f ca="1">OFFSET($D$5,1,MATCH($J13,$D$5:$H$5,0)-1,15,1)</f>
        <v>#N/A</v>
      </c>
      <c r="J15" s="155"/>
      <c r="K15" s="155"/>
      <c r="L15" s="155"/>
      <c r="M15" s="155"/>
      <c r="N15" s="155"/>
      <c r="O15" s="155"/>
      <c r="P15" s="155"/>
      <c r="S15" s="56" t="s">
        <v>183</v>
      </c>
      <c r="T15" s="56" t="s">
        <v>190</v>
      </c>
      <c r="U15" s="56" t="s">
        <v>212</v>
      </c>
      <c r="V15" s="56" t="s">
        <v>198</v>
      </c>
      <c r="W15" s="56" t="s">
        <v>228</v>
      </c>
      <c r="X15"/>
      <c r="Y15"/>
      <c r="Z15"/>
    </row>
    <row r="16" spans="1:26" ht="48.75" customHeight="1" x14ac:dyDescent="0.35">
      <c r="A16" s="113" t="s">
        <v>9</v>
      </c>
      <c r="B16" s="113"/>
      <c r="C16" s="113" t="str">
        <f>CONCATENATE((IF(OR(E9="",E9="NA"),"",E9)),", ",(IF(OR(A17="",A17="NA"),"",A17)),".",(IF(OR(C17="",C17="NA"),"",C17)),", near ",(IF(OR(C22="",C22="NA"),"",C22)),", ",(IF(OR(C19="",C19="NA"),"",C19)),", ",(IF(OR(C18="",C18="NA"),"",C18)),", ",(IF(OR(G19="",G19="NA"),"",G19)),", ",(IF(OR(C20="",C20="NA"),"",C20)),", ",(IF(OR(C21="",C21="NA"),"",C21)),", ",(IF(OR(G20="",G20="NA"),"",G20))," - ",(IF(OR(G21="",G21="NA"),"",G21)),".")</f>
        <v>Raheja Amaltis, CTS No.2/2 (Part), near Samarth Nagar Building, Eastern Express Highway, Chunabhatti, Sion, Chunabhatti East, Andheri, Mumbai - 400022.</v>
      </c>
      <c r="D16" s="113"/>
      <c r="E16" s="113"/>
      <c r="F16" s="113"/>
      <c r="G16" s="113"/>
      <c r="H16" s="113"/>
      <c r="S16" s="56" t="s">
        <v>184</v>
      </c>
      <c r="T16" s="56" t="s">
        <v>192</v>
      </c>
      <c r="U16" s="56" t="s">
        <v>213</v>
      </c>
      <c r="V16" s="56" t="s">
        <v>199</v>
      </c>
      <c r="W16" s="56" t="s">
        <v>216</v>
      </c>
      <c r="X16"/>
      <c r="Y16"/>
      <c r="Z16"/>
    </row>
    <row r="17" spans="1:26" x14ac:dyDescent="0.35">
      <c r="A17" s="138" t="s">
        <v>177</v>
      </c>
      <c r="B17" s="138"/>
      <c r="C17" s="138" t="s">
        <v>363</v>
      </c>
      <c r="D17" s="138"/>
      <c r="E17" s="138"/>
      <c r="F17" s="138"/>
      <c r="G17" s="138"/>
      <c r="H17" s="138"/>
      <c r="S17" s="56" t="s">
        <v>185</v>
      </c>
      <c r="T17" s="56" t="s">
        <v>193</v>
      </c>
      <c r="U17" s="56" t="s">
        <v>174</v>
      </c>
      <c r="V17" s="56" t="s">
        <v>200</v>
      </c>
      <c r="W17" s="56" t="s">
        <v>217</v>
      </c>
      <c r="X17"/>
      <c r="Y17"/>
      <c r="Z17"/>
    </row>
    <row r="18" spans="1:26" ht="15.75" customHeight="1" x14ac:dyDescent="0.35">
      <c r="A18" s="138" t="s">
        <v>164</v>
      </c>
      <c r="B18" s="138"/>
      <c r="C18" s="138" t="s">
        <v>364</v>
      </c>
      <c r="D18" s="138"/>
      <c r="E18" s="138"/>
      <c r="F18" s="138"/>
      <c r="G18" s="138"/>
      <c r="H18" s="138"/>
      <c r="S18" s="56" t="s">
        <v>186</v>
      </c>
      <c r="T18" s="56" t="s">
        <v>191</v>
      </c>
      <c r="U18" s="56"/>
      <c r="V18" s="56" t="s">
        <v>201</v>
      </c>
      <c r="W18" s="56" t="s">
        <v>218</v>
      </c>
      <c r="X18"/>
      <c r="Y18"/>
      <c r="Z18"/>
    </row>
    <row r="19" spans="1:26" ht="15.75" customHeight="1" x14ac:dyDescent="0.35">
      <c r="A19" s="113" t="s">
        <v>10</v>
      </c>
      <c r="B19" s="113"/>
      <c r="C19" s="167" t="s">
        <v>366</v>
      </c>
      <c r="D19" s="167"/>
      <c r="E19" s="113" t="s">
        <v>70</v>
      </c>
      <c r="F19" s="113"/>
      <c r="G19" s="138" t="s">
        <v>365</v>
      </c>
      <c r="H19" s="138"/>
      <c r="S19" s="56" t="s">
        <v>187</v>
      </c>
      <c r="T19" s="56" t="s">
        <v>194</v>
      </c>
      <c r="U19" s="56"/>
      <c r="V19" s="56" t="s">
        <v>202</v>
      </c>
      <c r="W19" s="56" t="s">
        <v>219</v>
      </c>
      <c r="X19"/>
      <c r="Y19"/>
      <c r="Z19"/>
    </row>
    <row r="20" spans="1:26" x14ac:dyDescent="0.35">
      <c r="A20" s="134" t="s">
        <v>12</v>
      </c>
      <c r="B20" s="134"/>
      <c r="C20" s="138" t="s">
        <v>367</v>
      </c>
      <c r="D20" s="138"/>
      <c r="E20" s="138" t="s">
        <v>11</v>
      </c>
      <c r="F20" s="138"/>
      <c r="G20" s="192" t="s">
        <v>174</v>
      </c>
      <c r="H20" s="192"/>
      <c r="S20" s="56" t="s">
        <v>188</v>
      </c>
      <c r="T20" s="56" t="s">
        <v>195</v>
      </c>
      <c r="U20" s="56"/>
      <c r="V20" s="56" t="s">
        <v>203</v>
      </c>
      <c r="W20" s="56" t="s">
        <v>220</v>
      </c>
      <c r="X20"/>
      <c r="Y20"/>
      <c r="Z20"/>
    </row>
    <row r="21" spans="1:26" x14ac:dyDescent="0.35">
      <c r="A21" s="134" t="s">
        <v>71</v>
      </c>
      <c r="B21" s="134"/>
      <c r="C21" s="138" t="s">
        <v>211</v>
      </c>
      <c r="D21" s="138"/>
      <c r="E21" s="138" t="s">
        <v>13</v>
      </c>
      <c r="F21" s="138"/>
      <c r="G21" s="138">
        <v>400022</v>
      </c>
      <c r="H21" s="138"/>
      <c r="S21" s="56"/>
      <c r="T21" s="56"/>
      <c r="U21" s="56"/>
      <c r="V21" s="56" t="s">
        <v>204</v>
      </c>
      <c r="W21" s="56" t="s">
        <v>221</v>
      </c>
      <c r="X21"/>
      <c r="Y21"/>
      <c r="Z21"/>
    </row>
    <row r="22" spans="1:26" ht="32.25" customHeight="1" x14ac:dyDescent="0.35">
      <c r="A22" s="134" t="s">
        <v>120</v>
      </c>
      <c r="B22" s="134"/>
      <c r="C22" s="138" t="s">
        <v>369</v>
      </c>
      <c r="D22" s="138"/>
      <c r="E22" s="138" t="s">
        <v>14</v>
      </c>
      <c r="F22" s="138"/>
      <c r="G22" s="138" t="s">
        <v>368</v>
      </c>
      <c r="H22" s="138"/>
      <c r="S22" s="56"/>
      <c r="T22" s="56"/>
      <c r="U22" s="56"/>
      <c r="V22" s="56" t="s">
        <v>205</v>
      </c>
      <c r="W22" s="56" t="s">
        <v>222</v>
      </c>
      <c r="X22"/>
      <c r="Y22"/>
      <c r="Z22"/>
    </row>
    <row r="23" spans="1:26" ht="15" customHeight="1" x14ac:dyDescent="0.35">
      <c r="A23" s="113" t="s">
        <v>73</v>
      </c>
      <c r="B23" s="113"/>
      <c r="C23" s="113"/>
      <c r="D23" s="113"/>
      <c r="E23" s="167" t="s">
        <v>15</v>
      </c>
      <c r="F23" s="167"/>
      <c r="G23" s="167"/>
      <c r="H23" s="167"/>
      <c r="S23" s="56"/>
      <c r="T23" s="56"/>
      <c r="U23" s="56"/>
      <c r="V23" s="56" t="s">
        <v>206</v>
      </c>
      <c r="W23" s="56" t="s">
        <v>223</v>
      </c>
      <c r="X23"/>
      <c r="Y23"/>
      <c r="Z23"/>
    </row>
    <row r="24" spans="1:26" ht="18.75" customHeight="1" x14ac:dyDescent="0.35">
      <c r="A24" s="113"/>
      <c r="B24" s="113"/>
      <c r="C24" s="113"/>
      <c r="D24" s="113"/>
      <c r="E24" s="167"/>
      <c r="F24" s="167"/>
      <c r="G24" s="167"/>
      <c r="H24" s="167"/>
      <c r="I24" s="20" t="s">
        <v>407</v>
      </c>
      <c r="S24" s="56"/>
      <c r="T24" s="56"/>
      <c r="U24" s="56"/>
      <c r="V24" s="56" t="s">
        <v>207</v>
      </c>
      <c r="W24" s="56" t="s">
        <v>224</v>
      </c>
      <c r="X24"/>
      <c r="Y24"/>
      <c r="Z24"/>
    </row>
    <row r="25" spans="1:26" ht="15" customHeight="1" x14ac:dyDescent="0.35">
      <c r="A25" s="113" t="s">
        <v>16</v>
      </c>
      <c r="B25" s="113"/>
      <c r="C25" s="113"/>
      <c r="D25" s="113"/>
      <c r="E25" s="138" t="s">
        <v>17</v>
      </c>
      <c r="F25" s="138"/>
      <c r="G25" s="138"/>
      <c r="H25" s="138"/>
      <c r="S25" s="56"/>
      <c r="T25" s="56"/>
      <c r="U25" s="56"/>
      <c r="V25" s="56" t="s">
        <v>208</v>
      </c>
      <c r="W25" s="56" t="s">
        <v>225</v>
      </c>
      <c r="X25"/>
      <c r="Y25"/>
      <c r="Z25"/>
    </row>
    <row r="26" spans="1:26" ht="15" customHeight="1" x14ac:dyDescent="0.35">
      <c r="A26" s="134" t="s">
        <v>18</v>
      </c>
      <c r="B26" s="134"/>
      <c r="C26" s="134"/>
      <c r="D26" s="134"/>
      <c r="E26" s="138" t="str">
        <f>IF(AND(G20="Mumbai"),"Upper Class","Middle Class")</f>
        <v>Upper Class</v>
      </c>
      <c r="F26" s="138"/>
      <c r="G26" s="138"/>
      <c r="H26" s="138"/>
      <c r="S26" s="56"/>
      <c r="T26" s="56"/>
      <c r="U26" s="56"/>
      <c r="V26" s="56" t="s">
        <v>209</v>
      </c>
      <c r="W26" s="56" t="s">
        <v>226</v>
      </c>
      <c r="X26"/>
      <c r="Y26"/>
      <c r="Z26"/>
    </row>
    <row r="27" spans="1:26" x14ac:dyDescent="0.35">
      <c r="A27" s="134" t="s">
        <v>19</v>
      </c>
      <c r="B27" s="134"/>
      <c r="C27" s="134"/>
      <c r="D27" s="134"/>
      <c r="E27" s="138" t="s">
        <v>20</v>
      </c>
      <c r="F27" s="138"/>
      <c r="G27" s="138"/>
      <c r="H27" s="138"/>
      <c r="S27" s="56"/>
      <c r="T27" s="56"/>
      <c r="U27" s="56"/>
      <c r="V27" s="56" t="s">
        <v>210</v>
      </c>
      <c r="W27" s="56" t="s">
        <v>227</v>
      </c>
      <c r="X27"/>
      <c r="Y27"/>
      <c r="Z27"/>
    </row>
    <row r="28" spans="1:26" ht="15.75" customHeight="1" x14ac:dyDescent="0.35">
      <c r="A28" s="134" t="s">
        <v>21</v>
      </c>
      <c r="B28" s="134"/>
      <c r="C28" s="134"/>
      <c r="D28" s="134"/>
      <c r="E28" s="138" t="str">
        <f>IF(AND(G20="Mumbai"),"Developed","Developing")</f>
        <v>Developed</v>
      </c>
      <c r="F28" s="138"/>
      <c r="G28" s="138"/>
      <c r="H28" s="138"/>
    </row>
    <row r="29" spans="1:26" x14ac:dyDescent="0.35">
      <c r="A29" s="134" t="s">
        <v>22</v>
      </c>
      <c r="B29" s="134"/>
      <c r="C29" s="134"/>
      <c r="D29" s="134"/>
      <c r="E29" s="138" t="s">
        <v>23</v>
      </c>
      <c r="F29" s="138"/>
      <c r="G29" s="138"/>
      <c r="H29" s="138"/>
    </row>
    <row r="30" spans="1:26" ht="15.75" customHeight="1" x14ac:dyDescent="0.35">
      <c r="A30" s="134" t="s">
        <v>78</v>
      </c>
      <c r="B30" s="134"/>
      <c r="C30" s="134"/>
      <c r="D30" s="134"/>
      <c r="E30" s="138" t="s">
        <v>79</v>
      </c>
      <c r="F30" s="138"/>
      <c r="G30" s="138"/>
      <c r="H30" s="138"/>
    </row>
    <row r="31" spans="1:26" ht="15" customHeight="1" x14ac:dyDescent="0.35">
      <c r="A31" s="134" t="s">
        <v>30</v>
      </c>
      <c r="B31" s="134"/>
      <c r="C31" s="134"/>
      <c r="D31" s="134"/>
      <c r="E31" s="13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8"/>
      <c r="G31" s="138"/>
      <c r="H31" s="138"/>
    </row>
    <row r="32" spans="1:26" ht="15.75" customHeight="1" x14ac:dyDescent="0.35">
      <c r="A32" s="134" t="s">
        <v>90</v>
      </c>
      <c r="B32" s="134"/>
      <c r="C32" s="134"/>
      <c r="D32" s="134"/>
      <c r="E32" s="138" t="s">
        <v>31</v>
      </c>
      <c r="F32" s="138"/>
      <c r="G32" s="138"/>
      <c r="H32" s="138"/>
    </row>
    <row r="33" spans="1:19" s="21" customFormat="1" x14ac:dyDescent="0.35">
      <c r="A33" s="200" t="s">
        <v>91</v>
      </c>
      <c r="B33" s="200"/>
      <c r="C33" s="197" t="s">
        <v>175</v>
      </c>
      <c r="D33" s="198"/>
      <c r="E33" s="199"/>
      <c r="F33" s="197" t="s">
        <v>29</v>
      </c>
      <c r="G33" s="198"/>
      <c r="H33" s="199"/>
      <c r="S33" s="21" t="e">
        <f ca="1">OFFSET($S$13,1,MATCH($G20,$S$13:$W$13,0)-1,15,1)</f>
        <v>#VALUE!</v>
      </c>
    </row>
    <row r="34" spans="1:19" s="21" customFormat="1" x14ac:dyDescent="0.35">
      <c r="A34" s="193" t="s">
        <v>24</v>
      </c>
      <c r="B34" s="193" t="s">
        <v>28</v>
      </c>
      <c r="C34" s="194" t="s">
        <v>376</v>
      </c>
      <c r="D34" s="195"/>
      <c r="E34" s="196"/>
      <c r="F34" s="194" t="s">
        <v>372</v>
      </c>
      <c r="G34" s="195"/>
      <c r="H34" s="196"/>
    </row>
    <row r="35" spans="1:19" x14ac:dyDescent="0.35">
      <c r="A35" s="193" t="s">
        <v>25</v>
      </c>
      <c r="B35" s="193" t="s">
        <v>28</v>
      </c>
      <c r="C35" s="194" t="s">
        <v>375</v>
      </c>
      <c r="D35" s="195"/>
      <c r="E35" s="196"/>
      <c r="F35" s="194" t="s">
        <v>373</v>
      </c>
      <c r="G35" s="195"/>
      <c r="H35" s="196"/>
    </row>
    <row r="36" spans="1:19" s="21" customFormat="1" x14ac:dyDescent="0.35">
      <c r="A36" s="193" t="s">
        <v>27</v>
      </c>
      <c r="B36" s="193" t="s">
        <v>28</v>
      </c>
      <c r="C36" s="194" t="s">
        <v>375</v>
      </c>
      <c r="D36" s="195"/>
      <c r="E36" s="196"/>
      <c r="F36" s="194" t="s">
        <v>10</v>
      </c>
      <c r="G36" s="195"/>
      <c r="H36" s="196"/>
    </row>
    <row r="37" spans="1:19" x14ac:dyDescent="0.35">
      <c r="A37" s="193" t="s">
        <v>26</v>
      </c>
      <c r="B37" s="193" t="s">
        <v>28</v>
      </c>
      <c r="C37" s="194" t="s">
        <v>376</v>
      </c>
      <c r="D37" s="195"/>
      <c r="E37" s="196"/>
      <c r="F37" s="194" t="s">
        <v>374</v>
      </c>
      <c r="G37" s="195"/>
      <c r="H37" s="196"/>
    </row>
    <row r="38" spans="1:19" x14ac:dyDescent="0.35">
      <c r="A38" s="134" t="s">
        <v>283</v>
      </c>
      <c r="B38" s="134"/>
      <c r="C38" s="134"/>
      <c r="D38" s="134"/>
      <c r="E38" s="134"/>
      <c r="F38" s="134"/>
      <c r="G38" s="134"/>
      <c r="H38" s="134"/>
    </row>
    <row r="39" spans="1:19" ht="15.75" customHeight="1" x14ac:dyDescent="0.35">
      <c r="A39" s="134" t="s">
        <v>167</v>
      </c>
      <c r="B39" s="134"/>
      <c r="C39" s="182" t="s">
        <v>370</v>
      </c>
      <c r="D39" s="182"/>
      <c r="E39" s="182"/>
      <c r="F39" s="182"/>
      <c r="G39" s="182"/>
      <c r="H39" s="182"/>
    </row>
    <row r="40" spans="1:19" x14ac:dyDescent="0.35">
      <c r="A40" s="134" t="s">
        <v>163</v>
      </c>
      <c r="B40" s="134"/>
      <c r="C40" s="226" t="s">
        <v>371</v>
      </c>
      <c r="D40" s="138"/>
      <c r="E40" s="138"/>
      <c r="F40" s="138"/>
      <c r="G40" s="138"/>
      <c r="H40" s="138"/>
    </row>
    <row r="41" spans="1:19" x14ac:dyDescent="0.35">
      <c r="A41" s="182" t="s">
        <v>32</v>
      </c>
      <c r="B41" s="182"/>
      <c r="C41" s="182"/>
      <c r="D41" s="182"/>
      <c r="E41" s="182"/>
      <c r="F41" s="182"/>
      <c r="G41" s="182"/>
      <c r="H41" s="182"/>
    </row>
    <row r="42" spans="1:19" x14ac:dyDescent="0.35">
      <c r="A42" s="134" t="s">
        <v>33</v>
      </c>
      <c r="B42" s="134"/>
      <c r="C42" s="134"/>
      <c r="D42" s="134"/>
      <c r="E42" s="206">
        <v>5833.59</v>
      </c>
      <c r="F42" s="206"/>
      <c r="G42" s="206"/>
      <c r="H42" s="206"/>
    </row>
    <row r="43" spans="1:19" x14ac:dyDescent="0.35">
      <c r="A43" s="134" t="s">
        <v>34</v>
      </c>
      <c r="B43" s="134"/>
      <c r="C43" s="134"/>
      <c r="D43" s="134"/>
      <c r="E43" s="144">
        <v>1.33</v>
      </c>
      <c r="F43" s="144"/>
      <c r="G43" s="144"/>
      <c r="H43" s="144"/>
    </row>
    <row r="44" spans="1:19" x14ac:dyDescent="0.35">
      <c r="A44" s="134" t="s">
        <v>35</v>
      </c>
      <c r="B44" s="134"/>
      <c r="C44" s="134"/>
      <c r="D44" s="134"/>
      <c r="E44" s="144">
        <f>E46/E42-E43</f>
        <v>0.89165596142341164</v>
      </c>
      <c r="F44" s="144"/>
      <c r="G44" s="144"/>
      <c r="H44" s="144"/>
    </row>
    <row r="45" spans="1:19" x14ac:dyDescent="0.35">
      <c r="A45" s="134" t="s">
        <v>36</v>
      </c>
      <c r="B45" s="134"/>
      <c r="C45" s="134"/>
      <c r="D45" s="134"/>
      <c r="E45" s="144">
        <f>E43+E44</f>
        <v>2.2216559614234117</v>
      </c>
      <c r="F45" s="144"/>
      <c r="G45" s="144"/>
      <c r="H45" s="144"/>
    </row>
    <row r="46" spans="1:19" x14ac:dyDescent="0.35">
      <c r="A46" s="134" t="s">
        <v>89</v>
      </c>
      <c r="B46" s="134"/>
      <c r="C46" s="134"/>
      <c r="D46" s="134"/>
      <c r="E46" s="202">
        <v>12960.23</v>
      </c>
      <c r="F46" s="202"/>
      <c r="G46" s="202"/>
      <c r="H46" s="202"/>
    </row>
    <row r="47" spans="1:19" x14ac:dyDescent="0.35">
      <c r="A47" s="167" t="s">
        <v>37</v>
      </c>
      <c r="B47" s="167"/>
      <c r="C47" s="167"/>
      <c r="D47" s="167"/>
      <c r="E47" s="167" t="s">
        <v>377</v>
      </c>
      <c r="F47" s="167"/>
      <c r="G47" s="167"/>
      <c r="H47" s="167"/>
    </row>
    <row r="48" spans="1:19" x14ac:dyDescent="0.35">
      <c r="A48" s="182" t="s">
        <v>38</v>
      </c>
      <c r="B48" s="182"/>
      <c r="C48" s="182"/>
      <c r="D48" s="182"/>
      <c r="E48" s="182"/>
      <c r="F48" s="182"/>
      <c r="G48" s="182"/>
      <c r="H48" s="182"/>
    </row>
    <row r="49" spans="1:24" ht="33.75" customHeight="1" x14ac:dyDescent="0.35">
      <c r="A49" s="125" t="s">
        <v>152</v>
      </c>
      <c r="B49" s="127"/>
      <c r="C49" s="203" t="s">
        <v>258</v>
      </c>
      <c r="D49" s="204"/>
      <c r="E49" s="204"/>
      <c r="F49" s="204"/>
      <c r="G49" s="204"/>
      <c r="H49" s="205"/>
      <c r="R49" t="s">
        <v>256</v>
      </c>
      <c r="S49" s="60" t="s">
        <v>174</v>
      </c>
      <c r="T49" s="60" t="s">
        <v>182</v>
      </c>
      <c r="U49" s="60" t="s">
        <v>196</v>
      </c>
      <c r="V49" s="60" t="s">
        <v>191</v>
      </c>
    </row>
    <row r="50" spans="1:24" x14ac:dyDescent="0.35">
      <c r="A50" s="125" t="s">
        <v>39</v>
      </c>
      <c r="B50" s="127"/>
      <c r="C50" s="125" t="s">
        <v>378</v>
      </c>
      <c r="D50" s="126"/>
      <c r="E50" s="127"/>
      <c r="F50" s="17" t="s">
        <v>40</v>
      </c>
      <c r="G50" s="114">
        <v>45124</v>
      </c>
      <c r="H50" s="115"/>
      <c r="R50"/>
      <c r="S50" s="60" t="s">
        <v>257</v>
      </c>
      <c r="T50" s="60" t="s">
        <v>262</v>
      </c>
      <c r="U50" s="60" t="s">
        <v>273</v>
      </c>
      <c r="V50" s="60" t="s">
        <v>278</v>
      </c>
    </row>
    <row r="51" spans="1:24" x14ac:dyDescent="0.35">
      <c r="A51" s="125" t="s">
        <v>41</v>
      </c>
      <c r="B51" s="127"/>
      <c r="C51" s="125" t="str">
        <f>C50</f>
        <v>P-13610/2022/(2/2)/F/NORTH/SALT</v>
      </c>
      <c r="D51" s="126"/>
      <c r="E51" s="127"/>
      <c r="F51" s="17" t="s">
        <v>40</v>
      </c>
      <c r="G51" s="114">
        <f>G50</f>
        <v>45124</v>
      </c>
      <c r="H51" s="115"/>
      <c r="R51"/>
      <c r="S51" s="60" t="s">
        <v>258</v>
      </c>
      <c r="T51" s="60" t="s">
        <v>263</v>
      </c>
      <c r="U51" s="60" t="s">
        <v>271</v>
      </c>
      <c r="V51" s="60" t="s">
        <v>279</v>
      </c>
    </row>
    <row r="52" spans="1:24" s="22" customFormat="1" ht="34.5" customHeight="1" x14ac:dyDescent="0.35">
      <c r="A52" s="207" t="s">
        <v>156</v>
      </c>
      <c r="B52" s="208"/>
      <c r="C52" s="125" t="s">
        <v>379</v>
      </c>
      <c r="D52" s="126"/>
      <c r="E52" s="127"/>
      <c r="F52" s="17" t="s">
        <v>40</v>
      </c>
      <c r="G52" s="114">
        <v>45212</v>
      </c>
      <c r="H52" s="115"/>
      <c r="I52" s="21" t="str">
        <f ca="1">IF(G52&gt;EDATE(E3,-48),"NO REMARK","CC REMARK FOR CC")</f>
        <v>NO REMARK</v>
      </c>
      <c r="J52" s="88"/>
      <c r="R52"/>
      <c r="S52" s="60" t="s">
        <v>259</v>
      </c>
      <c r="T52" s="60" t="s">
        <v>264</v>
      </c>
      <c r="U52" s="60" t="s">
        <v>261</v>
      </c>
      <c r="V52" s="60" t="s">
        <v>280</v>
      </c>
    </row>
    <row r="53" spans="1:24" s="22" customFormat="1" ht="53.25" customHeight="1" x14ac:dyDescent="0.35">
      <c r="A53" s="209"/>
      <c r="B53" s="210"/>
      <c r="C53" s="125" t="s">
        <v>404</v>
      </c>
      <c r="D53" s="126"/>
      <c r="E53" s="127"/>
      <c r="F53" s="17" t="s">
        <v>119</v>
      </c>
      <c r="G53" s="114">
        <v>45942</v>
      </c>
      <c r="H53" s="115"/>
      <c r="R53"/>
      <c r="S53" s="60" t="s">
        <v>260</v>
      </c>
      <c r="T53" s="60" t="s">
        <v>267</v>
      </c>
      <c r="U53" s="60" t="s">
        <v>274</v>
      </c>
      <c r="V53" s="79" t="s">
        <v>353</v>
      </c>
    </row>
    <row r="54" spans="1:24" s="22" customFormat="1" ht="30.75" customHeight="1" x14ac:dyDescent="0.35">
      <c r="A54" s="109" t="s">
        <v>284</v>
      </c>
      <c r="B54" s="110"/>
      <c r="C54" s="212" t="s">
        <v>405</v>
      </c>
      <c r="D54" s="213"/>
      <c r="E54" s="214"/>
      <c r="F54" s="17" t="s">
        <v>40</v>
      </c>
      <c r="G54" s="114">
        <v>44968</v>
      </c>
      <c r="H54" s="115"/>
      <c r="K54" s="89">
        <f>EDATE(G52,-48)</f>
        <v>43751</v>
      </c>
      <c r="L54" s="22" t="str">
        <f ca="1">IF(G52&gt;EDATE(E3,-48),"NO REMARK","CC REMARK FOR CC")</f>
        <v>NO REMARK</v>
      </c>
      <c r="R54"/>
      <c r="S54" s="60" t="s">
        <v>259</v>
      </c>
      <c r="T54" s="60" t="s">
        <v>264</v>
      </c>
      <c r="U54" s="60" t="s">
        <v>261</v>
      </c>
      <c r="V54" s="60" t="s">
        <v>280</v>
      </c>
    </row>
    <row r="55" spans="1:24" s="22" customFormat="1" ht="32.25" customHeight="1" x14ac:dyDescent="0.35">
      <c r="A55" s="111"/>
      <c r="B55" s="112"/>
      <c r="C55" s="231" t="s">
        <v>412</v>
      </c>
      <c r="D55" s="232"/>
      <c r="E55" s="232"/>
      <c r="F55" s="232"/>
      <c r="G55" s="232"/>
      <c r="H55" s="233"/>
      <c r="R55"/>
      <c r="S55" s="60" t="s">
        <v>261</v>
      </c>
      <c r="T55" s="60" t="s">
        <v>265</v>
      </c>
      <c r="U55" s="60" t="s">
        <v>275</v>
      </c>
      <c r="V55" s="80"/>
      <c r="W55" s="20"/>
      <c r="X55" s="20"/>
    </row>
    <row r="56" spans="1:24" s="22" customFormat="1" ht="34.5" hidden="1" customHeight="1" x14ac:dyDescent="0.35">
      <c r="A56" s="121" t="s">
        <v>285</v>
      </c>
      <c r="B56" s="122"/>
      <c r="C56" s="125" t="str">
        <f>C55</f>
        <v>Wing A &amp; B = 3B + Gr. + 2P + 1st + 2nd to 17th Floor. 
(Total height = 69.50 Mtrs.)</v>
      </c>
      <c r="D56" s="126"/>
      <c r="E56" s="127"/>
      <c r="F56" s="17" t="s">
        <v>40</v>
      </c>
      <c r="G56" s="114">
        <f>G55</f>
        <v>0</v>
      </c>
      <c r="H56" s="115"/>
      <c r="R56"/>
      <c r="S56" s="80"/>
      <c r="T56" s="60" t="s">
        <v>266</v>
      </c>
      <c r="U56" s="60" t="s">
        <v>276</v>
      </c>
      <c r="V56" s="80"/>
      <c r="W56" s="20"/>
      <c r="X56" s="20"/>
    </row>
    <row r="57" spans="1:24" s="22" customFormat="1" ht="41.25" hidden="1" customHeight="1" x14ac:dyDescent="0.35">
      <c r="A57" s="123"/>
      <c r="B57" s="124"/>
      <c r="C57" s="125"/>
      <c r="D57" s="126"/>
      <c r="E57" s="126"/>
      <c r="F57" s="126"/>
      <c r="G57" s="126"/>
      <c r="H57" s="127"/>
      <c r="R57"/>
      <c r="S57" s="80"/>
      <c r="T57" s="60" t="s">
        <v>268</v>
      </c>
      <c r="U57" s="60" t="s">
        <v>277</v>
      </c>
      <c r="V57" s="80"/>
      <c r="W57" s="20"/>
      <c r="X57" s="20"/>
    </row>
    <row r="58" spans="1:24" s="22" customFormat="1" ht="30.75" customHeight="1" x14ac:dyDescent="0.35">
      <c r="A58" s="109" t="s">
        <v>356</v>
      </c>
      <c r="B58" s="110"/>
      <c r="C58" s="125" t="s">
        <v>408</v>
      </c>
      <c r="D58" s="126"/>
      <c r="E58" s="127"/>
      <c r="F58" s="17" t="s">
        <v>40</v>
      </c>
      <c r="G58" s="114">
        <v>45327</v>
      </c>
      <c r="H58" s="115"/>
      <c r="R58"/>
      <c r="S58" s="80"/>
      <c r="T58" s="60" t="s">
        <v>269</v>
      </c>
      <c r="U58" s="80" t="s">
        <v>299</v>
      </c>
      <c r="V58" s="80"/>
      <c r="W58" s="20"/>
      <c r="X58" s="20"/>
    </row>
    <row r="59" spans="1:24" s="22" customFormat="1" ht="33.75" customHeight="1" x14ac:dyDescent="0.35">
      <c r="A59" s="111"/>
      <c r="B59" s="112"/>
      <c r="C59" s="113" t="s">
        <v>409</v>
      </c>
      <c r="D59" s="113"/>
      <c r="E59" s="113"/>
      <c r="F59" s="17" t="s">
        <v>357</v>
      </c>
      <c r="G59" s="116">
        <v>48249</v>
      </c>
      <c r="H59" s="117"/>
      <c r="R59"/>
      <c r="S59" s="80"/>
      <c r="T59" s="60" t="s">
        <v>270</v>
      </c>
      <c r="U59" s="80"/>
      <c r="V59" s="80"/>
      <c r="W59" s="20"/>
      <c r="X59" s="20"/>
    </row>
    <row r="60" spans="1:24" x14ac:dyDescent="0.35">
      <c r="A60" s="161" t="s">
        <v>42</v>
      </c>
      <c r="B60" s="162"/>
      <c r="C60" s="161" t="s">
        <v>103</v>
      </c>
      <c r="D60" s="163"/>
      <c r="E60" s="162"/>
      <c r="F60" s="44" t="s">
        <v>40</v>
      </c>
      <c r="G60" s="168" t="s">
        <v>28</v>
      </c>
      <c r="H60" s="169"/>
      <c r="R60"/>
      <c r="S60" s="80"/>
      <c r="T60" s="60" t="s">
        <v>272</v>
      </c>
      <c r="U60" s="80"/>
      <c r="V60" s="80"/>
    </row>
    <row r="61" spans="1:24" x14ac:dyDescent="0.35">
      <c r="A61" s="183" t="s">
        <v>44</v>
      </c>
      <c r="B61" s="183"/>
      <c r="C61" s="183"/>
      <c r="D61" s="183"/>
      <c r="E61" s="183"/>
      <c r="F61" s="183"/>
      <c r="G61" s="183"/>
      <c r="H61" s="183"/>
      <c r="S61" s="80"/>
      <c r="T61" s="60" t="s">
        <v>281</v>
      </c>
      <c r="U61" s="80"/>
      <c r="V61" s="80"/>
    </row>
    <row r="62" spans="1:24" x14ac:dyDescent="0.35">
      <c r="A62" s="113" t="s">
        <v>88</v>
      </c>
      <c r="B62" s="113"/>
      <c r="C62" s="113"/>
      <c r="D62" s="134">
        <f>E46</f>
        <v>12960.23</v>
      </c>
      <c r="E62" s="134"/>
      <c r="F62" s="134"/>
      <c r="G62" s="134"/>
      <c r="H62" s="134"/>
      <c r="R62"/>
    </row>
    <row r="63" spans="1:24" x14ac:dyDescent="0.35">
      <c r="A63" s="211" t="s">
        <v>45</v>
      </c>
      <c r="B63" s="137"/>
      <c r="C63" s="137"/>
      <c r="D63" s="167" t="s">
        <v>401</v>
      </c>
      <c r="E63" s="167"/>
      <c r="F63" s="167"/>
      <c r="G63" s="167"/>
      <c r="H63" s="167"/>
      <c r="I63" s="23"/>
      <c r="R63"/>
    </row>
    <row r="64" spans="1:24" ht="31.5" customHeight="1" x14ac:dyDescent="0.35">
      <c r="A64" s="138" t="s">
        <v>46</v>
      </c>
      <c r="B64" s="138"/>
      <c r="C64" s="138"/>
      <c r="D64" s="138" t="s">
        <v>413</v>
      </c>
      <c r="E64" s="167"/>
      <c r="F64" s="167"/>
      <c r="G64" s="167"/>
      <c r="H64" s="167"/>
      <c r="R64"/>
    </row>
    <row r="65" spans="1:19" ht="15.75" customHeight="1" x14ac:dyDescent="0.35">
      <c r="A65" s="138" t="s">
        <v>86</v>
      </c>
      <c r="B65" s="138"/>
      <c r="C65" s="138"/>
      <c r="D65" s="167" t="s">
        <v>414</v>
      </c>
      <c r="E65" s="167"/>
      <c r="F65" s="167"/>
      <c r="G65" s="167"/>
      <c r="H65" s="167"/>
      <c r="R65"/>
    </row>
    <row r="66" spans="1:19" ht="15.75" customHeight="1" x14ac:dyDescent="0.35">
      <c r="A66" s="138"/>
      <c r="B66" s="138"/>
      <c r="C66" s="138"/>
      <c r="D66" s="167" t="s">
        <v>415</v>
      </c>
      <c r="E66" s="167"/>
      <c r="F66" s="167"/>
      <c r="G66" s="167"/>
      <c r="H66" s="167"/>
      <c r="S66"/>
    </row>
    <row r="67" spans="1:19" ht="15.75" customHeight="1" x14ac:dyDescent="0.35">
      <c r="A67" s="134" t="s">
        <v>43</v>
      </c>
      <c r="B67" s="134"/>
      <c r="C67" s="134"/>
      <c r="D67" s="138" t="s">
        <v>380</v>
      </c>
      <c r="E67" s="138"/>
      <c r="F67" s="138"/>
      <c r="G67" s="138"/>
      <c r="H67" s="138"/>
      <c r="J67" s="24"/>
      <c r="K67" s="23"/>
      <c r="N67" s="23"/>
      <c r="S67"/>
    </row>
    <row r="68" spans="1:19" ht="15.75" customHeight="1" x14ac:dyDescent="0.35">
      <c r="A68" s="134" t="s">
        <v>84</v>
      </c>
      <c r="B68" s="134"/>
      <c r="C68" s="134"/>
      <c r="D68" s="201" t="str">
        <f>(IF(G60="NA","60 Years After Completion",IF(G60&lt;&gt;"NA",""&amp;60-ROUNDDOWN((E3-G60)/360,0)&amp;" Years"," ")))</f>
        <v>60 Years After Completion</v>
      </c>
      <c r="E68" s="201"/>
      <c r="F68" s="201"/>
      <c r="G68" s="201"/>
      <c r="H68" s="201"/>
      <c r="N68" s="23"/>
      <c r="S68"/>
    </row>
    <row r="69" spans="1:19" ht="15.75" customHeight="1" x14ac:dyDescent="0.35">
      <c r="A69" s="134" t="s">
        <v>85</v>
      </c>
      <c r="B69" s="134"/>
      <c r="C69" s="134"/>
      <c r="D69" s="113" t="s">
        <v>23</v>
      </c>
      <c r="E69" s="113"/>
      <c r="F69" s="113"/>
      <c r="G69" s="113"/>
      <c r="H69" s="113"/>
      <c r="J69" s="25"/>
      <c r="K69" s="25"/>
      <c r="S69"/>
    </row>
    <row r="70" spans="1:19" ht="66" customHeight="1" x14ac:dyDescent="0.35">
      <c r="A70" s="137" t="s">
        <v>403</v>
      </c>
      <c r="B70" s="137"/>
      <c r="C70" s="137"/>
      <c r="D70" s="138" t="s">
        <v>402</v>
      </c>
      <c r="E70" s="113"/>
      <c r="F70" s="113"/>
      <c r="G70" s="113"/>
      <c r="H70" s="113"/>
      <c r="I70" s="20" t="s">
        <v>406</v>
      </c>
      <c r="S70"/>
    </row>
    <row r="71" spans="1:19" x14ac:dyDescent="0.35">
      <c r="A71" s="113" t="s">
        <v>148</v>
      </c>
      <c r="B71" s="113"/>
      <c r="C71" s="113"/>
      <c r="D71" s="113" t="s">
        <v>28</v>
      </c>
      <c r="E71" s="113"/>
      <c r="F71" s="113"/>
      <c r="G71" s="113"/>
      <c r="H71" s="113"/>
      <c r="I71" s="26"/>
      <c r="J71" s="26"/>
      <c r="K71" s="26"/>
      <c r="L71" s="26"/>
      <c r="M71" s="26"/>
      <c r="N71" s="26"/>
    </row>
    <row r="72" spans="1:19" ht="15.75" customHeight="1" x14ac:dyDescent="0.35">
      <c r="A72" s="141" t="s">
        <v>83</v>
      </c>
      <c r="B72" s="141"/>
      <c r="C72" s="141"/>
      <c r="D72" s="140" t="str">
        <f ca="1">(IF(G78&gt;95%,"Nothing",IF(G78&gt;0%,"Cement, Aggregate, Steel, etc",IF(G78=0%,"Work not yet Started"))))</f>
        <v>Cement, Aggregate, Steel, etc</v>
      </c>
      <c r="E72" s="140"/>
      <c r="F72" s="140"/>
      <c r="G72" s="140"/>
      <c r="H72" s="140"/>
      <c r="J72" s="25"/>
      <c r="S72"/>
    </row>
    <row r="73" spans="1:19" ht="33.75" customHeight="1" thickBot="1" x14ac:dyDescent="0.4">
      <c r="A73" s="139" t="s">
        <v>116</v>
      </c>
      <c r="B73" s="139"/>
      <c r="C73" s="139"/>
      <c r="D73" s="140" t="str">
        <f ca="1">(IF(D72="Nothing","Yes",IF(D72="Cement, Aggregate, Steel, etc","Under Construction",IF(D72="Work not yet Started","Work not yet Started"))))</f>
        <v>Under Construction</v>
      </c>
      <c r="E73" s="140"/>
      <c r="F73" s="140" t="str">
        <f ca="1">(IF(D72="Nothing","Yes",IF(D72="Cement, Aggregate, Steel, etc","Under Construction",IF(D72="Work not yet Started","Work not yet Started"))))</f>
        <v>Under Construction</v>
      </c>
      <c r="G73" s="140"/>
      <c r="H73" s="140"/>
      <c r="S73"/>
    </row>
    <row r="74" spans="1:19" ht="15.75" customHeight="1" x14ac:dyDescent="0.35">
      <c r="A74" s="129" t="s">
        <v>138</v>
      </c>
      <c r="B74" s="130"/>
      <c r="C74" s="131" t="str">
        <f>D65</f>
        <v>Wing A = 3B + G + 2P + 1st to 17th Floor</v>
      </c>
      <c r="D74" s="132"/>
      <c r="E74" s="132"/>
      <c r="F74" s="132"/>
      <c r="G74" s="132"/>
      <c r="H74" s="133"/>
      <c r="I74" s="48" t="str">
        <f ca="1">IF(D87=100%,"All work Completed. Possession granted to the Building.",IF(D86=100%,"All work Completed, Waiting for OC",I75&amp;""&amp;I76&amp;""&amp;J75&amp;""&amp;J74&amp;" "&amp;J76))</f>
        <v xml:space="preserve">Excavation, Plinth Completed </v>
      </c>
      <c r="J74" s="4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35">
      <c r="A75" s="15" t="s">
        <v>140</v>
      </c>
      <c r="B75" s="52">
        <f>IF(AND(ISNUMBER(SEARCH("1B",C74))),1,IF(AND(ISNUMBER(SEARCH("2B",C74))),2,IF(AND(ISNUMBER(SEARCH("3B",C74))),3,IF(AND(ISNUMBER(SEARCH("4B",C74))),4,IF(ISNUMBER(SEARCH("5B",C74)),5,0)))))</f>
        <v>3</v>
      </c>
      <c r="C75" s="46" t="s">
        <v>69</v>
      </c>
      <c r="D75" s="46">
        <v>1</v>
      </c>
      <c r="E75" s="46" t="s">
        <v>68</v>
      </c>
      <c r="F75" s="53">
        <v>2</v>
      </c>
      <c r="G75" s="47" t="s">
        <v>77</v>
      </c>
      <c r="H75" s="16">
        <f ca="1">--TRIM(RIGHT(SUBSTITUTE(LEFT(C74,_xlfn.AGGREGATE(16,6,FIND({0,1,2,3,4,5,6,7,8,9},C74,ROW(INDIRECT("1:"&amp;LEN(C74)))),1))," ",REPT(" ",LEN(C74))),LEN(C74)))</f>
        <v>17</v>
      </c>
      <c r="I75" s="50" t="str">
        <f ca="1">IF(D78=100%,"Excavation","")&amp;IF(D79=100%,", Plinth","")&amp;IF(D80=100%,", RCC Slab","")&amp;IF(D81=100%,", Brickwork","")&amp;IF(D82=100%,", Internal Plaster","")&amp;IF(D83=100%,", External Plaster","")&amp;IF(D84=100%,", Flooring","")&amp;IF(D85=100%,", Painting","")&amp;IF(D86=100%,", Building common Amenities","")</f>
        <v>Excavation, Plinth</v>
      </c>
      <c r="J75" s="51"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35">
      <c r="A76" s="142" t="s">
        <v>87</v>
      </c>
      <c r="B76" s="143"/>
      <c r="C76" s="135" t="str">
        <f ca="1">I74</f>
        <v xml:space="preserve">Excavation, Plinth Completed </v>
      </c>
      <c r="D76" s="135"/>
      <c r="E76" s="135"/>
      <c r="F76" s="135"/>
      <c r="G76" s="135"/>
      <c r="H76" s="136"/>
      <c r="I76" s="50" t="str">
        <f ca="1">IF(I75&lt;&gt;""," Completed","")</f>
        <v xml:space="preserve"> Completed</v>
      </c>
      <c r="J76" s="51" t="str">
        <f ca="1">IF(J74&lt;&gt;"","Completed","")</f>
        <v/>
      </c>
      <c r="S76"/>
    </row>
    <row r="77" spans="1:19" ht="15.75" customHeight="1" x14ac:dyDescent="0.35">
      <c r="A77" s="107" t="s">
        <v>47</v>
      </c>
      <c r="B77" s="108"/>
      <c r="C77" s="42" t="s">
        <v>137</v>
      </c>
      <c r="D77" s="42" t="s">
        <v>80</v>
      </c>
      <c r="E77" s="108" t="s">
        <v>82</v>
      </c>
      <c r="F77" s="108"/>
      <c r="G77" s="108" t="s">
        <v>81</v>
      </c>
      <c r="H77" s="151"/>
      <c r="I77" s="13" t="s">
        <v>139</v>
      </c>
      <c r="J77" s="27">
        <f ca="1">H75*25%</f>
        <v>4.25</v>
      </c>
      <c r="S77"/>
    </row>
    <row r="78" spans="1:19" x14ac:dyDescent="0.35">
      <c r="A78" s="107" t="s">
        <v>126</v>
      </c>
      <c r="B78" s="108"/>
      <c r="C78" s="100">
        <f ca="1">J79</f>
        <v>17</v>
      </c>
      <c r="D78" s="18">
        <f ca="1">((100/H75)*C78)/100</f>
        <v>1</v>
      </c>
      <c r="E78" s="234">
        <f ca="1">(((C79/H75*10)+(40/(D75+F75+H75)*C80)+(7.5/(H75)*C81)+(7.5/(H75)*C82)+(10/H75*C83)+(10/H75*C84)+(5/H75*C85)+(5/H75*C86)+(5/H75*C87))/100)</f>
        <v>0.1</v>
      </c>
      <c r="F78" s="235"/>
      <c r="G78" s="234">
        <f ca="1">((((C78/H75)*20)+((C79/H75)*25)+(30/(H75+F75+D75)*C80)+(5/H75*C81)+(5/H75*C82)+(5/H75*C83)+(5/H75*C84)+(0/H75*C85)+(0/H75*C86)+(5/H75*C87))/100)</f>
        <v>0.45</v>
      </c>
      <c r="H78" s="240"/>
      <c r="I78" s="13" t="s">
        <v>98</v>
      </c>
      <c r="J78" s="28">
        <f ca="1">H75*50%</f>
        <v>8.5</v>
      </c>
    </row>
    <row r="79" spans="1:19" x14ac:dyDescent="0.35">
      <c r="A79" s="107" t="s">
        <v>48</v>
      </c>
      <c r="B79" s="108"/>
      <c r="C79" s="253">
        <f ca="1">J87</f>
        <v>17</v>
      </c>
      <c r="D79" s="18">
        <f ca="1">((100/H75)*C79)/100</f>
        <v>1</v>
      </c>
      <c r="E79" s="236"/>
      <c r="F79" s="237"/>
      <c r="G79" s="236"/>
      <c r="H79" s="241"/>
      <c r="I79" s="13" t="s">
        <v>99</v>
      </c>
      <c r="J79" s="28">
        <f ca="1">H75</f>
        <v>17</v>
      </c>
      <c r="S79"/>
    </row>
    <row r="80" spans="1:19" ht="15.75" customHeight="1" x14ac:dyDescent="0.35">
      <c r="A80" s="107" t="s">
        <v>127</v>
      </c>
      <c r="B80" s="108"/>
      <c r="C80" s="42">
        <v>0</v>
      </c>
      <c r="D80" s="18">
        <f ca="1">((100/(D75+F75+H75))*C80)/100</f>
        <v>0</v>
      </c>
      <c r="E80" s="236"/>
      <c r="F80" s="237"/>
      <c r="G80" s="236"/>
      <c r="H80" s="241"/>
      <c r="I80" s="13" t="s">
        <v>100</v>
      </c>
      <c r="J80" s="29">
        <f ca="1">(IF(B75&gt;1,(H75/(B75+2)),H75/4))</f>
        <v>3.4</v>
      </c>
      <c r="S80"/>
    </row>
    <row r="81" spans="1:19" ht="15.75" customHeight="1" x14ac:dyDescent="0.35">
      <c r="A81" s="107" t="s">
        <v>134</v>
      </c>
      <c r="B81" s="108" t="s">
        <v>128</v>
      </c>
      <c r="C81" s="42">
        <v>0</v>
      </c>
      <c r="D81" s="18">
        <f ca="1">((100/H75)*C81)/100</f>
        <v>0</v>
      </c>
      <c r="E81" s="236"/>
      <c r="F81" s="237"/>
      <c r="G81" s="236"/>
      <c r="H81" s="241"/>
      <c r="I81" s="13" t="s">
        <v>101</v>
      </c>
      <c r="J81" s="29">
        <f ca="1">(IF(B75&gt;1,(H75/(B75+2)+J80),H75/4+J80))</f>
        <v>6.8</v>
      </c>
    </row>
    <row r="82" spans="1:19" ht="15.75" customHeight="1" x14ac:dyDescent="0.35">
      <c r="A82" s="107" t="s">
        <v>135</v>
      </c>
      <c r="B82" s="108" t="s">
        <v>128</v>
      </c>
      <c r="C82" s="42">
        <v>0</v>
      </c>
      <c r="D82" s="18">
        <f ca="1">((100/H75)*C82)/100</f>
        <v>0</v>
      </c>
      <c r="E82" s="236"/>
      <c r="F82" s="237"/>
      <c r="G82" s="236"/>
      <c r="H82" s="241"/>
      <c r="I82" s="13" t="s">
        <v>146</v>
      </c>
      <c r="J82" s="29">
        <f ca="1">(IF(B75&gt;1,(H75/(B75+2)+J81),0))</f>
        <v>10.199999999999999</v>
      </c>
    </row>
    <row r="83" spans="1:19" ht="15" customHeight="1" x14ac:dyDescent="0.35">
      <c r="A83" s="107" t="s">
        <v>133</v>
      </c>
      <c r="B83" s="108" t="s">
        <v>130</v>
      </c>
      <c r="C83" s="64">
        <v>0</v>
      </c>
      <c r="D83" s="18">
        <f ca="1">((100/(H75))*C83)/100</f>
        <v>0</v>
      </c>
      <c r="E83" s="236"/>
      <c r="F83" s="237"/>
      <c r="G83" s="236"/>
      <c r="H83" s="241"/>
      <c r="I83" s="13" t="s">
        <v>141</v>
      </c>
      <c r="J83" s="29">
        <f ca="1">(IF(B75&gt;2,(H75/(B75+2)+J82),0))</f>
        <v>13.6</v>
      </c>
    </row>
    <row r="84" spans="1:19" ht="15.75" customHeight="1" x14ac:dyDescent="0.35">
      <c r="A84" s="107" t="s">
        <v>129</v>
      </c>
      <c r="B84" s="108" t="s">
        <v>129</v>
      </c>
      <c r="C84" s="42">
        <v>0</v>
      </c>
      <c r="D84" s="18">
        <f ca="1">((100/H75)*C84)/100</f>
        <v>0</v>
      </c>
      <c r="E84" s="236"/>
      <c r="F84" s="237"/>
      <c r="G84" s="236"/>
      <c r="H84" s="241"/>
      <c r="I84" s="13" t="s">
        <v>142</v>
      </c>
      <c r="J84" s="30">
        <f>(IF(B75&gt;3,(H75/(B75+2)+J83),0))</f>
        <v>0</v>
      </c>
    </row>
    <row r="85" spans="1:19" ht="15.75" customHeight="1" x14ac:dyDescent="0.35">
      <c r="A85" s="107" t="s">
        <v>136</v>
      </c>
      <c r="B85" s="108"/>
      <c r="C85" s="42">
        <v>0</v>
      </c>
      <c r="D85" s="18">
        <f ca="1">((100/H75)*C85)/100</f>
        <v>0</v>
      </c>
      <c r="E85" s="236"/>
      <c r="F85" s="237"/>
      <c r="G85" s="236"/>
      <c r="H85" s="241"/>
      <c r="I85" s="13" t="s">
        <v>143</v>
      </c>
      <c r="J85" s="29">
        <f>(IF(B75&gt;4,(H75/(B75+2)+J84),0))</f>
        <v>0</v>
      </c>
    </row>
    <row r="86" spans="1:19" ht="15.75" customHeight="1" x14ac:dyDescent="0.35">
      <c r="A86" s="107" t="s">
        <v>131</v>
      </c>
      <c r="B86" s="108" t="s">
        <v>131</v>
      </c>
      <c r="C86" s="42">
        <v>0</v>
      </c>
      <c r="D86" s="18">
        <f ca="1">((100/(H75))*C86)/100</f>
        <v>0</v>
      </c>
      <c r="E86" s="236"/>
      <c r="F86" s="237"/>
      <c r="G86" s="236"/>
      <c r="H86" s="241"/>
      <c r="I86" s="13" t="s">
        <v>147</v>
      </c>
      <c r="J86" s="29">
        <f>(IF(B75=1,(H75/(B75+3)+J81),IF(B75=0,(H75/4+J81),IF(B75&gt;1,0))))</f>
        <v>0</v>
      </c>
    </row>
    <row r="87" spans="1:19" ht="16" thickBot="1" x14ac:dyDescent="0.4">
      <c r="A87" s="105" t="s">
        <v>132</v>
      </c>
      <c r="B87" s="106"/>
      <c r="C87" s="43">
        <v>0</v>
      </c>
      <c r="D87" s="19">
        <f ca="1">((100/(H75))*C87)/100</f>
        <v>0</v>
      </c>
      <c r="E87" s="238"/>
      <c r="F87" s="239"/>
      <c r="G87" s="238"/>
      <c r="H87" s="242"/>
      <c r="I87" s="14" t="s">
        <v>102</v>
      </c>
      <c r="J87" s="31">
        <f ca="1">(IF(B75&gt;1.5,(H75/(B75+2)+J81+MAX(0,J82-J81)+MAX(0,J83-J82)+MAX(0,J84-J83)+MAX(0,J85-J84)+MAX(0,J86-J85)),IF(B75=1,(H75/(B75+3)+J86),IF(B75=0,H75/4+J86))))</f>
        <v>17</v>
      </c>
    </row>
    <row r="88" spans="1:19" ht="15.75" customHeight="1" x14ac:dyDescent="0.35">
      <c r="A88" s="245" t="s">
        <v>138</v>
      </c>
      <c r="B88" s="246"/>
      <c r="C88" s="131" t="str">
        <f>D66</f>
        <v>Wing B = 3B + G + 2P + 1st to 17th Floor</v>
      </c>
      <c r="D88" s="132"/>
      <c r="E88" s="132"/>
      <c r="F88" s="132"/>
      <c r="G88" s="132"/>
      <c r="H88" s="133"/>
      <c r="I88" s="48" t="str">
        <f ca="1">IF(D101=100%,"All work Completed. Possession granted to the Building.",IF(D100=100%,"All work Completed, Waiting for OC",I89&amp;""&amp;I90&amp;""&amp;J89&amp;""&amp;J88&amp;" "&amp;J90))</f>
        <v xml:space="preserve">Excavation Completed, Footing work Completed </v>
      </c>
      <c r="J88" s="49"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S88"/>
    </row>
    <row r="89" spans="1:19" x14ac:dyDescent="0.35">
      <c r="A89" s="15" t="s">
        <v>140</v>
      </c>
      <c r="B89" s="53">
        <f>IF(AND(ISNUMBER(SEARCH("1B",C88))),1,IF(AND(ISNUMBER(SEARCH("2B",C88))),2,IF(AND(ISNUMBER(SEARCH("3B",C88))),3,IF(AND(ISNUMBER(SEARCH("4B",C88))),4,IF(ISNUMBER(SEARCH("5B",C88)),5,0)))))</f>
        <v>3</v>
      </c>
      <c r="C89" s="53" t="s">
        <v>69</v>
      </c>
      <c r="D89" s="53">
        <v>1</v>
      </c>
      <c r="E89" s="53" t="s">
        <v>68</v>
      </c>
      <c r="F89" s="53">
        <v>2</v>
      </c>
      <c r="G89" s="47" t="s">
        <v>77</v>
      </c>
      <c r="H89" s="16">
        <f ca="1">--TRIM(RIGHT(SUBSTITUTE(LEFT(C88,_xlfn.AGGREGATE(16,6,FIND({0,1,2,3,4,5,6,7,8,9},C88,ROW(INDIRECT("1:"&amp;LEN(C88)))),1))," ",REPT(" ",LEN(C88))),LEN(C88)))</f>
        <v>17</v>
      </c>
      <c r="I89" s="50" t="str">
        <f ca="1">IF(D92=100%,"Excavation","")&amp;IF(D93=100%,", Plinth","")&amp;IF(D94=100%,", RCC Slab","")&amp;IF(D95=100%,", Brickwork","")&amp;IF(D96=100%,", Internal Plaster","")&amp;IF(D97=100%,", External Plaster","")&amp;IF(D98=100%,", Flooring","")&amp;IF(D99=100%,", Painting","")&amp;IF(D100=100%,", Building common Amenities","")</f>
        <v>Excavation</v>
      </c>
      <c r="J89" s="51"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Footing work Completed</v>
      </c>
      <c r="S89"/>
    </row>
    <row r="90" spans="1:19" x14ac:dyDescent="0.35">
      <c r="A90" s="142" t="s">
        <v>87</v>
      </c>
      <c r="B90" s="143"/>
      <c r="C90" s="135" t="str">
        <f ca="1">I88</f>
        <v xml:space="preserve">Excavation Completed, Footing work Completed </v>
      </c>
      <c r="D90" s="135"/>
      <c r="E90" s="135"/>
      <c r="F90" s="135"/>
      <c r="G90" s="135"/>
      <c r="H90" s="136"/>
      <c r="I90" s="50" t="str">
        <f ca="1">IF(I89&lt;&gt;""," Completed","")</f>
        <v xml:space="preserve"> Completed</v>
      </c>
      <c r="J90" s="51" t="str">
        <f ca="1">IF(J88&lt;&gt;"","Completed","")</f>
        <v/>
      </c>
      <c r="S90"/>
    </row>
    <row r="91" spans="1:19" ht="15.75" customHeight="1" x14ac:dyDescent="0.35">
      <c r="A91" s="107" t="s">
        <v>47</v>
      </c>
      <c r="B91" s="108"/>
      <c r="C91" s="82" t="s">
        <v>137</v>
      </c>
      <c r="D91" s="82" t="s">
        <v>80</v>
      </c>
      <c r="E91" s="108" t="s">
        <v>82</v>
      </c>
      <c r="F91" s="108"/>
      <c r="G91" s="108" t="s">
        <v>81</v>
      </c>
      <c r="H91" s="151"/>
      <c r="I91" s="13" t="s">
        <v>139</v>
      </c>
      <c r="J91" s="27">
        <f ca="1">H89*25%</f>
        <v>4.25</v>
      </c>
      <c r="S91"/>
    </row>
    <row r="92" spans="1:19" x14ac:dyDescent="0.35">
      <c r="A92" s="107" t="s">
        <v>126</v>
      </c>
      <c r="B92" s="108"/>
      <c r="C92" s="100">
        <f ca="1">J93</f>
        <v>17</v>
      </c>
      <c r="D92" s="18">
        <f ca="1">((100/H89)*C92)/100</f>
        <v>1</v>
      </c>
      <c r="E92" s="234">
        <f ca="1">(((C93/H89*10)+(40/(D89+F89+H89)*C94)+(7.5/(H89)*C95)+(7.5/(H89)*C96)+(10/H89*C97)+(10/H89*C98)+(5/H89*C99)+(5/H89*C100)+(5/H89*C101))/100)</f>
        <v>3.9999999999999994E-2</v>
      </c>
      <c r="F92" s="235"/>
      <c r="G92" s="234">
        <f ca="1">((((C92/H89)*20)+((C93/H89)*25)+(30/(H89+F89+D89)*C94)+(5/H89*C95)+(5/H89*C96)+(5/H89*C97)+(5/H89*C98)+(0/H89*C99)+(0/H89*C100)+(5/H89*C101))/100)</f>
        <v>0.3</v>
      </c>
      <c r="H92" s="240"/>
      <c r="I92" s="13" t="s">
        <v>98</v>
      </c>
      <c r="J92" s="28">
        <f ca="1">H89*50%</f>
        <v>8.5</v>
      </c>
    </row>
    <row r="93" spans="1:19" x14ac:dyDescent="0.35">
      <c r="A93" s="107" t="s">
        <v>48</v>
      </c>
      <c r="B93" s="108"/>
      <c r="C93" s="253">
        <f ca="1">J95</f>
        <v>6.8</v>
      </c>
      <c r="D93" s="18">
        <f ca="1">((100/H89)*C93)/100</f>
        <v>0.4</v>
      </c>
      <c r="E93" s="236"/>
      <c r="F93" s="237"/>
      <c r="G93" s="236"/>
      <c r="H93" s="241"/>
      <c r="I93" s="13" t="s">
        <v>99</v>
      </c>
      <c r="J93" s="28">
        <f ca="1">H89</f>
        <v>17</v>
      </c>
      <c r="S93"/>
    </row>
    <row r="94" spans="1:19" ht="15.75" customHeight="1" x14ac:dyDescent="0.35">
      <c r="A94" s="107" t="s">
        <v>127</v>
      </c>
      <c r="B94" s="108"/>
      <c r="C94" s="82">
        <v>0</v>
      </c>
      <c r="D94" s="18">
        <f ca="1">((100/(D89+F89+H89))*C94)/100</f>
        <v>0</v>
      </c>
      <c r="E94" s="236"/>
      <c r="F94" s="237"/>
      <c r="G94" s="236"/>
      <c r="H94" s="241"/>
      <c r="I94" s="13" t="s">
        <v>100</v>
      </c>
      <c r="J94" s="29">
        <f ca="1">(IF(B89&gt;1,(H89/(B89+2)),H89/4))</f>
        <v>3.4</v>
      </c>
      <c r="S94"/>
    </row>
    <row r="95" spans="1:19" ht="15.75" customHeight="1" x14ac:dyDescent="0.35">
      <c r="A95" s="107" t="s">
        <v>134</v>
      </c>
      <c r="B95" s="108" t="s">
        <v>128</v>
      </c>
      <c r="C95" s="82">
        <v>0</v>
      </c>
      <c r="D95" s="18">
        <f ca="1">((100/H89)*C95)/100</f>
        <v>0</v>
      </c>
      <c r="E95" s="236"/>
      <c r="F95" s="237"/>
      <c r="G95" s="236"/>
      <c r="H95" s="241"/>
      <c r="I95" s="13" t="s">
        <v>101</v>
      </c>
      <c r="J95" s="29">
        <f ca="1">(IF(B89&gt;1,(H89/(B89+2)+J94),H89/4+J94))</f>
        <v>6.8</v>
      </c>
    </row>
    <row r="96" spans="1:19" ht="15.75" customHeight="1" x14ac:dyDescent="0.35">
      <c r="A96" s="107" t="s">
        <v>135</v>
      </c>
      <c r="B96" s="108" t="s">
        <v>128</v>
      </c>
      <c r="C96" s="82">
        <v>0</v>
      </c>
      <c r="D96" s="18">
        <f ca="1">((100/H89)*C96)/100</f>
        <v>0</v>
      </c>
      <c r="E96" s="236"/>
      <c r="F96" s="237"/>
      <c r="G96" s="236"/>
      <c r="H96" s="241"/>
      <c r="I96" s="13" t="s">
        <v>146</v>
      </c>
      <c r="J96" s="29">
        <f ca="1">(IF(B89&gt;1,(H89/(B89+2)+J95),0))</f>
        <v>10.199999999999999</v>
      </c>
    </row>
    <row r="97" spans="1:22" ht="15" customHeight="1" x14ac:dyDescent="0.35">
      <c r="A97" s="107" t="s">
        <v>133</v>
      </c>
      <c r="B97" s="108" t="s">
        <v>130</v>
      </c>
      <c r="C97" s="82">
        <v>0</v>
      </c>
      <c r="D97" s="18">
        <f ca="1">((100/(H89))*C97)/100</f>
        <v>0</v>
      </c>
      <c r="E97" s="236"/>
      <c r="F97" s="237"/>
      <c r="G97" s="236"/>
      <c r="H97" s="241"/>
      <c r="I97" s="13" t="s">
        <v>141</v>
      </c>
      <c r="J97" s="29">
        <f ca="1">(IF(B89&gt;2,(H89/(B89+2)+J96),0))</f>
        <v>13.6</v>
      </c>
    </row>
    <row r="98" spans="1:22" ht="15.75" customHeight="1" x14ac:dyDescent="0.35">
      <c r="A98" s="107" t="s">
        <v>129</v>
      </c>
      <c r="B98" s="108" t="s">
        <v>129</v>
      </c>
      <c r="C98" s="82">
        <v>0</v>
      </c>
      <c r="D98" s="18">
        <f ca="1">((100/H89)*C98)/100</f>
        <v>0</v>
      </c>
      <c r="E98" s="236"/>
      <c r="F98" s="237"/>
      <c r="G98" s="236"/>
      <c r="H98" s="241"/>
      <c r="I98" s="13" t="s">
        <v>142</v>
      </c>
      <c r="J98" s="30">
        <f>(IF(B89&gt;3,(H89/(B89+2)+J97),0))</f>
        <v>0</v>
      </c>
    </row>
    <row r="99" spans="1:22" ht="15.75" customHeight="1" x14ac:dyDescent="0.35">
      <c r="A99" s="107" t="s">
        <v>136</v>
      </c>
      <c r="B99" s="108"/>
      <c r="C99" s="82">
        <v>0</v>
      </c>
      <c r="D99" s="18">
        <f ca="1">((100/H89)*C99)/100</f>
        <v>0</v>
      </c>
      <c r="E99" s="236"/>
      <c r="F99" s="237"/>
      <c r="G99" s="236"/>
      <c r="H99" s="241"/>
      <c r="I99" s="13" t="s">
        <v>143</v>
      </c>
      <c r="J99" s="29">
        <f>(IF(B89&gt;4,(H89/(B89+2)+J98),0))</f>
        <v>0</v>
      </c>
    </row>
    <row r="100" spans="1:22" ht="15.75" customHeight="1" x14ac:dyDescent="0.35">
      <c r="A100" s="107" t="s">
        <v>131</v>
      </c>
      <c r="B100" s="108" t="s">
        <v>131</v>
      </c>
      <c r="C100" s="82">
        <v>0</v>
      </c>
      <c r="D100" s="18">
        <f ca="1">((100/(H89))*C100)/100</f>
        <v>0</v>
      </c>
      <c r="E100" s="236"/>
      <c r="F100" s="237"/>
      <c r="G100" s="236"/>
      <c r="H100" s="241"/>
      <c r="I100" s="13" t="s">
        <v>147</v>
      </c>
      <c r="J100" s="29">
        <f>(IF(B89=1,(H89/(B89+3)+J95),IF(B89=0,(H89/4+J95),IF(B89&gt;1,0))))</f>
        <v>0</v>
      </c>
    </row>
    <row r="101" spans="1:22" ht="16" thickBot="1" x14ac:dyDescent="0.4">
      <c r="A101" s="105" t="s">
        <v>132</v>
      </c>
      <c r="B101" s="106"/>
      <c r="C101" s="81">
        <v>0</v>
      </c>
      <c r="D101" s="19">
        <f ca="1">((100/(H89))*C101)/100</f>
        <v>0</v>
      </c>
      <c r="E101" s="238"/>
      <c r="F101" s="239"/>
      <c r="G101" s="238"/>
      <c r="H101" s="242"/>
      <c r="I101" s="14" t="s">
        <v>102</v>
      </c>
      <c r="J101" s="31">
        <f ca="1">(IF(B89&gt;1.5,(H89/(B89+2)+J95+MAX(0,J96-J95)+MAX(0,J97-J96)+MAX(0,J98-J97)+MAX(0,J99-J98)+MAX(0,J100-J99)),IF(B89=1,(H89/(B89+3)+J100),IF(B89=0,H89/4+J100))))</f>
        <v>17</v>
      </c>
    </row>
    <row r="102" spans="1:22" x14ac:dyDescent="0.35">
      <c r="A102" s="224" t="s">
        <v>158</v>
      </c>
      <c r="B102" s="224"/>
      <c r="C102" s="224"/>
      <c r="D102" s="224"/>
      <c r="E102" s="224"/>
      <c r="F102" s="225" t="s">
        <v>162</v>
      </c>
      <c r="G102" s="225"/>
      <c r="H102" s="225"/>
      <c r="R102" t="s">
        <v>256</v>
      </c>
      <c r="S102" t="s">
        <v>174</v>
      </c>
      <c r="T102" t="s">
        <v>182</v>
      </c>
      <c r="U102" t="s">
        <v>196</v>
      </c>
      <c r="V102" t="s">
        <v>191</v>
      </c>
    </row>
    <row r="103" spans="1:22" x14ac:dyDescent="0.35">
      <c r="A103" s="134" t="s">
        <v>160</v>
      </c>
      <c r="B103" s="134"/>
      <c r="C103" s="134"/>
      <c r="D103" s="134"/>
      <c r="E103" s="134"/>
      <c r="F103" s="156">
        <v>31000</v>
      </c>
      <c r="G103" s="156"/>
      <c r="H103" s="156"/>
      <c r="R103"/>
      <c r="S103">
        <v>800000</v>
      </c>
      <c r="T103">
        <v>150000</v>
      </c>
      <c r="U103">
        <v>100000</v>
      </c>
      <c r="V103">
        <v>100000</v>
      </c>
    </row>
    <row r="104" spans="1:22" hidden="1" x14ac:dyDescent="0.35">
      <c r="A104" s="134" t="s">
        <v>159</v>
      </c>
      <c r="B104" s="134"/>
      <c r="C104" s="134"/>
      <c r="D104" s="134"/>
      <c r="E104" s="134"/>
      <c r="F104" s="156"/>
      <c r="G104" s="156"/>
      <c r="H104" s="156"/>
      <c r="R104"/>
      <c r="S104">
        <v>900000</v>
      </c>
      <c r="T104">
        <v>200000</v>
      </c>
      <c r="U104">
        <v>150000</v>
      </c>
      <c r="V104">
        <v>150000</v>
      </c>
    </row>
    <row r="105" spans="1:22" hidden="1" x14ac:dyDescent="0.35">
      <c r="A105" s="134" t="s">
        <v>161</v>
      </c>
      <c r="B105" s="134"/>
      <c r="C105" s="134"/>
      <c r="D105" s="134"/>
      <c r="E105" s="134"/>
      <c r="F105" s="156"/>
      <c r="G105" s="156"/>
      <c r="H105" s="156"/>
      <c r="R105"/>
      <c r="S105">
        <v>1000000</v>
      </c>
      <c r="T105">
        <v>250000</v>
      </c>
      <c r="U105">
        <v>200000</v>
      </c>
      <c r="V105">
        <v>200000</v>
      </c>
    </row>
    <row r="106" spans="1:22" s="32" customFormat="1" hidden="1" x14ac:dyDescent="0.35">
      <c r="A106" s="134" t="s">
        <v>176</v>
      </c>
      <c r="B106" s="134"/>
      <c r="C106" s="134"/>
      <c r="D106" s="134"/>
      <c r="E106" s="134"/>
      <c r="F106" s="156"/>
      <c r="G106" s="156"/>
      <c r="H106" s="156"/>
      <c r="R106"/>
      <c r="S106">
        <v>1100000</v>
      </c>
      <c r="T106">
        <v>300000</v>
      </c>
      <c r="U106">
        <v>250000</v>
      </c>
      <c r="V106" s="22">
        <v>250000</v>
      </c>
    </row>
    <row r="107" spans="1:22" s="32" customFormat="1" hidden="1" x14ac:dyDescent="0.35">
      <c r="A107" s="134" t="s">
        <v>92</v>
      </c>
      <c r="B107" s="134"/>
      <c r="C107" s="134"/>
      <c r="D107" s="134"/>
      <c r="E107" s="134"/>
      <c r="F107" s="156"/>
      <c r="G107" s="156"/>
      <c r="H107" s="156"/>
      <c r="R107"/>
      <c r="S107">
        <v>1200000</v>
      </c>
      <c r="T107">
        <v>350000</v>
      </c>
      <c r="U107">
        <v>300000</v>
      </c>
      <c r="V107">
        <v>300000</v>
      </c>
    </row>
    <row r="108" spans="1:22" s="32" customFormat="1" hidden="1" x14ac:dyDescent="0.35">
      <c r="A108" s="134" t="s">
        <v>93</v>
      </c>
      <c r="B108" s="134"/>
      <c r="C108" s="134"/>
      <c r="D108" s="134"/>
      <c r="E108" s="134"/>
      <c r="F108" s="156"/>
      <c r="G108" s="156"/>
      <c r="H108" s="156"/>
      <c r="R108"/>
      <c r="S108">
        <v>1300000</v>
      </c>
      <c r="T108">
        <v>400000</v>
      </c>
      <c r="U108">
        <v>350000</v>
      </c>
      <c r="V108" s="22">
        <v>400000</v>
      </c>
    </row>
    <row r="109" spans="1:22" s="32" customFormat="1" hidden="1" x14ac:dyDescent="0.35">
      <c r="A109" s="134" t="s">
        <v>94</v>
      </c>
      <c r="B109" s="134"/>
      <c r="C109" s="134"/>
      <c r="D109" s="134"/>
      <c r="E109" s="134"/>
      <c r="F109" s="156"/>
      <c r="G109" s="156"/>
      <c r="H109" s="156"/>
      <c r="R109"/>
      <c r="S109">
        <v>1400000</v>
      </c>
      <c r="T109">
        <v>500000</v>
      </c>
      <c r="U109">
        <v>400000</v>
      </c>
      <c r="V109"/>
    </row>
    <row r="110" spans="1:22" s="32" customFormat="1" hidden="1" x14ac:dyDescent="0.35">
      <c r="A110" s="134" t="s">
        <v>95</v>
      </c>
      <c r="B110" s="134"/>
      <c r="C110" s="134"/>
      <c r="D110" s="134"/>
      <c r="E110" s="134"/>
      <c r="F110" s="156"/>
      <c r="G110" s="156"/>
      <c r="H110" s="156"/>
      <c r="R110"/>
      <c r="S110">
        <v>1500000</v>
      </c>
      <c r="T110">
        <v>600000</v>
      </c>
      <c r="U110">
        <v>500000</v>
      </c>
      <c r="V110" s="22"/>
    </row>
    <row r="111" spans="1:22" s="32" customFormat="1" hidden="1" x14ac:dyDescent="0.35">
      <c r="A111" s="134" t="s">
        <v>96</v>
      </c>
      <c r="B111" s="134"/>
      <c r="C111" s="134"/>
      <c r="D111" s="134"/>
      <c r="E111" s="134"/>
      <c r="F111" s="156"/>
      <c r="G111" s="156"/>
      <c r="H111" s="156"/>
      <c r="R111"/>
      <c r="S111">
        <v>1600000</v>
      </c>
      <c r="T111">
        <v>700000</v>
      </c>
      <c r="U111">
        <v>600000</v>
      </c>
      <c r="V111"/>
    </row>
    <row r="112" spans="1:22" s="32" customFormat="1" hidden="1" x14ac:dyDescent="0.35">
      <c r="A112" s="134" t="s">
        <v>97</v>
      </c>
      <c r="B112" s="134"/>
      <c r="C112" s="134"/>
      <c r="D112" s="134"/>
      <c r="E112" s="134"/>
      <c r="F112" s="156"/>
      <c r="G112" s="156"/>
      <c r="H112" s="156"/>
      <c r="R112"/>
      <c r="S112">
        <v>1700000</v>
      </c>
      <c r="T112">
        <v>800000</v>
      </c>
      <c r="U112"/>
      <c r="V112" s="22"/>
    </row>
    <row r="113" spans="1:22" x14ac:dyDescent="0.35">
      <c r="A113" s="134" t="s">
        <v>49</v>
      </c>
      <c r="B113" s="134"/>
      <c r="C113" s="134"/>
      <c r="D113" s="134"/>
      <c r="E113" s="134"/>
      <c r="F113" s="156">
        <v>1200000</v>
      </c>
      <c r="G113" s="156"/>
      <c r="H113" s="156"/>
      <c r="R113"/>
      <c r="S113">
        <v>1800000</v>
      </c>
      <c r="T113">
        <v>900000</v>
      </c>
      <c r="U113"/>
    </row>
    <row r="114" spans="1:22" s="33" customFormat="1" x14ac:dyDescent="0.35">
      <c r="A114" s="182" t="s">
        <v>50</v>
      </c>
      <c r="B114" s="182"/>
      <c r="C114" s="182"/>
      <c r="D114" s="182"/>
      <c r="E114" s="182"/>
      <c r="F114" s="156">
        <f>F103*0.8</f>
        <v>24800</v>
      </c>
      <c r="G114" s="156"/>
      <c r="H114" s="156"/>
      <c r="R114" s="20"/>
      <c r="S114" s="20"/>
      <c r="T114">
        <v>1000000</v>
      </c>
      <c r="U114"/>
      <c r="V114" s="20"/>
    </row>
    <row r="115" spans="1:22" s="34" customFormat="1" ht="15.75" hidden="1" customHeight="1" x14ac:dyDescent="0.35">
      <c r="A115" s="181" t="s">
        <v>72</v>
      </c>
      <c r="B115" s="181"/>
      <c r="C115" s="181"/>
      <c r="D115" s="181"/>
      <c r="E115" s="181"/>
      <c r="F115" s="181"/>
      <c r="G115" s="181"/>
      <c r="H115" s="181"/>
      <c r="R115"/>
      <c r="S115" s="20"/>
      <c r="T115"/>
      <c r="U115"/>
      <c r="V115" s="20"/>
    </row>
    <row r="116" spans="1:22" s="34" customFormat="1" ht="15.75" hidden="1" customHeight="1" x14ac:dyDescent="0.35">
      <c r="A116" s="158" t="s">
        <v>51</v>
      </c>
      <c r="B116" s="158"/>
      <c r="C116" s="166" t="s">
        <v>75</v>
      </c>
      <c r="D116" s="166"/>
      <c r="E116" s="164" t="s">
        <v>52</v>
      </c>
      <c r="F116" s="164"/>
      <c r="G116" s="158" t="s">
        <v>53</v>
      </c>
      <c r="H116" s="158"/>
      <c r="R116"/>
      <c r="S116" s="20"/>
      <c r="T116"/>
      <c r="U116" s="20"/>
      <c r="V116" s="20"/>
    </row>
    <row r="117" spans="1:22" s="34" customFormat="1" hidden="1" x14ac:dyDescent="0.35">
      <c r="A117" s="165"/>
      <c r="B117" s="165"/>
      <c r="C117" s="227"/>
      <c r="D117" s="227"/>
      <c r="E117" s="228"/>
      <c r="F117" s="228"/>
      <c r="G117" s="175"/>
      <c r="H117" s="175"/>
      <c r="R117"/>
      <c r="S117" s="20"/>
      <c r="T117"/>
      <c r="U117" s="20"/>
      <c r="V117" s="20"/>
    </row>
    <row r="118" spans="1:22" s="34" customFormat="1" hidden="1" x14ac:dyDescent="0.35">
      <c r="A118" s="165"/>
      <c r="B118" s="165"/>
      <c r="C118" s="227"/>
      <c r="D118" s="227"/>
      <c r="E118" s="228"/>
      <c r="F118" s="228"/>
      <c r="G118" s="175"/>
      <c r="H118" s="175"/>
      <c r="R118"/>
      <c r="S118" s="20"/>
      <c r="T118"/>
      <c r="U118" s="20"/>
      <c r="V118" s="20"/>
    </row>
    <row r="119" spans="1:22" s="34" customFormat="1" hidden="1" x14ac:dyDescent="0.35">
      <c r="A119" s="181" t="s">
        <v>151</v>
      </c>
      <c r="B119" s="181"/>
      <c r="C119" s="166"/>
      <c r="D119" s="166"/>
      <c r="E119" s="164"/>
      <c r="F119" s="164"/>
      <c r="G119" s="158"/>
      <c r="H119" s="158"/>
      <c r="R119"/>
      <c r="S119" s="20"/>
      <c r="T119"/>
      <c r="U119" s="20"/>
      <c r="V119" s="20"/>
    </row>
    <row r="120" spans="1:22" s="34" customFormat="1" x14ac:dyDescent="0.35">
      <c r="A120" s="181" t="s">
        <v>67</v>
      </c>
      <c r="B120" s="181"/>
      <c r="C120" s="181"/>
      <c r="D120" s="181"/>
      <c r="E120" s="181"/>
      <c r="F120" s="181"/>
      <c r="G120" s="181"/>
      <c r="H120" s="181"/>
      <c r="T120"/>
    </row>
    <row r="121" spans="1:22" s="34" customFormat="1" ht="15.75" customHeight="1" x14ac:dyDescent="0.35">
      <c r="A121" s="158" t="s">
        <v>51</v>
      </c>
      <c r="B121" s="158"/>
      <c r="C121" s="166" t="s">
        <v>75</v>
      </c>
      <c r="D121" s="166"/>
      <c r="E121" s="164" t="s">
        <v>52</v>
      </c>
      <c r="F121" s="164"/>
      <c r="G121" s="158" t="s">
        <v>53</v>
      </c>
      <c r="H121" s="158"/>
      <c r="T121"/>
    </row>
    <row r="122" spans="1:22" s="34" customFormat="1" x14ac:dyDescent="0.35">
      <c r="A122" s="165" t="s">
        <v>390</v>
      </c>
      <c r="B122" s="165"/>
      <c r="C122" s="216">
        <f>COUNT(D144:D147)+COUNT(D149:D152)*2</f>
        <v>12</v>
      </c>
      <c r="D122" s="216"/>
      <c r="E122" s="216">
        <f t="shared" ref="E122" si="0">SUM(F144:F147)+SUM(F149:F152)*2</f>
        <v>17082.768315599998</v>
      </c>
      <c r="F122" s="216"/>
      <c r="G122" s="216">
        <f t="shared" ref="G122" si="1">SUM(H144:H147)+SUM(H149:H152)*2</f>
        <v>25624.152473399998</v>
      </c>
      <c r="H122" s="216"/>
      <c r="T122"/>
    </row>
    <row r="123" spans="1:22" s="34" customFormat="1" x14ac:dyDescent="0.35">
      <c r="A123" s="165" t="s">
        <v>391</v>
      </c>
      <c r="B123" s="165"/>
      <c r="C123" s="216">
        <f>COUNT(D155:D158)+COUNT(D160:D163)*14+COUNT(D165,D167:D168)+COUNT(D170,D172:D173)</f>
        <v>66</v>
      </c>
      <c r="D123" s="216"/>
      <c r="E123" s="216">
        <f t="shared" ref="E123" si="2">SUM(F155:F158)+SUM(F160:F163)*14+SUM(F165,F167:F168)+SUM(F170,F172:F173)</f>
        <v>98798.157619200007</v>
      </c>
      <c r="F123" s="216"/>
      <c r="G123" s="216">
        <f t="shared" ref="G123" si="3">SUM(H155:H158)+SUM(H160:H163)*14+SUM(H165,H167:H168)+SUM(H170,H172:H173)</f>
        <v>148197.23642880001</v>
      </c>
      <c r="H123" s="216"/>
      <c r="T123"/>
    </row>
    <row r="124" spans="1:22" s="34" customFormat="1" ht="16" thickBot="1" x14ac:dyDescent="0.4">
      <c r="A124" s="243" t="s">
        <v>151</v>
      </c>
      <c r="B124" s="243"/>
      <c r="C124" s="176">
        <f>SUM(C122:D123)</f>
        <v>78</v>
      </c>
      <c r="D124" s="177"/>
      <c r="E124" s="176">
        <f t="shared" ref="E124" si="4">SUM(E122:F123)</f>
        <v>115880.92593480001</v>
      </c>
      <c r="F124" s="177"/>
      <c r="G124" s="176">
        <f t="shared" ref="G124" si="5">SUM(G122:H123)</f>
        <v>173821.38890220001</v>
      </c>
      <c r="H124" s="177"/>
      <c r="T124"/>
    </row>
    <row r="125" spans="1:22" s="34" customFormat="1" ht="16" thickBot="1" x14ac:dyDescent="0.4">
      <c r="A125" s="222" t="s">
        <v>168</v>
      </c>
      <c r="B125" s="223"/>
      <c r="C125" s="187">
        <f>C119+C124</f>
        <v>78</v>
      </c>
      <c r="D125" s="187"/>
      <c r="E125" s="244">
        <f>E119+E124</f>
        <v>115880.92593480001</v>
      </c>
      <c r="F125" s="244"/>
      <c r="G125" s="229">
        <f>G119+G124</f>
        <v>173821.38890220001</v>
      </c>
      <c r="H125" s="230"/>
      <c r="T125"/>
    </row>
    <row r="126" spans="1:22" s="33" customFormat="1" x14ac:dyDescent="0.35">
      <c r="A126" s="128" t="s">
        <v>54</v>
      </c>
      <c r="B126" s="128"/>
      <c r="C126" s="128"/>
      <c r="D126" s="128"/>
      <c r="E126" s="128"/>
      <c r="F126" s="128"/>
      <c r="G126" s="128"/>
      <c r="H126" s="128"/>
      <c r="T126" s="34"/>
    </row>
    <row r="127" spans="1:22" x14ac:dyDescent="0.35">
      <c r="A127" s="157" t="s">
        <v>381</v>
      </c>
      <c r="B127" s="157"/>
      <c r="C127" s="157"/>
      <c r="D127" s="157"/>
      <c r="E127" s="157"/>
      <c r="F127" s="157"/>
      <c r="G127" s="157"/>
      <c r="H127" s="157"/>
      <c r="T127" s="34"/>
    </row>
    <row r="128" spans="1:22" ht="47.25" hidden="1" customHeight="1" x14ac:dyDescent="0.35">
      <c r="A128" s="172" t="s">
        <v>397</v>
      </c>
      <c r="B128" s="172" t="s">
        <v>178</v>
      </c>
      <c r="C128" s="172" t="s">
        <v>55</v>
      </c>
      <c r="D128" s="172" t="s">
        <v>235</v>
      </c>
      <c r="E128" s="220" t="s">
        <v>157</v>
      </c>
      <c r="F128" s="172" t="s">
        <v>56</v>
      </c>
      <c r="G128" s="220" t="s">
        <v>57</v>
      </c>
      <c r="H128" s="96" t="s">
        <v>149</v>
      </c>
      <c r="T128" s="34"/>
    </row>
    <row r="129" spans="1:20" s="36" customFormat="1" hidden="1" x14ac:dyDescent="0.35">
      <c r="A129" s="173"/>
      <c r="B129" s="173"/>
      <c r="C129" s="173"/>
      <c r="D129" s="173"/>
      <c r="E129" s="221"/>
      <c r="F129" s="173"/>
      <c r="G129" s="221"/>
      <c r="H129" s="97">
        <v>0.45</v>
      </c>
      <c r="T129" s="34"/>
    </row>
    <row r="130" spans="1:20" s="36" customFormat="1" hidden="1" x14ac:dyDescent="0.35">
      <c r="A130" s="217" t="s">
        <v>117</v>
      </c>
      <c r="B130" s="218"/>
      <c r="C130" s="218"/>
      <c r="D130" s="218"/>
      <c r="E130" s="218"/>
      <c r="F130" s="218"/>
      <c r="G130" s="218"/>
      <c r="H130" s="219"/>
      <c r="J130" s="35"/>
      <c r="T130" s="34"/>
    </row>
    <row r="131" spans="1:20" s="36" customFormat="1" ht="15.75" hidden="1" customHeight="1" x14ac:dyDescent="0.35">
      <c r="A131" s="159">
        <v>1</v>
      </c>
      <c r="B131" s="160"/>
      <c r="C131" s="98"/>
      <c r="D131" s="98">
        <v>0</v>
      </c>
      <c r="E131" s="98">
        <v>0</v>
      </c>
      <c r="F131" s="98">
        <f>D131+(IF(E131&lt;201,E131,IF(E131&lt;301,E131/2,E131/3)))</f>
        <v>0</v>
      </c>
      <c r="G131" s="99">
        <v>0</v>
      </c>
      <c r="H131" s="98">
        <f>(F131+(IF(G131&lt;101,G131,IF(G131&lt;201,G131/2,IF(G131&lt;=301,G131/3,G131/4)))))*(($H$129)+1)</f>
        <v>0</v>
      </c>
      <c r="I131" s="35"/>
      <c r="L131" s="215"/>
      <c r="M131" s="215"/>
      <c r="N131" s="35"/>
      <c r="T131" s="34"/>
    </row>
    <row r="132" spans="1:20" s="36" customFormat="1" ht="15.75" hidden="1" customHeight="1" x14ac:dyDescent="0.35">
      <c r="A132" s="159">
        <f>A131+1</f>
        <v>2</v>
      </c>
      <c r="B132" s="160"/>
      <c r="C132" s="98"/>
      <c r="D132" s="98"/>
      <c r="E132" s="98">
        <v>0</v>
      </c>
      <c r="F132" s="98">
        <f>D132+(IF(E132&lt;201,E132,IF(E132&lt;301,E132/2,E132/3)))</f>
        <v>0</v>
      </c>
      <c r="G132" s="98">
        <v>0</v>
      </c>
      <c r="H132" s="98">
        <f>(F132+(IF(G132&lt;101,G132,IF(G132&lt;201,G132/2,IF(G132&lt;=301,G132/3,G132/4)))))*(($H$129)+1)</f>
        <v>0</v>
      </c>
      <c r="I132" s="35"/>
      <c r="L132" s="215"/>
      <c r="M132" s="215"/>
      <c r="N132" s="35"/>
      <c r="T132" s="33"/>
    </row>
    <row r="133" spans="1:20" s="36" customFormat="1" ht="15.75" hidden="1" customHeight="1" x14ac:dyDescent="0.35">
      <c r="A133" s="159">
        <f>A132+1</f>
        <v>3</v>
      </c>
      <c r="B133" s="160"/>
      <c r="C133" s="98"/>
      <c r="D133" s="98"/>
      <c r="E133" s="98">
        <v>0</v>
      </c>
      <c r="F133" s="98">
        <f>D133+(IF(E133&lt;201,E133,IF(E133&lt;301,E133/2,E133/3)))</f>
        <v>0</v>
      </c>
      <c r="G133" s="98">
        <v>0</v>
      </c>
      <c r="H133" s="98">
        <f>(F133+(IF(G133&lt;101,G133,IF(G133&lt;201,G133/2,IF(G133&lt;=301,G133/3,G133/4)))))*(($H$129)+1)</f>
        <v>0</v>
      </c>
      <c r="I133" s="35"/>
      <c r="L133" s="215"/>
      <c r="M133" s="215"/>
      <c r="N133" s="35"/>
      <c r="T133" s="20"/>
    </row>
    <row r="134" spans="1:20" s="36" customFormat="1" ht="15.75" hidden="1" customHeight="1" x14ac:dyDescent="0.35">
      <c r="A134" s="159">
        <f>A133+1</f>
        <v>4</v>
      </c>
      <c r="B134" s="160"/>
      <c r="C134" s="98"/>
      <c r="D134" s="98"/>
      <c r="E134" s="98">
        <v>0</v>
      </c>
      <c r="F134" s="98">
        <f>D134+(IF(E134&lt;201,E134,IF(E134&lt;301,E134/2,E134/3)))</f>
        <v>0</v>
      </c>
      <c r="G134" s="98">
        <v>0</v>
      </c>
      <c r="H134" s="98">
        <f>(F134+(IF(G134&lt;101,G134,IF(G134&lt;201,G134/2,IF(G134&lt;=301,G134/3,G134/4)))))*(($H$129)+1)</f>
        <v>0</v>
      </c>
      <c r="I134" s="35"/>
      <c r="L134" s="215"/>
      <c r="M134" s="215"/>
      <c r="N134" s="35"/>
      <c r="T134" s="20"/>
    </row>
    <row r="135" spans="1:20" s="36" customFormat="1" hidden="1" x14ac:dyDescent="0.35">
      <c r="A135" s="159"/>
      <c r="B135" s="178"/>
      <c r="C135" s="178"/>
      <c r="D135" s="178"/>
      <c r="E135" s="178"/>
      <c r="F135" s="178"/>
      <c r="G135" s="178"/>
      <c r="H135" s="160"/>
      <c r="I135" s="35"/>
      <c r="N135" s="35"/>
    </row>
    <row r="136" spans="1:20" ht="47.25" customHeight="1" x14ac:dyDescent="0.35">
      <c r="A136" s="170" t="s">
        <v>398</v>
      </c>
      <c r="B136" s="172" t="s">
        <v>179</v>
      </c>
      <c r="C136" s="172" t="s">
        <v>55</v>
      </c>
      <c r="D136" s="172" t="s">
        <v>235</v>
      </c>
      <c r="E136" s="172" t="s">
        <v>234</v>
      </c>
      <c r="F136" s="172" t="s">
        <v>56</v>
      </c>
      <c r="G136" s="220" t="s">
        <v>57</v>
      </c>
      <c r="H136" s="96" t="s">
        <v>149</v>
      </c>
      <c r="I136" s="35"/>
      <c r="T136" s="36"/>
    </row>
    <row r="137" spans="1:20" s="36" customFormat="1" x14ac:dyDescent="0.35">
      <c r="A137" s="171"/>
      <c r="B137" s="173"/>
      <c r="C137" s="173"/>
      <c r="D137" s="173"/>
      <c r="E137" s="173"/>
      <c r="F137" s="173"/>
      <c r="G137" s="221"/>
      <c r="H137" s="97">
        <v>0.5</v>
      </c>
      <c r="I137" s="35"/>
    </row>
    <row r="138" spans="1:20" s="91" customFormat="1" x14ac:dyDescent="0.35">
      <c r="A138" s="148" t="s">
        <v>382</v>
      </c>
      <c r="B138" s="149"/>
      <c r="C138" s="149"/>
      <c r="D138" s="149"/>
      <c r="E138" s="149"/>
      <c r="F138" s="149"/>
      <c r="G138" s="149"/>
      <c r="H138" s="150"/>
      <c r="J138" s="35"/>
    </row>
    <row r="139" spans="1:20" s="91" customFormat="1" x14ac:dyDescent="0.35">
      <c r="A139" s="148" t="s">
        <v>383</v>
      </c>
      <c r="B139" s="149"/>
      <c r="C139" s="149"/>
      <c r="D139" s="149"/>
      <c r="E139" s="149"/>
      <c r="F139" s="149"/>
      <c r="G139" s="149"/>
      <c r="H139" s="150"/>
      <c r="J139" s="35"/>
    </row>
    <row r="140" spans="1:20" s="91" customFormat="1" x14ac:dyDescent="0.35">
      <c r="A140" s="148" t="s">
        <v>384</v>
      </c>
      <c r="B140" s="149"/>
      <c r="C140" s="149"/>
      <c r="D140" s="149"/>
      <c r="E140" s="149"/>
      <c r="F140" s="149"/>
      <c r="G140" s="149"/>
      <c r="H140" s="150"/>
      <c r="J140" s="35"/>
      <c r="K140" s="94">
        <f>10.764</f>
        <v>10.763999999999999</v>
      </c>
    </row>
    <row r="141" spans="1:20" s="91" customFormat="1" x14ac:dyDescent="0.35">
      <c r="A141" s="148" t="s">
        <v>385</v>
      </c>
      <c r="B141" s="149"/>
      <c r="C141" s="149"/>
      <c r="D141" s="149"/>
      <c r="E141" s="149"/>
      <c r="F141" s="149"/>
      <c r="G141" s="149"/>
      <c r="H141" s="150"/>
      <c r="J141" s="35"/>
    </row>
    <row r="142" spans="1:20" s="91" customFormat="1" x14ac:dyDescent="0.35">
      <c r="A142" s="148" t="s">
        <v>390</v>
      </c>
      <c r="B142" s="149"/>
      <c r="C142" s="149"/>
      <c r="D142" s="149"/>
      <c r="E142" s="149"/>
      <c r="F142" s="149"/>
      <c r="G142" s="149"/>
      <c r="H142" s="150"/>
      <c r="J142" s="35"/>
    </row>
    <row r="143" spans="1:20" s="91" customFormat="1" x14ac:dyDescent="0.35">
      <c r="A143" s="152" t="s">
        <v>386</v>
      </c>
      <c r="B143" s="152"/>
      <c r="C143" s="152"/>
      <c r="D143" s="152"/>
      <c r="E143" s="152"/>
      <c r="F143" s="152"/>
      <c r="G143" s="152"/>
      <c r="H143" s="152"/>
      <c r="I143" s="35"/>
      <c r="L143" s="215"/>
      <c r="M143" s="215"/>
    </row>
    <row r="144" spans="1:20" s="91" customFormat="1" x14ac:dyDescent="0.35">
      <c r="A144" s="153">
        <f>LEFT(A143,SUM(LEN(A143)-LEN(SUBSTITUTE(A143,{"0","1","2","3","4","5","6","7","8","9"},""))))*100+1</f>
        <v>101</v>
      </c>
      <c r="B144" s="153"/>
      <c r="C144" s="92" t="s">
        <v>387</v>
      </c>
      <c r="D144" s="94">
        <f>((3.6*7.5+0.4*1.35+2.45*3.35+1.53*3.35+1.35*1.22+3.55*4.13+1.82*3.08+2.23*1.7+1.58*0.15+3.05*4.12+1.52*2.45+1.78*1+3.53*4.3+1.52*2.45+4.32*1.1))*(10.764)</f>
        <v>1168.3256364000001</v>
      </c>
      <c r="E144" s="94">
        <f>(3.6*1.5)*(10.764)</f>
        <v>58.125599999999999</v>
      </c>
      <c r="F144" s="92">
        <f>D144+E144</f>
        <v>1226.4512364000002</v>
      </c>
      <c r="G144" s="92">
        <v>0</v>
      </c>
      <c r="H144" s="92">
        <f>F144*(($H$137)+1)+(IF(G144&lt;101,G144,IF(G144&lt;201,G144/2,IF(G144&lt;=301,G144/3,G144/4))))</f>
        <v>1839.6768546000003</v>
      </c>
      <c r="I144" s="35"/>
      <c r="N144" s="35"/>
    </row>
    <row r="145" spans="1:14" s="91" customFormat="1" x14ac:dyDescent="0.35">
      <c r="A145" s="153">
        <f>A144+1</f>
        <v>102</v>
      </c>
      <c r="B145" s="153"/>
      <c r="C145" s="92" t="s">
        <v>387</v>
      </c>
      <c r="D145" s="94">
        <f>((3.6*7.5+0.4*1.35+2.45*3.35+1.53*3.35+1.35*1.22+3.53*4.3+1.52*2.45+3.05*4.12+1.52*2.45+1.78*1+3.55*4.13+1.58*0.15+1.82*3.08+2.23*1.7+4.32*1.1))*(10.764)</f>
        <v>1168.3256363999999</v>
      </c>
      <c r="E145" s="94">
        <f>(3.6*1.5)*(10.764)</f>
        <v>58.125599999999999</v>
      </c>
      <c r="F145" s="92">
        <f>D145+E145</f>
        <v>1226.4512364</v>
      </c>
      <c r="G145" s="92">
        <v>0</v>
      </c>
      <c r="H145" s="92">
        <f>F145*(($H$137)+1)+(IF(G145&lt;101,G145,IF(G145&lt;201,G145/2,IF(G145&lt;=301,G145/3,G145/4))))</f>
        <v>1839.6768545999998</v>
      </c>
      <c r="I145" s="35"/>
      <c r="N145" s="35"/>
    </row>
    <row r="146" spans="1:14" s="91" customFormat="1" x14ac:dyDescent="0.35">
      <c r="A146" s="153">
        <f>A145+1</f>
        <v>103</v>
      </c>
      <c r="B146" s="153"/>
      <c r="C146" s="92" t="s">
        <v>387</v>
      </c>
      <c r="D146" s="94">
        <f>((3.6*7.5+0.4*1.35+2.45*3.35+1.53*3.35+1.35*1.22+3.53*4.3+1.52*2.45+3.05*4.12+1.52*2.45+1.78*1+3.55*4.13+1.58*0.15+1.82*3.08+2.23*1.7+4.32*1.1))*(10.764)</f>
        <v>1168.3256363999999</v>
      </c>
      <c r="E146" s="94">
        <f>(3.6*1.5)*(10.764)</f>
        <v>58.125599999999999</v>
      </c>
      <c r="F146" s="92">
        <f>D146+E146</f>
        <v>1226.4512364</v>
      </c>
      <c r="G146" s="92">
        <v>0</v>
      </c>
      <c r="H146" s="92">
        <f>F146*(($H$137)+1)+(IF(G146&lt;101,G146,IF(G146&lt;201,G146/2,IF(G146&lt;=301,G146/3,G146/4))))</f>
        <v>1839.6768545999998</v>
      </c>
      <c r="I146" s="35"/>
      <c r="N146" s="35"/>
    </row>
    <row r="147" spans="1:14" s="91" customFormat="1" x14ac:dyDescent="0.35">
      <c r="A147" s="153">
        <f>A146+1</f>
        <v>104</v>
      </c>
      <c r="B147" s="153"/>
      <c r="C147" s="92" t="s">
        <v>388</v>
      </c>
      <c r="D147" s="94">
        <f>((7.5*8.03+2.6*3.75+1.62*3.75+1.23*1.68+3.52*4.3+2.33*1.52+1.53*1.35+3.05*4.1+1.53*2.45+1.78*1.15+2.95*4.1+1.52*2.45+1.77*1+4.45*4.1+1.7*3.15+3.75*1.7+8.15*1.1))*(10.764)</f>
        <v>1869.5883959999999</v>
      </c>
      <c r="E147" s="94">
        <f>(7.5*1.8)*(10.764)</f>
        <v>145.31399999999999</v>
      </c>
      <c r="F147" s="92">
        <f>D147+E147</f>
        <v>2014.902396</v>
      </c>
      <c r="G147" s="92">
        <v>0</v>
      </c>
      <c r="H147" s="92">
        <f>F147*(($H$137)+1)+(IF(G147&lt;101,G147,IF(G147&lt;201,G147/2,IF(G147&lt;=301,G147/3,G147/4))))</f>
        <v>3022.3535940000002</v>
      </c>
      <c r="I147" s="35"/>
      <c r="N147" s="35"/>
    </row>
    <row r="148" spans="1:14" s="91" customFormat="1" x14ac:dyDescent="0.35">
      <c r="A148" s="148" t="s">
        <v>389</v>
      </c>
      <c r="B148" s="149"/>
      <c r="C148" s="149"/>
      <c r="D148" s="149"/>
      <c r="E148" s="149"/>
      <c r="F148" s="149"/>
      <c r="G148" s="149"/>
      <c r="H148" s="150"/>
      <c r="I148" s="35"/>
    </row>
    <row r="149" spans="1:14" s="91" customFormat="1" ht="15.75" customHeight="1" x14ac:dyDescent="0.35">
      <c r="A149" s="146"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10^ROW(INDIRECT("1:"&amp;LEN((LEFT(A148,SUM(LEN(A148)-LEN(SUBSTITUTE(A148,{"0","1","2"},""))))))))/10))*100+1&amp;""&amp;" &amp;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",LEN(A148))),LEN(A148)))))))/10))*100+1</f>
        <v>201 &amp; 301</v>
      </c>
      <c r="B149" s="147"/>
      <c r="C149" s="92" t="s">
        <v>387</v>
      </c>
      <c r="D149" s="94">
        <f>((3.6*7.5+0.4*1.35+2.45*3.35+1.53*3.35+1.35*1.22+3.55*4.13+1.82*3.08+2.23*1.7+1.58*0.15+3.05*4.12+1.52*2.45+1.78*1+3.53*4.3+1.52*2.45+4.32*1.1))*(10.764)</f>
        <v>1168.3256364000001</v>
      </c>
      <c r="E149" s="94">
        <f>(3.6*1.5)*(10.764)</f>
        <v>58.125599999999999</v>
      </c>
      <c r="F149" s="92">
        <f>D149+E149</f>
        <v>1226.4512364000002</v>
      </c>
      <c r="G149" s="92">
        <v>0</v>
      </c>
      <c r="H149" s="92">
        <f>F149*(($H$137)+1)+(IF(G149&lt;101,G149,IF(G149&lt;201,G149/2,IF(G149&lt;=301,G149/3,G149/4))))</f>
        <v>1839.6768546000003</v>
      </c>
      <c r="I149" s="94">
        <f>(116.8)*(10.764)</f>
        <v>1257.2351999999998</v>
      </c>
      <c r="J149" s="94">
        <f>(5.49)*(10.764)</f>
        <v>59.094360000000002</v>
      </c>
      <c r="K149" s="35">
        <f>I149+J149</f>
        <v>1316.3295599999999</v>
      </c>
      <c r="M149" s="94">
        <f>10.764</f>
        <v>10.763999999999999</v>
      </c>
    </row>
    <row r="150" spans="1:14" s="91" customFormat="1" ht="15.75" customHeight="1" x14ac:dyDescent="0.35">
      <c r="A150" s="146"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&amp;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202 &amp; 302</v>
      </c>
      <c r="B150" s="147"/>
      <c r="C150" s="92" t="s">
        <v>387</v>
      </c>
      <c r="D150" s="94">
        <f>((3.6*7.5+0.4*1.35+2.45*3.35+1.53*3.35+1.35*1.22+3.53*4.3+1.52*2.45+3.05*4.12+1.52*2.45+1.78*1+3.55*4.13+1.58*0.15+1.82*3.08+2.23*1.7+4.32*1.1))*(10.764)</f>
        <v>1168.3256363999999</v>
      </c>
      <c r="E150" s="94">
        <f>(3.6*1.5)*(10.764)</f>
        <v>58.125599999999999</v>
      </c>
      <c r="F150" s="92">
        <f>D150+E150</f>
        <v>1226.4512364</v>
      </c>
      <c r="G150" s="92">
        <v>0</v>
      </c>
      <c r="H150" s="92">
        <f>F150*(($H$137)+1)+(IF(G150&lt;101,G150,IF(G150&lt;201,G150/2,IF(G150&lt;=301,G150/3,G150/4))))</f>
        <v>1839.6768545999998</v>
      </c>
      <c r="I150" s="94">
        <f>(119.29)*(10.764)</f>
        <v>1284.03756</v>
      </c>
      <c r="J150" s="94">
        <f>(5.49)*(10.764)</f>
        <v>59.094360000000002</v>
      </c>
      <c r="K150" s="35">
        <f t="shared" ref="K150:K152" si="6">I150+J150</f>
        <v>1343.13192</v>
      </c>
    </row>
    <row r="151" spans="1:14" s="91" customFormat="1" ht="15.75" customHeight="1" x14ac:dyDescent="0.35">
      <c r="A151" s="146"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&amp;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203 &amp; 303</v>
      </c>
      <c r="B151" s="147"/>
      <c r="C151" s="92" t="s">
        <v>387</v>
      </c>
      <c r="D151" s="94">
        <f>((3.6*7.5+0.4*1.35+2.45*3.35+1.53*3.35+1.35*1.22+3.53*4.3+1.52*2.45+3.05*4.12+1.52*2.45+1.78*1+3.55*4.13+1.58*0.15+1.82*3.08+2.23*1.7+4.32*1.1))*(10.764)</f>
        <v>1168.3256363999999</v>
      </c>
      <c r="E151" s="94">
        <f>(3.6*1.5)*(10.764)</f>
        <v>58.125599999999999</v>
      </c>
      <c r="F151" s="92">
        <f>D151+E151</f>
        <v>1226.4512364</v>
      </c>
      <c r="G151" s="92">
        <v>0</v>
      </c>
      <c r="H151" s="92">
        <f>F151*(($H$137)+1)+(IF(G151&lt;101,G151,IF(G151&lt;201,G151/2,IF(G151&lt;=301,G151/3,G151/4))))</f>
        <v>1839.6768545999998</v>
      </c>
      <c r="I151" s="94">
        <f>(119.29)*(10.764)</f>
        <v>1284.03756</v>
      </c>
      <c r="J151" s="94">
        <f>(5.49)*(10.764)</f>
        <v>59.094360000000002</v>
      </c>
      <c r="K151" s="35">
        <f t="shared" si="6"/>
        <v>1343.13192</v>
      </c>
    </row>
    <row r="152" spans="1:14" s="91" customFormat="1" ht="15.75" customHeight="1" x14ac:dyDescent="0.35">
      <c r="A152" s="146"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&amp;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204 &amp; 304</v>
      </c>
      <c r="B152" s="147"/>
      <c r="C152" s="92" t="s">
        <v>388</v>
      </c>
      <c r="D152" s="94">
        <f>((7.5*8.03+2.6*3.75+1.62*3.75+1.23*1.68+3.52*4.3+2.33*1.52+1.53*1.35+3.05*4.1+1.53*2.45+1.78*1.15+2.95*4.1+1.52*2.45+1.77*1+4.45*4.1+1.7*3.15+3.75*1.7+8.15*1.1))*(10.764)</f>
        <v>1869.5883959999999</v>
      </c>
      <c r="E152" s="94">
        <f>(7.5*1.8)*(10.764)</f>
        <v>145.31399999999999</v>
      </c>
      <c r="F152" s="92">
        <f>D152+E152</f>
        <v>2014.902396</v>
      </c>
      <c r="G152" s="92">
        <v>0</v>
      </c>
      <c r="H152" s="92">
        <f>F152*(($H$137)+1)+(IF(G152&lt;101,G152,IF(G152&lt;201,G152/2,IF(G152&lt;=301,G152/3,G152/4))))</f>
        <v>3022.3535940000002</v>
      </c>
      <c r="I152" s="94">
        <f>(192.02)*(10.764)</f>
        <v>2066.90328</v>
      </c>
      <c r="J152" s="94">
        <f>(13.69)*(10.764)</f>
        <v>147.35915999999997</v>
      </c>
      <c r="K152" s="35">
        <f t="shared" si="6"/>
        <v>2214.26244</v>
      </c>
    </row>
    <row r="153" spans="1:14" s="91" customFormat="1" x14ac:dyDescent="0.35">
      <c r="A153" s="148" t="s">
        <v>391</v>
      </c>
      <c r="B153" s="149"/>
      <c r="C153" s="149"/>
      <c r="D153" s="149"/>
      <c r="E153" s="149"/>
      <c r="F153" s="149"/>
      <c r="G153" s="149"/>
      <c r="H153" s="150"/>
      <c r="J153" s="35"/>
    </row>
    <row r="154" spans="1:14" s="91" customFormat="1" x14ac:dyDescent="0.35">
      <c r="A154" s="152" t="s">
        <v>386</v>
      </c>
      <c r="B154" s="152"/>
      <c r="C154" s="152"/>
      <c r="D154" s="152"/>
      <c r="E154" s="152"/>
      <c r="F154" s="152"/>
      <c r="G154" s="152"/>
      <c r="H154" s="152"/>
      <c r="I154" s="35"/>
      <c r="L154" s="215"/>
      <c r="M154" s="215"/>
    </row>
    <row r="155" spans="1:14" s="91" customFormat="1" x14ac:dyDescent="0.35">
      <c r="A155" s="153">
        <f>LEFT(A154,SUM(LEN(A154)-LEN(SUBSTITUTE(A154,{"0","1","2","3","4","5","6","7","8","9"},""))))*100+1</f>
        <v>101</v>
      </c>
      <c r="B155" s="153"/>
      <c r="C155" s="92" t="s">
        <v>387</v>
      </c>
      <c r="D155" s="94">
        <f>((6.2*5.8+4*2.6+3.82*2.45+1.95*1.4+1.8*1.82+1.63*1.37+3.52*4.3+1.53*2.45+1.53*1.35+3.7*4.1+1.73*1.85+3.2*1.7+1.82*3.07+3.05*4.1+1.78*1+1.53*2.45+1.78*1))*(10.764)</f>
        <v>1443.6622980000002</v>
      </c>
      <c r="E155" s="94">
        <f>(3.5*1.5)*(10.764)</f>
        <v>56.510999999999996</v>
      </c>
      <c r="F155" s="92">
        <f>D155+E155</f>
        <v>1500.1732980000002</v>
      </c>
      <c r="G155" s="92">
        <v>0</v>
      </c>
      <c r="H155" s="92">
        <f>F155*(($H$137)+1)+(IF(G155&lt;101,G155,IF(G155&lt;201,G155/2,IF(G155&lt;=301,G155/3,G155/4))))</f>
        <v>2250.2599470000005</v>
      </c>
      <c r="I155" s="35"/>
      <c r="N155" s="35"/>
    </row>
    <row r="156" spans="1:14" s="91" customFormat="1" x14ac:dyDescent="0.35">
      <c r="A156" s="153">
        <f>A155+1</f>
        <v>102</v>
      </c>
      <c r="B156" s="153"/>
      <c r="C156" s="92" t="s">
        <v>387</v>
      </c>
      <c r="D156" s="94">
        <f>((3.6*7.5+0.4*1.35+2.45*3.35+1.53*3.35+1.35*1.22+3.53*4.3+1.52*2.45+3.05*4.12+1.52*2.45+1.78*1+3.55*4.13+1.58*0.15+1.82*3.08+2.23*1.7+4.32*1.1))*(10.764)</f>
        <v>1168.3256363999999</v>
      </c>
      <c r="E156" s="94">
        <f>(3.6*1.5)*(10.764)</f>
        <v>58.125599999999999</v>
      </c>
      <c r="F156" s="92">
        <f>D156+E156</f>
        <v>1226.4512364</v>
      </c>
      <c r="G156" s="92">
        <v>0</v>
      </c>
      <c r="H156" s="92">
        <f>F156*(($H$137)+1)+(IF(G156&lt;101,G156,IF(G156&lt;201,G156/2,IF(G156&lt;=301,G156/3,G156/4))))</f>
        <v>1839.6768545999998</v>
      </c>
      <c r="I156" s="95"/>
      <c r="N156" s="35"/>
    </row>
    <row r="157" spans="1:14" s="91" customFormat="1" x14ac:dyDescent="0.35">
      <c r="A157" s="153">
        <f>A156+1</f>
        <v>103</v>
      </c>
      <c r="B157" s="153"/>
      <c r="C157" s="92" t="s">
        <v>387</v>
      </c>
      <c r="D157" s="94">
        <f>((3.6*7.5+0.4*1.35+2.45*3.35+1.53*3.35+1.35*1.22+3.53*4.3+1.52*2.45+3.05*4.12+1.52*2.45+1.78*1+3.55*4.13+1.58*0.15+1.82*3.08+2.23*1.7+4.32*1.1))*(10.764)</f>
        <v>1168.3256363999999</v>
      </c>
      <c r="E157" s="94">
        <f>(3.6*1.5)*(10.764)</f>
        <v>58.125599999999999</v>
      </c>
      <c r="F157" s="92">
        <f>D157+E157</f>
        <v>1226.4512364</v>
      </c>
      <c r="G157" s="92">
        <v>0</v>
      </c>
      <c r="H157" s="92">
        <f>F157*(($H$137)+1)+(IF(G157&lt;101,G157,IF(G157&lt;201,G157/2,IF(G157&lt;=301,G157/3,G157/4))))</f>
        <v>1839.6768545999998</v>
      </c>
      <c r="I157" s="95"/>
      <c r="N157" s="35"/>
    </row>
    <row r="158" spans="1:14" s="91" customFormat="1" x14ac:dyDescent="0.35">
      <c r="A158" s="153">
        <f>A157+1</f>
        <v>104</v>
      </c>
      <c r="B158" s="153"/>
      <c r="C158" s="92" t="s">
        <v>388</v>
      </c>
      <c r="D158" s="94">
        <f>((7.5*7.9+2.6*3.65+2*0.2+4.2*1.75+1.73*1.38+4.35*5.17+1.75*0.43+1.82*3.22+3.95*4.1+2.45*1.53+3.2*4.1+1.53*2.45+1.78*1+3.52*4.3+1.52*2.45+1.53*1.35+6.62*1.1))*(10.764)</f>
        <v>1881.3243852000001</v>
      </c>
      <c r="E158" s="94">
        <f>(7.5*1.8)*(10.764)</f>
        <v>145.31399999999999</v>
      </c>
      <c r="F158" s="92">
        <f>D158+E158</f>
        <v>2026.6383852000001</v>
      </c>
      <c r="G158" s="92">
        <v>0</v>
      </c>
      <c r="H158" s="93">
        <f>F158*(($H$137)+1)+(IF(G158&lt;101,G158,IF(G158&lt;201,G158/2,IF(G158&lt;=301,G158/3,G158/4))))</f>
        <v>3039.9575778000003</v>
      </c>
      <c r="I158" s="95"/>
      <c r="N158" s="35"/>
    </row>
    <row r="159" spans="1:14" s="91" customFormat="1" ht="15.75" customHeight="1" x14ac:dyDescent="0.35">
      <c r="A159" s="148" t="s">
        <v>392</v>
      </c>
      <c r="B159" s="149"/>
      <c r="C159" s="149"/>
      <c r="D159" s="149"/>
      <c r="E159" s="149"/>
      <c r="F159" s="149"/>
      <c r="G159" s="149"/>
      <c r="H159" s="150"/>
      <c r="I159" s="35"/>
    </row>
    <row r="160" spans="1:14" s="91" customFormat="1" ht="15.75" customHeight="1" x14ac:dyDescent="0.35">
      <c r="A160" s="146"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10^ROW(INDIRECT("1:"&amp;LEN((LEFT(A159,SUM(LEN(A159)-LEN(SUBSTITUTE(A159,{"0","1","2"},""))))))))/10))*100+1&amp;""&amp;" ,..,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",LEN(A159))),LEN(A159)))))))/10))*100+1</f>
        <v>201 ,.., 1701</v>
      </c>
      <c r="B160" s="147"/>
      <c r="C160" s="92" t="s">
        <v>387</v>
      </c>
      <c r="D160" s="94">
        <f>((6.2*5.8+4*2.6+3.82*2.45+1.95*1.4+1.8*1.82+1.63*1.37+3.52*4.3+1.53*2.45+1.53*1.35+3.7*4.1+1.73*1.85+3.2*1.7+1.82*3.07+3.05*4.1+1.78*1+1.53*2.45+1.78*1))*(10.764)</f>
        <v>1443.6622980000002</v>
      </c>
      <c r="E160" s="94">
        <f>(3.5*1.5)*(10.764)</f>
        <v>56.510999999999996</v>
      </c>
      <c r="F160" s="92">
        <f>D160+E160</f>
        <v>1500.1732980000002</v>
      </c>
      <c r="G160" s="92">
        <v>0</v>
      </c>
      <c r="H160" s="92">
        <f>F160*(($H$137)+1)+(IF(G160&lt;101,G160,IF(G160&lt;201,G160/2,IF(G160&lt;=301,G160/3,G160/4))))</f>
        <v>2250.2599470000005</v>
      </c>
      <c r="I160" s="94">
        <f>(142.87)*(10.764)</f>
        <v>1537.85268</v>
      </c>
      <c r="J160" s="94">
        <f>(5.34)*(10.764)</f>
        <v>57.479759999999992</v>
      </c>
      <c r="K160" s="35">
        <f t="shared" ref="K160:K163" si="7">I160+J160</f>
        <v>1595.3324399999999</v>
      </c>
    </row>
    <row r="161" spans="1:14" s="91" customFormat="1" ht="15.75" customHeight="1" x14ac:dyDescent="0.35">
      <c r="A161" s="146"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202 ,.., 1702</v>
      </c>
      <c r="B161" s="147"/>
      <c r="C161" s="92" t="s">
        <v>387</v>
      </c>
      <c r="D161" s="94">
        <f>((3.6*7.5+0.4*1.35+2.45*3.35+1.53*3.35+1.35*1.22+3.53*4.3+1.52*2.45+3.05*4.12+1.52*2.45+1.78*1+3.55*4.13+1.58*0.15+1.82*3.08+2.23*1.7+4.32*1.1))*(10.764)</f>
        <v>1168.3256363999999</v>
      </c>
      <c r="E161" s="94">
        <f>(3.6*1.5)*(10.764)</f>
        <v>58.125599999999999</v>
      </c>
      <c r="F161" s="92">
        <f>D161+E161</f>
        <v>1226.4512364</v>
      </c>
      <c r="G161" s="92">
        <v>0</v>
      </c>
      <c r="H161" s="92">
        <f>F161*(($H$137)+1)+(IF(G161&lt;101,G161,IF(G161&lt;201,G161/2,IF(G161&lt;=301,G161/3,G161/4))))</f>
        <v>1839.6768545999998</v>
      </c>
      <c r="I161" s="94">
        <f>(119.29)*(10.764)</f>
        <v>1284.03756</v>
      </c>
      <c r="J161" s="94">
        <f>(5.49)*(10.764)</f>
        <v>59.094360000000002</v>
      </c>
      <c r="K161" s="35">
        <f t="shared" si="7"/>
        <v>1343.13192</v>
      </c>
    </row>
    <row r="162" spans="1:14" s="91" customFormat="1" ht="15.75" customHeight="1" x14ac:dyDescent="0.35">
      <c r="A162" s="146"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203 ,.., 1703</v>
      </c>
      <c r="B162" s="147"/>
      <c r="C162" s="92" t="s">
        <v>387</v>
      </c>
      <c r="D162" s="94">
        <f>((3.6*7.5+0.4*1.35+2.45*3.35+1.53*3.35+1.35*1.22+3.53*4.3+1.52*2.45+3.05*4.12+1.52*2.45+1.78*1+3.55*4.13+1.58*0.15+1.82*3.08+2.23*1.7+4.32*1.1))*(10.764)</f>
        <v>1168.3256363999999</v>
      </c>
      <c r="E162" s="94">
        <f>(3.6*1.5)*(10.764)</f>
        <v>58.125599999999999</v>
      </c>
      <c r="F162" s="92">
        <f>D162+E162</f>
        <v>1226.4512364</v>
      </c>
      <c r="G162" s="92">
        <v>0</v>
      </c>
      <c r="H162" s="92">
        <f>F162*(($H$137)+1)+(IF(G162&lt;101,G162,IF(G162&lt;201,G162/2,IF(G162&lt;=301,G162/3,G162/4))))</f>
        <v>1839.6768545999998</v>
      </c>
      <c r="I162" s="94">
        <f>(119.29)*(10.764)</f>
        <v>1284.03756</v>
      </c>
      <c r="J162" s="94">
        <f>(5.49)*(10.764)</f>
        <v>59.094360000000002</v>
      </c>
      <c r="K162" s="35">
        <f t="shared" si="7"/>
        <v>1343.13192</v>
      </c>
    </row>
    <row r="163" spans="1:14" s="91" customFormat="1" ht="15.75" customHeight="1" x14ac:dyDescent="0.35">
      <c r="A163" s="146"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204 ,.., 1704</v>
      </c>
      <c r="B163" s="147"/>
      <c r="C163" s="92" t="s">
        <v>388</v>
      </c>
      <c r="D163" s="94">
        <f>((7.5*7.9+2.6*3.65+2*0.2+4.2*1.75+1.73*1.38+4.35*5.17+1.75*0.43+1.82*3.22+3.95*4.1+2.45*1.53+3.2*4.1+1.53*2.45+1.78*1+3.52*4.3+1.52*2.45+1.53*1.35+6.62*1.1))*(10.764)</f>
        <v>1881.3243852000001</v>
      </c>
      <c r="E163" s="94">
        <f>(7.5*1.8)*(10.764)</f>
        <v>145.31399999999999</v>
      </c>
      <c r="F163" s="92">
        <f>D163+E163</f>
        <v>2026.6383852000001</v>
      </c>
      <c r="G163" s="92">
        <v>0</v>
      </c>
      <c r="H163" s="92">
        <f>F163*(($H$137)+1)+(IF(G163&lt;101,G163,IF(G163&lt;201,G163/2,IF(G163&lt;=301,G163/3,G163/4))))</f>
        <v>3039.9575778000003</v>
      </c>
      <c r="I163" s="94">
        <f>(186.32)*(10.764)</f>
        <v>2005.5484799999997</v>
      </c>
      <c r="J163" s="94">
        <f>(13.69)*(10.764)</f>
        <v>147.35915999999997</v>
      </c>
      <c r="K163" s="35">
        <f t="shared" si="7"/>
        <v>2152.9076399999994</v>
      </c>
    </row>
    <row r="164" spans="1:14" s="91" customFormat="1" x14ac:dyDescent="0.35">
      <c r="A164" s="152" t="s">
        <v>393</v>
      </c>
      <c r="B164" s="152"/>
      <c r="C164" s="152"/>
      <c r="D164" s="152"/>
      <c r="E164" s="152"/>
      <c r="F164" s="152"/>
      <c r="G164" s="152"/>
      <c r="H164" s="152"/>
      <c r="I164" s="35"/>
      <c r="L164" s="215"/>
      <c r="M164" s="215"/>
    </row>
    <row r="165" spans="1:14" s="91" customFormat="1" x14ac:dyDescent="0.35">
      <c r="A165" s="153">
        <f>LEFT(A164,SUM(LEN(A164)-LEN(SUBSTITUTE(A164,{"0","1","2","3","4","5","6","7","8","9"},""))))*100+1</f>
        <v>501</v>
      </c>
      <c r="B165" s="153"/>
      <c r="C165" s="92" t="s">
        <v>387</v>
      </c>
      <c r="D165" s="94">
        <f>((6.2*5.8+4*2.6+3.82*2.45+1.95*1.4+1.8*1.82+1.63*1.37+3.52*4.3+1.53*2.45+1.53*1.35+3.7*4.1+1.73*1.85+3.2*1.7+1.82*3.07+3.05*4.1+1.78*1+1.53*2.45+1.78*1))*(10.764)</f>
        <v>1443.6622980000002</v>
      </c>
      <c r="E165" s="94">
        <f>(3.5*1.5)*(10.764)</f>
        <v>56.510999999999996</v>
      </c>
      <c r="F165" s="92">
        <f>D165+E165</f>
        <v>1500.1732980000002</v>
      </c>
      <c r="G165" s="92">
        <v>0</v>
      </c>
      <c r="H165" s="92">
        <f>F165*(($H$137)+1)+(IF(G165&lt;101,G165,IF(G165&lt;201,G165/2,IF(G165&lt;=301,G165/3,G165/4))))</f>
        <v>2250.2599470000005</v>
      </c>
      <c r="I165" s="35"/>
      <c r="N165" s="35"/>
    </row>
    <row r="166" spans="1:14" s="91" customFormat="1" x14ac:dyDescent="0.35">
      <c r="A166" s="153">
        <f>A165+1</f>
        <v>502</v>
      </c>
      <c r="B166" s="153"/>
      <c r="C166" s="146" t="s">
        <v>395</v>
      </c>
      <c r="D166" s="247"/>
      <c r="E166" s="247"/>
      <c r="F166" s="247"/>
      <c r="G166" s="247"/>
      <c r="H166" s="147"/>
      <c r="I166" s="35"/>
      <c r="N166" s="35"/>
    </row>
    <row r="167" spans="1:14" s="91" customFormat="1" x14ac:dyDescent="0.35">
      <c r="A167" s="153">
        <f>A166+1</f>
        <v>503</v>
      </c>
      <c r="B167" s="153"/>
      <c r="C167" s="92" t="s">
        <v>396</v>
      </c>
      <c r="D167" s="94">
        <f>((3.6*7.5+0.4*1.35+2.45*3.35+1.53*3.35+1.35*1.22+3.05*4.12+1.52*2.45+1.78*1+3.55*4.13+1.58*0.15+1.82*3.08+2.23*1.7+4.32*1.1))*(10.764)</f>
        <v>964.85374439999987</v>
      </c>
      <c r="E167" s="94">
        <f>(3.6*1.5)*(10.764)</f>
        <v>58.125599999999999</v>
      </c>
      <c r="F167" s="92">
        <f>D167+E167</f>
        <v>1022.9793443999998</v>
      </c>
      <c r="G167" s="92">
        <v>0</v>
      </c>
      <c r="H167" s="93">
        <f>F167*(($H$137)+1)+(IF(G167&lt;101,G167,IF(G167&lt;201,G167/2,IF(G167&lt;=301,G167/3,G167/4))))</f>
        <v>1534.4690165999998</v>
      </c>
      <c r="I167" s="95">
        <f>99.08</f>
        <v>99.08</v>
      </c>
      <c r="N167" s="35"/>
    </row>
    <row r="168" spans="1:14" s="91" customFormat="1" x14ac:dyDescent="0.35">
      <c r="A168" s="153">
        <f>A167+1</f>
        <v>504</v>
      </c>
      <c r="B168" s="153"/>
      <c r="C168" s="92" t="s">
        <v>388</v>
      </c>
      <c r="D168" s="94">
        <f>((7.5*7.9+2.6*3.65+2*0.2+4.2*1.75+1.73*1.38+4.35*5.17+1.75*0.43+1.82*3.22+3.95*4.1+2.45*1.53+3.2*4.1+1.53*2.45+1.78*1+3.52*4.3+1.52*2.45+1.53*1.35+6.62*1.1))*(10.764)</f>
        <v>1881.3243852000001</v>
      </c>
      <c r="E168" s="94">
        <f>(7.5*1.8)*(10.764)</f>
        <v>145.31399999999999</v>
      </c>
      <c r="F168" s="92">
        <f>D168+E168</f>
        <v>2026.6383852000001</v>
      </c>
      <c r="G168" s="92">
        <v>0</v>
      </c>
      <c r="H168" s="92">
        <f>F168*(($H$137)+1)+(IF(G168&lt;101,G168,IF(G168&lt;201,G168/2,IF(G168&lt;=301,G168/3,G168/4))))</f>
        <v>3039.9575778000003</v>
      </c>
      <c r="I168" s="35"/>
      <c r="N168" s="35"/>
    </row>
    <row r="169" spans="1:14" s="91" customFormat="1" x14ac:dyDescent="0.35">
      <c r="A169" s="152" t="s">
        <v>394</v>
      </c>
      <c r="B169" s="152"/>
      <c r="C169" s="152"/>
      <c r="D169" s="152"/>
      <c r="E169" s="152"/>
      <c r="F169" s="152"/>
      <c r="G169" s="152"/>
      <c r="H169" s="152"/>
      <c r="I169" s="35"/>
      <c r="L169" s="215"/>
      <c r="M169" s="215"/>
    </row>
    <row r="170" spans="1:14" s="91" customFormat="1" x14ac:dyDescent="0.35">
      <c r="A170" s="153">
        <f>LEFT(A169,SUM(LEN(A169)-LEN(SUBSTITUTE(A169,{"0","1","2","3","4","5","6","7","8","9"},""))))*100+1</f>
        <v>1201</v>
      </c>
      <c r="B170" s="153"/>
      <c r="C170" s="92" t="s">
        <v>387</v>
      </c>
      <c r="D170" s="94">
        <f>((6.2*5.8+4*2.6+3.82*2.45+1.95*1.4+1.8*1.82+1.63*1.37+3.52*4.3+1.53*2.45+1.53*1.35+3.7*4.1+1.73*1.85+3.2*1.7+1.82*3.07+3.05*4.1+1.78*1+1.53*2.45+1.78*1))*(10.764)</f>
        <v>1443.6622980000002</v>
      </c>
      <c r="E170" s="94">
        <f>(3.5*1.5)*(10.764)</f>
        <v>56.510999999999996</v>
      </c>
      <c r="F170" s="92">
        <f>D170+E170</f>
        <v>1500.1732980000002</v>
      </c>
      <c r="G170" s="92">
        <v>0</v>
      </c>
      <c r="H170" s="92">
        <f>F170*(($H$137)+1)+(IF(G170&lt;101,G170,IF(G170&lt;201,G170/2,IF(G170&lt;=301,G170/3,G170/4))))</f>
        <v>2250.2599470000005</v>
      </c>
      <c r="I170" s="35"/>
      <c r="N170" s="35"/>
    </row>
    <row r="171" spans="1:14" s="91" customFormat="1" x14ac:dyDescent="0.35">
      <c r="A171" s="153">
        <f>A170+1</f>
        <v>1202</v>
      </c>
      <c r="B171" s="153"/>
      <c r="C171" s="146" t="s">
        <v>395</v>
      </c>
      <c r="D171" s="247"/>
      <c r="E171" s="247"/>
      <c r="F171" s="247"/>
      <c r="G171" s="247"/>
      <c r="H171" s="147"/>
      <c r="I171" s="35"/>
      <c r="N171" s="35"/>
    </row>
    <row r="172" spans="1:14" s="91" customFormat="1" x14ac:dyDescent="0.35">
      <c r="A172" s="153">
        <f>A171+1</f>
        <v>1203</v>
      </c>
      <c r="B172" s="153"/>
      <c r="C172" s="92" t="s">
        <v>396</v>
      </c>
      <c r="D172" s="94">
        <f>((3.6*7.5+0.4*1.35+2.45*3.35+1.53*3.35+0.2*1.33+1.35*1.22+3.05*4.12+1.52*2.45+1.78*1+3.55*4.13+1.58*0.15+1.82*3.08+2.23*1.7+4.32*1.1))*(10.764)</f>
        <v>967.71696839999993</v>
      </c>
      <c r="E172" s="94">
        <f>(3.6*1.5)*(10.764)</f>
        <v>58.125599999999999</v>
      </c>
      <c r="F172" s="92">
        <f>D172+E172</f>
        <v>1025.8425683999999</v>
      </c>
      <c r="G172" s="92">
        <v>0</v>
      </c>
      <c r="H172" s="92">
        <f>F172*(($H$137)+1)+(IF(G172&lt;101,G172,IF(G172&lt;201,G172/2,IF(G172&lt;=301,G172/3,G172/4))))</f>
        <v>1538.7638525999998</v>
      </c>
      <c r="I172" s="35"/>
      <c r="N172" s="35"/>
    </row>
    <row r="173" spans="1:14" s="91" customFormat="1" x14ac:dyDescent="0.35">
      <c r="A173" s="153">
        <f>A172+1</f>
        <v>1204</v>
      </c>
      <c r="B173" s="153"/>
      <c r="C173" s="92" t="s">
        <v>388</v>
      </c>
      <c r="D173" s="94">
        <f>((7.5*7.9+2.6*3.65+2*0.2+4.2*1.75+1.73*1.38+4.35*5.17+1.75*0.43+1.82*3.22+3.95*4.1+2.45*1.53+3.2*4.1+1.53*2.45+1.78*1+3.52*4.3+1.52*2.45+1.53*1.35+6.62*1.1))*(10.764)</f>
        <v>1881.3243852000001</v>
      </c>
      <c r="E173" s="94">
        <f>(7.5*1.8)*(10.764)</f>
        <v>145.31399999999999</v>
      </c>
      <c r="F173" s="92">
        <f>D173+E173</f>
        <v>2026.6383852000001</v>
      </c>
      <c r="G173" s="92">
        <v>0</v>
      </c>
      <c r="H173" s="92">
        <f>F173*(($H$137)+1)+(IF(G173&lt;101,G173,IF(G173&lt;201,G173/2,IF(G173&lt;=301,G173/3,G173/4))))</f>
        <v>3039.9575778000003</v>
      </c>
      <c r="I173" s="35"/>
      <c r="N173" s="35"/>
    </row>
    <row r="174" spans="1:14" s="36" customFormat="1" hidden="1" x14ac:dyDescent="0.35">
      <c r="A174" s="148" t="s">
        <v>117</v>
      </c>
      <c r="B174" s="149"/>
      <c r="C174" s="149"/>
      <c r="D174" s="149"/>
      <c r="E174" s="149"/>
      <c r="F174" s="149"/>
      <c r="G174" s="149"/>
      <c r="H174" s="150"/>
      <c r="J174" s="35"/>
    </row>
    <row r="175" spans="1:14" s="36" customFormat="1" ht="15.75" hidden="1" customHeight="1" x14ac:dyDescent="0.35">
      <c r="A175" s="146">
        <v>1</v>
      </c>
      <c r="B175" s="147"/>
      <c r="C175" s="41"/>
      <c r="D175" s="41"/>
      <c r="E175" s="41">
        <v>0</v>
      </c>
      <c r="F175" s="41">
        <f>D175+E175</f>
        <v>0</v>
      </c>
      <c r="G175" s="57">
        <v>0</v>
      </c>
      <c r="H175" s="57">
        <f>F175*(($H$137)+1)+(IF(G175&lt;101,G175,IF(G175&lt;201,G175/2,IF(G175&lt;=301,G175/3,G175/4))))</f>
        <v>0</v>
      </c>
      <c r="I175" s="35"/>
      <c r="L175" s="215"/>
      <c r="M175" s="215"/>
      <c r="N175" s="35"/>
    </row>
    <row r="176" spans="1:14" s="36" customFormat="1" ht="15.75" hidden="1" customHeight="1" x14ac:dyDescent="0.35">
      <c r="A176" s="146">
        <f>A175+1</f>
        <v>2</v>
      </c>
      <c r="B176" s="147"/>
      <c r="C176" s="41"/>
      <c r="D176" s="41"/>
      <c r="E176" s="41">
        <v>0</v>
      </c>
      <c r="F176" s="57">
        <f>D176+E176</f>
        <v>0</v>
      </c>
      <c r="G176" s="57">
        <v>0</v>
      </c>
      <c r="H176" s="57">
        <f>F176*(($H$137)+1)+(IF(G176&lt;101,G176,IF(G176&lt;201,G176/2,IF(G176&lt;=301,G176/3,G176/4))))</f>
        <v>0</v>
      </c>
      <c r="I176" s="35"/>
      <c r="L176" s="215"/>
      <c r="M176" s="215"/>
      <c r="N176" s="35"/>
    </row>
    <row r="177" spans="1:20" s="36" customFormat="1" ht="15.75" hidden="1" customHeight="1" x14ac:dyDescent="0.35">
      <c r="A177" s="146">
        <f>A176+1</f>
        <v>3</v>
      </c>
      <c r="B177" s="147"/>
      <c r="C177" s="41"/>
      <c r="D177" s="41"/>
      <c r="E177" s="41">
        <v>0</v>
      </c>
      <c r="F177" s="57">
        <f>D177+E177</f>
        <v>0</v>
      </c>
      <c r="G177" s="57">
        <v>0</v>
      </c>
      <c r="H177" s="57">
        <f>F177*(($H$137)+1)+(IF(G177&lt;101,G177,IF(G177&lt;201,G177/2,IF(G177&lt;=301,G177/3,G177/4))))</f>
        <v>0</v>
      </c>
      <c r="I177" s="35"/>
      <c r="L177" s="215"/>
      <c r="M177" s="215"/>
      <c r="N177" s="35"/>
    </row>
    <row r="178" spans="1:20" s="36" customFormat="1" ht="15.75" hidden="1" customHeight="1" x14ac:dyDescent="0.35">
      <c r="A178" s="146">
        <f>A177+1</f>
        <v>4</v>
      </c>
      <c r="B178" s="147"/>
      <c r="C178" s="41"/>
      <c r="D178" s="41"/>
      <c r="E178" s="41">
        <v>0</v>
      </c>
      <c r="F178" s="57">
        <f>D178+E178</f>
        <v>0</v>
      </c>
      <c r="G178" s="57">
        <v>0</v>
      </c>
      <c r="H178" s="57">
        <f>F178*(($H$137)+1)+(IF(G178&lt;101,G178,IF(G178&lt;201,G178/2,IF(G178&lt;=301,G178/3,G178/4))))</f>
        <v>0</v>
      </c>
      <c r="I178" s="35"/>
      <c r="L178" s="215"/>
      <c r="M178" s="215"/>
      <c r="N178" s="35"/>
      <c r="T178" s="20"/>
    </row>
    <row r="179" spans="1:20" s="36" customFormat="1" hidden="1" x14ac:dyDescent="0.35">
      <c r="A179" s="152" t="s">
        <v>118</v>
      </c>
      <c r="B179" s="152"/>
      <c r="C179" s="152"/>
      <c r="D179" s="152"/>
      <c r="E179" s="152"/>
      <c r="F179" s="152"/>
      <c r="G179" s="152"/>
      <c r="H179" s="152"/>
      <c r="I179" s="35"/>
      <c r="L179" s="215"/>
      <c r="M179" s="215"/>
    </row>
    <row r="180" spans="1:20" s="36" customFormat="1" hidden="1" x14ac:dyDescent="0.35">
      <c r="A180" s="153">
        <f>LEFT(A179,SUM(LEN(A179)-LEN(SUBSTITUTE(A179,{"0","1","2","3","4","5","6","7","8","9"},""))))*100+1</f>
        <v>201</v>
      </c>
      <c r="B180" s="153"/>
      <c r="C180" s="41"/>
      <c r="D180" s="41"/>
      <c r="E180" s="57">
        <v>0</v>
      </c>
      <c r="F180" s="57">
        <f>D180+E180</f>
        <v>0</v>
      </c>
      <c r="G180" s="57">
        <v>0</v>
      </c>
      <c r="H180" s="57">
        <f>F180*(($H$137)+1)+(IF(G180&lt;101,G180,IF(G180&lt;201,G180/2,IF(G180&lt;=301,G180/3,G180/4))))</f>
        <v>0</v>
      </c>
      <c r="I180" s="35"/>
      <c r="N180" s="35"/>
    </row>
    <row r="181" spans="1:20" s="36" customFormat="1" hidden="1" x14ac:dyDescent="0.35">
      <c r="A181" s="153">
        <f>A180+1</f>
        <v>202</v>
      </c>
      <c r="B181" s="153"/>
      <c r="C181" s="41"/>
      <c r="D181" s="41"/>
      <c r="E181" s="57">
        <v>0</v>
      </c>
      <c r="F181" s="57">
        <f>D181+E181</f>
        <v>0</v>
      </c>
      <c r="G181" s="57">
        <v>0</v>
      </c>
      <c r="H181" s="57">
        <f>F181*(($H$137)+1)+(IF(G181&lt;101,G181,IF(G181&lt;201,G181/2,IF(G181&lt;=301,G181/3,G181/4))))</f>
        <v>0</v>
      </c>
      <c r="I181" s="35"/>
      <c r="N181" s="35"/>
    </row>
    <row r="182" spans="1:20" s="36" customFormat="1" hidden="1" x14ac:dyDescent="0.35">
      <c r="A182" s="153">
        <f>A181+1</f>
        <v>203</v>
      </c>
      <c r="B182" s="153"/>
      <c r="C182" s="41"/>
      <c r="D182" s="41"/>
      <c r="E182" s="57">
        <v>0</v>
      </c>
      <c r="F182" s="57">
        <f>D182+E182</f>
        <v>0</v>
      </c>
      <c r="G182" s="57">
        <v>0</v>
      </c>
      <c r="H182" s="57">
        <f>F182*(($H$137)+1)+(IF(G182&lt;101,G182,IF(G182&lt;201,G182/2,IF(G182&lt;=301,G182/3,G182/4))))</f>
        <v>0</v>
      </c>
      <c r="I182" s="35"/>
      <c r="N182" s="35"/>
    </row>
    <row r="183" spans="1:20" s="36" customFormat="1" hidden="1" x14ac:dyDescent="0.35">
      <c r="A183" s="153">
        <f>A182+1</f>
        <v>204</v>
      </c>
      <c r="B183" s="153"/>
      <c r="C183" s="41"/>
      <c r="D183" s="41"/>
      <c r="E183" s="57">
        <v>0</v>
      </c>
      <c r="F183" s="57">
        <f>D183+E183</f>
        <v>0</v>
      </c>
      <c r="G183" s="57">
        <v>0</v>
      </c>
      <c r="H183" s="57">
        <f>F183*(($H$137)+1)+(IF(G183&lt;101,G183,IF(G183&lt;201,G183/2,IF(G183&lt;=301,G183/3,G183/4))))</f>
        <v>0</v>
      </c>
      <c r="I183" s="35"/>
      <c r="N183" s="35"/>
    </row>
    <row r="184" spans="1:20" s="36" customFormat="1" hidden="1" x14ac:dyDescent="0.35">
      <c r="A184" s="153">
        <f>A183+1</f>
        <v>205</v>
      </c>
      <c r="B184" s="153"/>
      <c r="C184" s="41"/>
      <c r="D184" s="41"/>
      <c r="E184" s="57">
        <v>0</v>
      </c>
      <c r="F184" s="57">
        <f>D184+E184</f>
        <v>0</v>
      </c>
      <c r="G184" s="57">
        <v>0</v>
      </c>
      <c r="H184" s="57">
        <f>F184*(($H$137)+1)+(IF(G184&lt;101,G184,IF(G184&lt;201,G184/2,IF(G184&lt;=301,G184/3,G184/4))))</f>
        <v>0</v>
      </c>
      <c r="I184" s="35"/>
      <c r="N184" s="35"/>
    </row>
    <row r="185" spans="1:20" s="36" customFormat="1" ht="15.75" hidden="1" customHeight="1" x14ac:dyDescent="0.35">
      <c r="A185" s="148" t="s">
        <v>150</v>
      </c>
      <c r="B185" s="149"/>
      <c r="C185" s="149"/>
      <c r="D185" s="149"/>
      <c r="E185" s="149"/>
      <c r="F185" s="149"/>
      <c r="G185" s="149"/>
      <c r="H185" s="150"/>
      <c r="I185" s="35"/>
    </row>
    <row r="186" spans="1:20" s="36" customFormat="1" ht="15.75" hidden="1" customHeight="1" x14ac:dyDescent="0.35">
      <c r="A186" s="146"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10^ROW(INDIRECT("1:"&amp;LEN((LEFT(A185,SUM(LEN(A185)-LEN(SUBSTITUTE(A185,{"0","1","2"},""))))))))/10))*100+1&amp;""&amp;" ,..,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",LEN(A185))),LEN(A185)))))))/10))*100+1</f>
        <v>301 ,.., 1501</v>
      </c>
      <c r="B186" s="147"/>
      <c r="C186" s="41"/>
      <c r="D186" s="41"/>
      <c r="E186" s="57">
        <v>0</v>
      </c>
      <c r="F186" s="57">
        <f>D186+E186</f>
        <v>0</v>
      </c>
      <c r="G186" s="57">
        <v>0</v>
      </c>
      <c r="H186" s="57">
        <f>F186*(($H$137)+1)+(IF(G186&lt;101,G186,IF(G186&lt;201,G186/2,IF(G186&lt;=301,G186/3,G186/4))))</f>
        <v>0</v>
      </c>
      <c r="I186" s="35"/>
    </row>
    <row r="187" spans="1:20" s="36" customFormat="1" ht="15.75" hidden="1" customHeight="1" x14ac:dyDescent="0.35">
      <c r="A187" s="146"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302 ,.., 1502</v>
      </c>
      <c r="B187" s="147"/>
      <c r="C187" s="41"/>
      <c r="D187" s="41"/>
      <c r="E187" s="57">
        <v>0</v>
      </c>
      <c r="F187" s="57">
        <f>D187+E187</f>
        <v>0</v>
      </c>
      <c r="G187" s="57">
        <v>0</v>
      </c>
      <c r="H187" s="57">
        <f>F187*(($H$137)+1)+(IF(G187&lt;101,G187,IF(G187&lt;201,G187/2,IF(G187&lt;=301,G187/3,G187/4))))</f>
        <v>0</v>
      </c>
      <c r="I187" s="35"/>
    </row>
    <row r="188" spans="1:20" s="36" customFormat="1" ht="15.75" hidden="1" customHeight="1" x14ac:dyDescent="0.35">
      <c r="A188" s="146"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303 ,.., 1503</v>
      </c>
      <c r="B188" s="147"/>
      <c r="C188" s="41"/>
      <c r="D188" s="41"/>
      <c r="E188" s="57">
        <v>0</v>
      </c>
      <c r="F188" s="57">
        <f>D188+E188</f>
        <v>0</v>
      </c>
      <c r="G188" s="57">
        <v>0</v>
      </c>
      <c r="H188" s="57">
        <f>F188*(($H$137)+1)+(IF(G188&lt;101,G188,IF(G188&lt;201,G188/2,IF(G188&lt;=301,G188/3,G188/4))))</f>
        <v>0</v>
      </c>
      <c r="I188" s="35"/>
    </row>
    <row r="189" spans="1:20" s="36" customFormat="1" ht="15.75" hidden="1" customHeight="1" x14ac:dyDescent="0.35">
      <c r="A189" s="146"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304 ,.., 1504</v>
      </c>
      <c r="B189" s="147"/>
      <c r="C189" s="41"/>
      <c r="D189" s="41"/>
      <c r="E189" s="57">
        <v>0</v>
      </c>
      <c r="F189" s="57">
        <f>D189+E189</f>
        <v>0</v>
      </c>
      <c r="G189" s="57">
        <v>0</v>
      </c>
      <c r="H189" s="57">
        <f>F189*(($H$137)+1)+(IF(G189&lt;101,G189,IF(G189&lt;201,G189/2,IF(G189&lt;=301,G189/3,G189/4))))</f>
        <v>0</v>
      </c>
      <c r="I189" s="35"/>
    </row>
    <row r="190" spans="1:20" s="36" customFormat="1" ht="15.75" hidden="1" customHeight="1" x14ac:dyDescent="0.35">
      <c r="A190" s="146"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305 ,.., 1505</v>
      </c>
      <c r="B190" s="147"/>
      <c r="C190" s="41"/>
      <c r="D190" s="41"/>
      <c r="E190" s="57">
        <v>0</v>
      </c>
      <c r="F190" s="57">
        <f>D190+E190</f>
        <v>0</v>
      </c>
      <c r="G190" s="57">
        <v>0</v>
      </c>
      <c r="H190" s="57">
        <f>F190*(($H$137)+1)+(IF(G190&lt;101,G190,IF(G190&lt;201,G190/2,IF(G190&lt;=301,G190/3,G190/4))))</f>
        <v>0</v>
      </c>
      <c r="I190" s="35"/>
    </row>
    <row r="191" spans="1:20" s="36" customFormat="1" hidden="1" x14ac:dyDescent="0.35">
      <c r="A191" s="148" t="s">
        <v>144</v>
      </c>
      <c r="B191" s="149"/>
      <c r="C191" s="149"/>
      <c r="D191" s="149"/>
      <c r="E191" s="149"/>
      <c r="F191" s="149"/>
      <c r="G191" s="149"/>
      <c r="H191" s="150"/>
      <c r="I191" s="35"/>
    </row>
    <row r="192" spans="1:20" s="36" customFormat="1" ht="15.75" hidden="1" customHeight="1" x14ac:dyDescent="0.35">
      <c r="A192" s="146"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10^ROW(INDIRECT("1:"&amp;LEN((LEFT(A191,SUM(LEN(A191)-LEN(SUBSTITUTE(A191,{"0","1","2"},""))))))))/10))*100+1&amp;""&amp;" to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",LEN(A191))),LEN(A191)))))))/10))*100+1</f>
        <v>201 to 501</v>
      </c>
      <c r="B192" s="147"/>
      <c r="C192" s="41"/>
      <c r="D192" s="41"/>
      <c r="E192" s="57">
        <v>0</v>
      </c>
      <c r="F192" s="57">
        <f>D192+E192</f>
        <v>0</v>
      </c>
      <c r="G192" s="57">
        <v>0</v>
      </c>
      <c r="H192" s="57">
        <f>F192*(($H$137)+1)+(IF(G192&lt;101,G192,IF(G192&lt;201,G192/2,IF(G192&lt;=301,G192/3,G192/4))))</f>
        <v>0</v>
      </c>
      <c r="I192" s="35"/>
    </row>
    <row r="193" spans="1:20" s="36" customFormat="1" ht="15.75" hidden="1" customHeight="1" x14ac:dyDescent="0.35">
      <c r="A193" s="146"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202 to 502</v>
      </c>
      <c r="B193" s="147"/>
      <c r="C193" s="41"/>
      <c r="D193" s="41"/>
      <c r="E193" s="57">
        <v>0</v>
      </c>
      <c r="F193" s="57">
        <f>D193+E193</f>
        <v>0</v>
      </c>
      <c r="G193" s="57">
        <v>0</v>
      </c>
      <c r="H193" s="57">
        <f>F193*(($H$137)+1)+(IF(G193&lt;101,G193,IF(G193&lt;201,G193/2,IF(G193&lt;=301,G193/3,G193/4))))</f>
        <v>0</v>
      </c>
      <c r="I193" s="35"/>
    </row>
    <row r="194" spans="1:20" s="36" customFormat="1" ht="15.75" hidden="1" customHeight="1" x14ac:dyDescent="0.35">
      <c r="A194" s="146"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203 to 503</v>
      </c>
      <c r="B194" s="147"/>
      <c r="C194" s="41"/>
      <c r="D194" s="41"/>
      <c r="E194" s="57">
        <v>0</v>
      </c>
      <c r="F194" s="57">
        <f>D194+E194</f>
        <v>0</v>
      </c>
      <c r="G194" s="57">
        <v>0</v>
      </c>
      <c r="H194" s="57">
        <f>F194*(($H$137)+1)+(IF(G194&lt;101,G194,IF(G194&lt;201,G194/2,IF(G194&lt;=301,G194/3,G194/4))))</f>
        <v>0</v>
      </c>
      <c r="I194" s="35"/>
    </row>
    <row r="195" spans="1:20" s="36" customFormat="1" ht="15.75" hidden="1" customHeight="1" x14ac:dyDescent="0.35">
      <c r="A195" s="146"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204 to 504</v>
      </c>
      <c r="B195" s="147"/>
      <c r="C195" s="41"/>
      <c r="D195" s="41"/>
      <c r="E195" s="57">
        <v>0</v>
      </c>
      <c r="F195" s="57">
        <f>D195+E195</f>
        <v>0</v>
      </c>
      <c r="G195" s="57">
        <v>0</v>
      </c>
      <c r="H195" s="57">
        <f>F195*(($H$137)+1)+(IF(G195&lt;101,G195,IF(G195&lt;201,G195/2,IF(G195&lt;=301,G195/3,G195/4))))</f>
        <v>0</v>
      </c>
      <c r="I195" s="35"/>
    </row>
    <row r="196" spans="1:20" s="36" customFormat="1" ht="15.75" hidden="1" customHeight="1" x14ac:dyDescent="0.35">
      <c r="A196" s="146"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205 to 505</v>
      </c>
      <c r="B196" s="147"/>
      <c r="C196" s="41"/>
      <c r="D196" s="41"/>
      <c r="E196" s="57">
        <v>0</v>
      </c>
      <c r="F196" s="57">
        <f>D196+E196</f>
        <v>0</v>
      </c>
      <c r="G196" s="57">
        <v>0</v>
      </c>
      <c r="H196" s="57">
        <f>F196*(($H$137)+1)+(IF(G196&lt;101,G196,IF(G196&lt;201,G196/2,IF(G196&lt;=301,G196/3,G196/4))))</f>
        <v>0</v>
      </c>
      <c r="I196" s="35"/>
    </row>
    <row r="197" spans="1:20" s="36" customFormat="1" hidden="1" x14ac:dyDescent="0.35">
      <c r="A197" s="148" t="s">
        <v>145</v>
      </c>
      <c r="B197" s="149"/>
      <c r="C197" s="149"/>
      <c r="D197" s="149"/>
      <c r="E197" s="149"/>
      <c r="F197" s="149"/>
      <c r="G197" s="149"/>
      <c r="H197" s="150"/>
      <c r="I197" s="35"/>
    </row>
    <row r="198" spans="1:20" s="36" customFormat="1" ht="15.75" hidden="1" customHeight="1" x14ac:dyDescent="0.35">
      <c r="A198" s="146"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10^ROW(INDIRECT("1:"&amp;LEN((LEFT(A197,SUM(LEN(A197)-LEN(SUBSTITUTE(A197,{"0","1","2"},""))))))))/10))*100+1&amp;""&amp;" &amp;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",LEN(A197))),LEN(A197)))))))/10))*100+1</f>
        <v>201 &amp; 501</v>
      </c>
      <c r="B198" s="147"/>
      <c r="C198" s="41"/>
      <c r="D198" s="41"/>
      <c r="E198" s="57">
        <v>0</v>
      </c>
      <c r="F198" s="57">
        <f>D198+E198</f>
        <v>0</v>
      </c>
      <c r="G198" s="57">
        <v>0</v>
      </c>
      <c r="H198" s="57">
        <f>F198*(($H$137)+1)+(IF(G198&lt;101,G198,IF(G198&lt;201,G198/2,IF(G198&lt;=301,G198/3,G198/4))))</f>
        <v>0</v>
      </c>
      <c r="I198" s="35"/>
    </row>
    <row r="199" spans="1:20" s="36" customFormat="1" ht="15.75" hidden="1" customHeight="1" x14ac:dyDescent="0.35">
      <c r="A199" s="146"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&amp;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202 &amp; 502</v>
      </c>
      <c r="B199" s="147"/>
      <c r="C199" s="41"/>
      <c r="D199" s="41"/>
      <c r="E199" s="57">
        <v>0</v>
      </c>
      <c r="F199" s="57">
        <f>D199+E199</f>
        <v>0</v>
      </c>
      <c r="G199" s="57">
        <v>0</v>
      </c>
      <c r="H199" s="57">
        <f>F199*(($H$137)+1)+(IF(G199&lt;101,G199,IF(G199&lt;201,G199/2,IF(G199&lt;=301,G199/3,G199/4))))</f>
        <v>0</v>
      </c>
      <c r="I199" s="35"/>
    </row>
    <row r="200" spans="1:20" s="36" customFormat="1" ht="15.75" hidden="1" customHeight="1" x14ac:dyDescent="0.35">
      <c r="A200" s="146"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&amp;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203 &amp; 503</v>
      </c>
      <c r="B200" s="147"/>
      <c r="C200" s="41"/>
      <c r="D200" s="41"/>
      <c r="E200" s="57">
        <v>0</v>
      </c>
      <c r="F200" s="57">
        <f>D200+E200</f>
        <v>0</v>
      </c>
      <c r="G200" s="57">
        <v>0</v>
      </c>
      <c r="H200" s="57">
        <f>F200*(($H$137)+1)+(IF(G200&lt;101,G200,IF(G200&lt;201,G200/2,IF(G200&lt;=301,G200/3,G200/4))))</f>
        <v>0</v>
      </c>
      <c r="I200" s="35"/>
    </row>
    <row r="201" spans="1:20" s="36" customFormat="1" ht="15.75" hidden="1" customHeight="1" x14ac:dyDescent="0.35">
      <c r="A201" s="146"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204 &amp; 504</v>
      </c>
      <c r="B201" s="147"/>
      <c r="C201" s="41"/>
      <c r="D201" s="41"/>
      <c r="E201" s="57">
        <v>0</v>
      </c>
      <c r="F201" s="57">
        <f>D201+E201</f>
        <v>0</v>
      </c>
      <c r="G201" s="57">
        <v>0</v>
      </c>
      <c r="H201" s="57">
        <f>F201*(($H$137)+1)+(IF(G201&lt;101,G201,IF(G201&lt;201,G201/2,IF(G201&lt;=301,G201/3,G201/4))))</f>
        <v>0</v>
      </c>
      <c r="I201" s="35"/>
    </row>
    <row r="202" spans="1:20" s="36" customFormat="1" ht="15.75" hidden="1" customHeight="1" x14ac:dyDescent="0.35">
      <c r="A202" s="146"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&amp;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205 &amp; 505</v>
      </c>
      <c r="B202" s="147"/>
      <c r="C202" s="41"/>
      <c r="D202" s="41"/>
      <c r="E202" s="57">
        <v>0</v>
      </c>
      <c r="F202" s="57">
        <f>D202+E202</f>
        <v>0</v>
      </c>
      <c r="G202" s="57">
        <v>0</v>
      </c>
      <c r="H202" s="57">
        <f>F202*(($H$137)+1)+(IF(G202&lt;101,G202,IF(G202&lt;201,G202/2,IF(G202&lt;=301,G202/3,G202/4))))</f>
        <v>0</v>
      </c>
      <c r="I202" s="35"/>
    </row>
    <row r="203" spans="1:20" s="34" customFormat="1" x14ac:dyDescent="0.35">
      <c r="A203" s="145" t="s">
        <v>65</v>
      </c>
      <c r="B203" s="145"/>
      <c r="C203" s="145"/>
      <c r="D203" s="145"/>
      <c r="E203" s="145"/>
      <c r="F203" s="145"/>
      <c r="G203" s="145"/>
      <c r="H203" s="145"/>
      <c r="T203" s="36"/>
    </row>
    <row r="204" spans="1:20" s="34" customFormat="1" x14ac:dyDescent="0.35">
      <c r="A204" s="45" t="s">
        <v>154</v>
      </c>
      <c r="B204" s="102" t="s">
        <v>400</v>
      </c>
      <c r="C204" s="103"/>
      <c r="D204" s="103"/>
      <c r="E204" s="103"/>
      <c r="F204" s="103"/>
      <c r="G204" s="103"/>
      <c r="H204" s="104"/>
      <c r="T204" s="36"/>
    </row>
    <row r="205" spans="1:20" s="34" customFormat="1" x14ac:dyDescent="0.35">
      <c r="A205" s="45" t="s">
        <v>154</v>
      </c>
      <c r="B205" s="102" t="str">
        <f>(IF(H136="Saleable area Loading :","We have considered Saleable area of Flats as per our Calculation.","We considered Saleable area of Flat as per Builder area Sheet."))</f>
        <v>We have considered Saleable area of Flats as per our Calculation.</v>
      </c>
      <c r="C205" s="103"/>
      <c r="D205" s="103"/>
      <c r="E205" s="103"/>
      <c r="F205" s="103"/>
      <c r="G205" s="103"/>
      <c r="H205" s="104"/>
      <c r="T205" s="36"/>
    </row>
    <row r="206" spans="1:20" s="34" customFormat="1" hidden="1" x14ac:dyDescent="0.35">
      <c r="A206" s="45" t="s">
        <v>154</v>
      </c>
      <c r="B206" s="118" t="str">
        <f>(IF(H128="Saleable area Loading :","We have considered Saleable area of Commercial as per our Calculation.","We considered Saleable area of Commercial as per Builder area Sheet."))</f>
        <v>We have considered Saleable area of Commercial as per our Calculation.</v>
      </c>
      <c r="C206" s="119"/>
      <c r="D206" s="119"/>
      <c r="E206" s="119"/>
      <c r="F206" s="119"/>
      <c r="G206" s="119"/>
      <c r="H206" s="120"/>
      <c r="T206" s="36"/>
    </row>
    <row r="207" spans="1:20" s="34" customFormat="1" x14ac:dyDescent="0.35">
      <c r="A207" s="45" t="s">
        <v>154</v>
      </c>
      <c r="B207" s="184" t="s">
        <v>121</v>
      </c>
      <c r="C207" s="185"/>
      <c r="D207" s="185"/>
      <c r="E207" s="185"/>
      <c r="F207" s="185"/>
      <c r="G207" s="185"/>
      <c r="H207" s="186"/>
      <c r="T207" s="36"/>
    </row>
    <row r="208" spans="1:20" s="34" customFormat="1" x14ac:dyDescent="0.35">
      <c r="A208" s="45" t="s">
        <v>154</v>
      </c>
      <c r="B208" s="102" t="s">
        <v>399</v>
      </c>
      <c r="C208" s="103"/>
      <c r="D208" s="103"/>
      <c r="E208" s="103"/>
      <c r="F208" s="103"/>
      <c r="G208" s="103"/>
      <c r="H208" s="104"/>
      <c r="T208" s="36"/>
    </row>
    <row r="209" spans="1:20" s="34" customFormat="1" x14ac:dyDescent="0.35">
      <c r="A209" s="45" t="s">
        <v>154</v>
      </c>
      <c r="B209" s="184" t="s">
        <v>153</v>
      </c>
      <c r="C209" s="185"/>
      <c r="D209" s="185"/>
      <c r="E209" s="185"/>
      <c r="F209" s="185"/>
      <c r="G209" s="185"/>
      <c r="H209" s="186"/>
    </row>
    <row r="210" spans="1:20" s="34" customFormat="1" x14ac:dyDescent="0.35">
      <c r="A210" s="45" t="s">
        <v>154</v>
      </c>
      <c r="B210" s="184" t="s">
        <v>122</v>
      </c>
      <c r="C210" s="185"/>
      <c r="D210" s="185"/>
      <c r="E210" s="185"/>
      <c r="F210" s="185"/>
      <c r="G210" s="185"/>
      <c r="H210" s="186"/>
    </row>
    <row r="211" spans="1:20" s="34" customFormat="1" ht="34.5" customHeight="1" x14ac:dyDescent="0.35">
      <c r="A211" s="45" t="s">
        <v>154</v>
      </c>
      <c r="B211" s="102" t="s">
        <v>155</v>
      </c>
      <c r="C211" s="103"/>
      <c r="D211" s="103"/>
      <c r="E211" s="103"/>
      <c r="F211" s="103"/>
      <c r="G211" s="103"/>
      <c r="H211" s="104"/>
    </row>
    <row r="212" spans="1:20" s="34" customFormat="1" x14ac:dyDescent="0.35">
      <c r="A212" s="45" t="s">
        <v>154</v>
      </c>
      <c r="B212" s="184" t="s">
        <v>123</v>
      </c>
      <c r="C212" s="185"/>
      <c r="D212" s="185"/>
      <c r="E212" s="185"/>
      <c r="F212" s="185"/>
      <c r="G212" s="185"/>
      <c r="H212" s="186"/>
    </row>
    <row r="213" spans="1:20" s="34" customFormat="1" ht="32.25" hidden="1" customHeight="1" x14ac:dyDescent="0.35">
      <c r="A213" s="54" t="s">
        <v>154</v>
      </c>
      <c r="B213" s="118" t="s">
        <v>180</v>
      </c>
      <c r="C213" s="119"/>
      <c r="D213" s="119"/>
      <c r="E213" s="119"/>
      <c r="F213" s="119"/>
      <c r="G213" s="119"/>
      <c r="H213" s="120"/>
    </row>
    <row r="214" spans="1:20" s="34" customFormat="1" x14ac:dyDescent="0.35">
      <c r="A214" s="101" t="s">
        <v>154</v>
      </c>
      <c r="B214" s="102" t="s">
        <v>417</v>
      </c>
      <c r="C214" s="103"/>
      <c r="D214" s="103"/>
      <c r="E214" s="103"/>
      <c r="F214" s="103"/>
      <c r="G214" s="103"/>
      <c r="H214" s="104"/>
    </row>
    <row r="215" spans="1:20" s="34" customFormat="1" x14ac:dyDescent="0.35">
      <c r="A215" s="58" t="s">
        <v>154</v>
      </c>
      <c r="B215" s="102" t="s">
        <v>416</v>
      </c>
      <c r="C215" s="103"/>
      <c r="D215" s="103"/>
      <c r="E215" s="103"/>
      <c r="F215" s="103"/>
      <c r="G215" s="103"/>
      <c r="H215" s="104"/>
    </row>
    <row r="216" spans="1:20" s="34" customFormat="1" hidden="1" x14ac:dyDescent="0.35">
      <c r="A216" s="86" t="s">
        <v>154</v>
      </c>
      <c r="B216" s="118" t="s">
        <v>354</v>
      </c>
      <c r="C216" s="119"/>
      <c r="D216" s="119"/>
      <c r="E216" s="119"/>
      <c r="F216" s="119"/>
      <c r="G216" s="119"/>
      <c r="H216" s="120"/>
    </row>
    <row r="217" spans="1:20" s="34" customFormat="1" hidden="1" x14ac:dyDescent="0.35">
      <c r="A217" s="86" t="s">
        <v>154</v>
      </c>
      <c r="B217" s="118" t="str">
        <f ca="1">IF(G52&gt;EDATE(E3,-48),"NO REMARK FOR CC","REMARK FOR CC")</f>
        <v>NO REMARK FOR CC</v>
      </c>
      <c r="C217" s="119"/>
      <c r="D217" s="119"/>
      <c r="E217" s="119"/>
      <c r="F217" s="119"/>
      <c r="G217" s="119"/>
      <c r="H217" s="120"/>
    </row>
    <row r="218" spans="1:20" s="34" customFormat="1" ht="81.75" hidden="1" customHeight="1" x14ac:dyDescent="0.35">
      <c r="A218" s="87" t="s">
        <v>154</v>
      </c>
      <c r="B218" s="118" t="s">
        <v>355</v>
      </c>
      <c r="C218" s="119"/>
      <c r="D218" s="119"/>
      <c r="E218" s="119"/>
      <c r="F218" s="119"/>
      <c r="G218" s="119"/>
      <c r="H218" s="120"/>
    </row>
    <row r="219" spans="1:20" x14ac:dyDescent="0.35">
      <c r="A219" s="183" t="s">
        <v>58</v>
      </c>
      <c r="B219" s="183"/>
      <c r="C219" s="183"/>
      <c r="D219" s="183"/>
      <c r="E219" s="183"/>
      <c r="F219" s="183"/>
      <c r="G219" s="183"/>
      <c r="H219" s="183"/>
      <c r="T219" s="34"/>
    </row>
    <row r="220" spans="1:20" x14ac:dyDescent="0.35">
      <c r="A220" s="134" t="s">
        <v>59</v>
      </c>
      <c r="B220" s="134"/>
      <c r="C220" s="134"/>
      <c r="D220" s="134"/>
      <c r="E220" s="134"/>
      <c r="F220" s="134"/>
      <c r="G220" s="134"/>
      <c r="H220" s="134"/>
      <c r="T220" s="34"/>
    </row>
    <row r="221" spans="1:20" ht="15.75" customHeight="1" x14ac:dyDescent="0.35">
      <c r="A221" s="174" t="s">
        <v>60</v>
      </c>
      <c r="B221" s="174"/>
      <c r="C221" s="174"/>
      <c r="D221" s="174"/>
      <c r="E221" s="174"/>
      <c r="F221" s="174"/>
      <c r="G221" s="174"/>
      <c r="H221" s="174"/>
      <c r="T221" s="34"/>
    </row>
    <row r="222" spans="1:20" x14ac:dyDescent="0.35">
      <c r="A222" s="134" t="s">
        <v>61</v>
      </c>
      <c r="B222" s="134"/>
      <c r="C222" s="134"/>
      <c r="D222" s="134"/>
      <c r="E222" s="134"/>
      <c r="F222" s="134"/>
      <c r="G222" s="134"/>
      <c r="H222" s="134"/>
      <c r="T222" s="34"/>
    </row>
    <row r="223" spans="1:20" x14ac:dyDescent="0.35">
      <c r="A223" s="134" t="s">
        <v>62</v>
      </c>
      <c r="B223" s="134"/>
      <c r="C223" s="134"/>
      <c r="D223" s="134"/>
      <c r="E223" s="134"/>
      <c r="F223" s="134"/>
      <c r="G223" s="134"/>
      <c r="H223" s="134"/>
      <c r="T223" s="34"/>
    </row>
    <row r="224" spans="1:20" x14ac:dyDescent="0.35">
      <c r="A224" s="134" t="s">
        <v>124</v>
      </c>
      <c r="B224" s="134"/>
      <c r="C224" s="134"/>
      <c r="D224" s="134"/>
      <c r="E224" s="134"/>
      <c r="F224" s="134"/>
      <c r="G224" s="134"/>
      <c r="H224" s="134"/>
      <c r="T224" s="34"/>
    </row>
    <row r="225" spans="1:8" ht="34" customHeight="1" x14ac:dyDescent="0.35">
      <c r="A225" s="113" t="s">
        <v>125</v>
      </c>
      <c r="B225" s="113"/>
      <c r="C225" s="113"/>
      <c r="D225" s="113"/>
      <c r="E225" s="113"/>
      <c r="F225" s="113"/>
      <c r="G225" s="113"/>
      <c r="H225" s="113"/>
    </row>
    <row r="226" spans="1:8" x14ac:dyDescent="0.35">
      <c r="A226" s="180" t="s">
        <v>74</v>
      </c>
      <c r="B226" s="180"/>
      <c r="C226" s="180" t="s">
        <v>419</v>
      </c>
      <c r="D226" s="180"/>
      <c r="E226" s="180" t="s">
        <v>104</v>
      </c>
      <c r="F226" s="180"/>
      <c r="G226" s="180" t="s">
        <v>418</v>
      </c>
      <c r="H226" s="180"/>
    </row>
    <row r="227" spans="1:8" x14ac:dyDescent="0.35">
      <c r="A227" s="179" t="s">
        <v>76</v>
      </c>
      <c r="B227" s="179"/>
      <c r="C227" s="179"/>
      <c r="D227" s="179"/>
      <c r="E227" s="179"/>
      <c r="F227" s="179"/>
      <c r="G227" s="179"/>
      <c r="H227" s="179"/>
    </row>
    <row r="228" spans="1:8" x14ac:dyDescent="0.35">
      <c r="A228" s="179"/>
      <c r="B228" s="179"/>
      <c r="C228" s="179"/>
      <c r="D228" s="179"/>
      <c r="E228" s="179"/>
      <c r="F228" s="179"/>
      <c r="G228" s="179"/>
      <c r="H228" s="179"/>
    </row>
    <row r="229" spans="1:8" x14ac:dyDescent="0.35">
      <c r="A229" s="179"/>
      <c r="B229" s="179"/>
      <c r="C229" s="179"/>
      <c r="D229" s="179"/>
      <c r="E229" s="179"/>
      <c r="F229" s="179"/>
      <c r="G229" s="179"/>
      <c r="H229" s="179"/>
    </row>
    <row r="230" spans="1:8" x14ac:dyDescent="0.35">
      <c r="A230" s="179"/>
      <c r="B230" s="179"/>
      <c r="C230" s="179"/>
      <c r="D230" s="179"/>
      <c r="E230" s="179"/>
      <c r="F230" s="179"/>
      <c r="G230" s="179"/>
      <c r="H230" s="179"/>
    </row>
    <row r="231" spans="1:8" x14ac:dyDescent="0.35">
      <c r="A231" s="37" t="s">
        <v>63</v>
      </c>
      <c r="B231" s="38"/>
      <c r="C231" s="38"/>
      <c r="D231" s="37" t="str">
        <f>E9</f>
        <v>Raheja Amaltis</v>
      </c>
      <c r="F231" s="38"/>
      <c r="G231" s="38"/>
      <c r="H231" s="38"/>
    </row>
    <row r="232" spans="1:8" x14ac:dyDescent="0.35">
      <c r="A232" s="38"/>
      <c r="B232" s="38"/>
      <c r="C232" s="38"/>
      <c r="D232" s="38"/>
      <c r="E232" s="38"/>
      <c r="F232" s="38"/>
      <c r="G232" s="38"/>
      <c r="H232" s="38"/>
    </row>
    <row r="233" spans="1:8" x14ac:dyDescent="0.35">
      <c r="A233" s="38"/>
      <c r="B233" s="38"/>
      <c r="C233" s="38"/>
      <c r="D233" s="38"/>
      <c r="E233" s="38"/>
      <c r="F233" s="38"/>
      <c r="G233" s="38"/>
      <c r="H233" s="38"/>
    </row>
    <row r="234" spans="1:8" ht="15" customHeight="1" x14ac:dyDescent="0.35"/>
    <row r="274" spans="1:1" x14ac:dyDescent="0.35">
      <c r="A274" s="40" t="s">
        <v>165</v>
      </c>
    </row>
    <row r="317" spans="1:1" x14ac:dyDescent="0.35">
      <c r="A317" s="40" t="s">
        <v>64</v>
      </c>
    </row>
  </sheetData>
  <mergeCells count="388">
    <mergeCell ref="L164:M164"/>
    <mergeCell ref="A165:B165"/>
    <mergeCell ref="A166:B166"/>
    <mergeCell ref="A167:B167"/>
    <mergeCell ref="A168:B168"/>
    <mergeCell ref="A169:H169"/>
    <mergeCell ref="L169:M169"/>
    <mergeCell ref="A170:B170"/>
    <mergeCell ref="A171:B171"/>
    <mergeCell ref="C166:H166"/>
    <mergeCell ref="C171:H171"/>
    <mergeCell ref="L154:M154"/>
    <mergeCell ref="A155:B155"/>
    <mergeCell ref="A156:B156"/>
    <mergeCell ref="A157:B157"/>
    <mergeCell ref="A158:B158"/>
    <mergeCell ref="A159:H159"/>
    <mergeCell ref="A160:B160"/>
    <mergeCell ref="A161:B161"/>
    <mergeCell ref="A162:B162"/>
    <mergeCell ref="L143:M143"/>
    <mergeCell ref="A144:B144"/>
    <mergeCell ref="A145:B145"/>
    <mergeCell ref="A146:B146"/>
    <mergeCell ref="A147:B147"/>
    <mergeCell ref="A148:H148"/>
    <mergeCell ref="A149:B149"/>
    <mergeCell ref="A150:B150"/>
    <mergeCell ref="A151:B151"/>
    <mergeCell ref="A141:H141"/>
    <mergeCell ref="A140:H140"/>
    <mergeCell ref="A138:H138"/>
    <mergeCell ref="A139:H139"/>
    <mergeCell ref="B218:H218"/>
    <mergeCell ref="A101:B101"/>
    <mergeCell ref="C128:C129"/>
    <mergeCell ref="B136:B137"/>
    <mergeCell ref="B206:H206"/>
    <mergeCell ref="A190:B190"/>
    <mergeCell ref="A178:B178"/>
    <mergeCell ref="B211:H211"/>
    <mergeCell ref="A193:B193"/>
    <mergeCell ref="A201:B201"/>
    <mergeCell ref="B204:H204"/>
    <mergeCell ref="B205:H205"/>
    <mergeCell ref="B207:H207"/>
    <mergeCell ref="A143:H143"/>
    <mergeCell ref="A152:B152"/>
    <mergeCell ref="A142:H142"/>
    <mergeCell ref="A153:H153"/>
    <mergeCell ref="A154:H154"/>
    <mergeCell ref="A175:B175"/>
    <mergeCell ref="A134:B134"/>
    <mergeCell ref="A88:B88"/>
    <mergeCell ref="C88:H88"/>
    <mergeCell ref="A90:B90"/>
    <mergeCell ref="C90:H90"/>
    <mergeCell ref="A91:B91"/>
    <mergeCell ref="E91:F91"/>
    <mergeCell ref="G91:H91"/>
    <mergeCell ref="A92:B92"/>
    <mergeCell ref="E92:F101"/>
    <mergeCell ref="G92:H101"/>
    <mergeCell ref="A93:B93"/>
    <mergeCell ref="A94:B94"/>
    <mergeCell ref="A95:B95"/>
    <mergeCell ref="A96:B96"/>
    <mergeCell ref="A97:B97"/>
    <mergeCell ref="A98:B98"/>
    <mergeCell ref="A80:B80"/>
    <mergeCell ref="E78:F87"/>
    <mergeCell ref="G78:H87"/>
    <mergeCell ref="B215:H215"/>
    <mergeCell ref="A107:E107"/>
    <mergeCell ref="A124:B124"/>
    <mergeCell ref="E124:F124"/>
    <mergeCell ref="A112:E112"/>
    <mergeCell ref="G124:H124"/>
    <mergeCell ref="C118:D118"/>
    <mergeCell ref="E118:F118"/>
    <mergeCell ref="G118:H118"/>
    <mergeCell ref="A119:B119"/>
    <mergeCell ref="C119:D119"/>
    <mergeCell ref="E119:F119"/>
    <mergeCell ref="G119:H119"/>
    <mergeCell ref="A123:B123"/>
    <mergeCell ref="C123:D123"/>
    <mergeCell ref="E123:F123"/>
    <mergeCell ref="E125:F125"/>
    <mergeCell ref="B212:H212"/>
    <mergeCell ref="B210:H210"/>
    <mergeCell ref="A186:B186"/>
    <mergeCell ref="B213:H213"/>
    <mergeCell ref="L179:M179"/>
    <mergeCell ref="A184:B184"/>
    <mergeCell ref="A181:B181"/>
    <mergeCell ref="A182:B182"/>
    <mergeCell ref="A192:B192"/>
    <mergeCell ref="A40:B40"/>
    <mergeCell ref="C40:H40"/>
    <mergeCell ref="F128:F129"/>
    <mergeCell ref="C117:D117"/>
    <mergeCell ref="E117:F117"/>
    <mergeCell ref="B128:B129"/>
    <mergeCell ref="A128:A129"/>
    <mergeCell ref="C136:C137"/>
    <mergeCell ref="G136:G137"/>
    <mergeCell ref="L178:M178"/>
    <mergeCell ref="L175:M175"/>
    <mergeCell ref="A176:B176"/>
    <mergeCell ref="G125:H125"/>
    <mergeCell ref="L176:M176"/>
    <mergeCell ref="A177:B177"/>
    <mergeCell ref="L177:M177"/>
    <mergeCell ref="C55:H55"/>
    <mergeCell ref="A99:B99"/>
    <mergeCell ref="A100:B100"/>
    <mergeCell ref="L134:M134"/>
    <mergeCell ref="L133:M133"/>
    <mergeCell ref="L132:M132"/>
    <mergeCell ref="L131:M131"/>
    <mergeCell ref="A85:B85"/>
    <mergeCell ref="C122:D122"/>
    <mergeCell ref="E122:F122"/>
    <mergeCell ref="G122:H122"/>
    <mergeCell ref="A103:E103"/>
    <mergeCell ref="A130:H130"/>
    <mergeCell ref="E128:E129"/>
    <mergeCell ref="F104:H104"/>
    <mergeCell ref="A104:E104"/>
    <mergeCell ref="D128:D129"/>
    <mergeCell ref="G123:H123"/>
    <mergeCell ref="A131:B131"/>
    <mergeCell ref="A125:B125"/>
    <mergeCell ref="A105:E105"/>
    <mergeCell ref="A102:E102"/>
    <mergeCell ref="F106:H106"/>
    <mergeCell ref="A106:E106"/>
    <mergeCell ref="G128:G129"/>
    <mergeCell ref="F102:H102"/>
    <mergeCell ref="F107:H107"/>
    <mergeCell ref="A38:H38"/>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46:D46"/>
    <mergeCell ref="A47:D47"/>
    <mergeCell ref="D68:H68"/>
    <mergeCell ref="A44:D44"/>
    <mergeCell ref="E44:H44"/>
    <mergeCell ref="E45:H45"/>
    <mergeCell ref="E46:H46"/>
    <mergeCell ref="E47:H47"/>
    <mergeCell ref="C57:H57"/>
    <mergeCell ref="A48:H48"/>
    <mergeCell ref="D64:H64"/>
    <mergeCell ref="A64:C64"/>
    <mergeCell ref="A45:D45"/>
    <mergeCell ref="A49:B49"/>
    <mergeCell ref="C49:H49"/>
    <mergeCell ref="A65:C66"/>
    <mergeCell ref="D65:H65"/>
    <mergeCell ref="C53:E53"/>
    <mergeCell ref="G53:H53"/>
    <mergeCell ref="G52:H52"/>
    <mergeCell ref="A61:H61"/>
    <mergeCell ref="A62:C62"/>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12:D12"/>
    <mergeCell ref="E12:H12"/>
    <mergeCell ref="A17:B17"/>
    <mergeCell ref="A14:D14"/>
    <mergeCell ref="A19:B19"/>
    <mergeCell ref="C19:D19"/>
    <mergeCell ref="E19:F19"/>
    <mergeCell ref="G19:H19"/>
    <mergeCell ref="A20:B20"/>
    <mergeCell ref="C20:D20"/>
    <mergeCell ref="E20:F20"/>
    <mergeCell ref="G20:H20"/>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C125:D12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121:F121"/>
    <mergeCell ref="A227:H230"/>
    <mergeCell ref="A226:B226"/>
    <mergeCell ref="E226:F226"/>
    <mergeCell ref="C226:D226"/>
    <mergeCell ref="G226:H226"/>
    <mergeCell ref="A115:H115"/>
    <mergeCell ref="A113:E113"/>
    <mergeCell ref="F113:H113"/>
    <mergeCell ref="A114:E114"/>
    <mergeCell ref="F114:H114"/>
    <mergeCell ref="A179:H179"/>
    <mergeCell ref="A122:B122"/>
    <mergeCell ref="A188:B188"/>
    <mergeCell ref="A117:B117"/>
    <mergeCell ref="A222:H222"/>
    <mergeCell ref="A120:H120"/>
    <mergeCell ref="A225:H225"/>
    <mergeCell ref="A223:H223"/>
    <mergeCell ref="A219:H219"/>
    <mergeCell ref="G121:H121"/>
    <mergeCell ref="B209:H209"/>
    <mergeCell ref="A194:B194"/>
    <mergeCell ref="A183:B183"/>
    <mergeCell ref="F136:F137"/>
    <mergeCell ref="A224:H224"/>
    <mergeCell ref="A221:H221"/>
    <mergeCell ref="A180:B180"/>
    <mergeCell ref="A121:B121"/>
    <mergeCell ref="D136:D137"/>
    <mergeCell ref="E136:E137"/>
    <mergeCell ref="F103:H103"/>
    <mergeCell ref="G117:H117"/>
    <mergeCell ref="F109:H109"/>
    <mergeCell ref="C116:D116"/>
    <mergeCell ref="C124:D124"/>
    <mergeCell ref="A174:H174"/>
    <mergeCell ref="A189:B189"/>
    <mergeCell ref="B208:H208"/>
    <mergeCell ref="A198:B198"/>
    <mergeCell ref="A199:B199"/>
    <mergeCell ref="A133:B133"/>
    <mergeCell ref="A108:E108"/>
    <mergeCell ref="F108:H108"/>
    <mergeCell ref="A110:E110"/>
    <mergeCell ref="F105:H105"/>
    <mergeCell ref="A109:E109"/>
    <mergeCell ref="A135:H135"/>
    <mergeCell ref="A173:B173"/>
    <mergeCell ref="A220:H220"/>
    <mergeCell ref="E77:F77"/>
    <mergeCell ref="A84:B84"/>
    <mergeCell ref="I15:P15"/>
    <mergeCell ref="F112:H112"/>
    <mergeCell ref="F110:H110"/>
    <mergeCell ref="A187:B187"/>
    <mergeCell ref="A127:H127"/>
    <mergeCell ref="G116:H116"/>
    <mergeCell ref="A111:E111"/>
    <mergeCell ref="A132:B132"/>
    <mergeCell ref="A60:B60"/>
    <mergeCell ref="C60:E60"/>
    <mergeCell ref="D62:H62"/>
    <mergeCell ref="F111:H111"/>
    <mergeCell ref="E116:F116"/>
    <mergeCell ref="A116:B116"/>
    <mergeCell ref="A118:B118"/>
    <mergeCell ref="C121:D121"/>
    <mergeCell ref="D71:H71"/>
    <mergeCell ref="D63:H63"/>
    <mergeCell ref="G60:H60"/>
    <mergeCell ref="A136:A137"/>
    <mergeCell ref="A76:B76"/>
    <mergeCell ref="E43:H43"/>
    <mergeCell ref="A43:D43"/>
    <mergeCell ref="A83:B83"/>
    <mergeCell ref="A50:B50"/>
    <mergeCell ref="D66:H66"/>
    <mergeCell ref="C52:E52"/>
    <mergeCell ref="A203:H203"/>
    <mergeCell ref="A195:B195"/>
    <mergeCell ref="A196:B196"/>
    <mergeCell ref="A191:H191"/>
    <mergeCell ref="A185:H185"/>
    <mergeCell ref="A200:B200"/>
    <mergeCell ref="A197:H197"/>
    <mergeCell ref="A71:C71"/>
    <mergeCell ref="D72:H72"/>
    <mergeCell ref="A78:B78"/>
    <mergeCell ref="G77:H77"/>
    <mergeCell ref="A86:B86"/>
    <mergeCell ref="A202:B202"/>
    <mergeCell ref="A79:B79"/>
    <mergeCell ref="A163:B163"/>
    <mergeCell ref="A164:H164"/>
    <mergeCell ref="A172:B172"/>
    <mergeCell ref="B214:H214"/>
    <mergeCell ref="A87:B87"/>
    <mergeCell ref="A82:B82"/>
    <mergeCell ref="A81:B81"/>
    <mergeCell ref="A54:B55"/>
    <mergeCell ref="C59:E59"/>
    <mergeCell ref="G54:H54"/>
    <mergeCell ref="G59:H59"/>
    <mergeCell ref="B217:H217"/>
    <mergeCell ref="B216:H216"/>
    <mergeCell ref="A56:B57"/>
    <mergeCell ref="C56:E56"/>
    <mergeCell ref="A126:H126"/>
    <mergeCell ref="A74:B74"/>
    <mergeCell ref="C74:H74"/>
    <mergeCell ref="A69:C69"/>
    <mergeCell ref="D69:H69"/>
    <mergeCell ref="C76:H76"/>
    <mergeCell ref="A70:C70"/>
    <mergeCell ref="D70:H70"/>
    <mergeCell ref="A73:C73"/>
    <mergeCell ref="D73:H73"/>
    <mergeCell ref="A72:C72"/>
    <mergeCell ref="A77:B77"/>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26:H226">
      <formula1>"Kunal Kadam,Pranita Mhatre,Shruti Fule,Pooja Kawale,Gaurav Panchal,Shruti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8:B129">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6:E137">
      <formula1>"Fungible area,Balcony Area,Chajja Area,Cornice Area,AP Area,WS Area"</formula1>
    </dataValidation>
    <dataValidation type="list" allowBlank="1" showInputMessage="1" showErrorMessage="1" sqref="H129 H13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8 H136">
      <formula1>"Saleable area Loading :,Builder Saleable Area"</formula1>
    </dataValidation>
    <dataValidation type="list" allowBlank="1" showInputMessage="1" showErrorMessage="1" sqref="D128:D129 D136:D13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30" max="16383" man="1"/>
    <brk id="273" max="16383" man="1"/>
    <brk id="31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8" t="s">
        <v>105</v>
      </c>
      <c r="C3" s="248"/>
      <c r="D3" s="248"/>
      <c r="E3" s="248"/>
      <c r="F3" s="248"/>
      <c r="G3" s="248"/>
      <c r="H3" s="248"/>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5"/>
      <c r="C4" s="55" t="s">
        <v>11</v>
      </c>
      <c r="D4" s="56" t="s">
        <v>181</v>
      </c>
      <c r="E4" s="56" t="s">
        <v>191</v>
      </c>
      <c r="F4" s="56" t="s">
        <v>174</v>
      </c>
      <c r="G4" s="56" t="s">
        <v>196</v>
      </c>
      <c r="H4" s="56" t="s">
        <v>214</v>
      </c>
      <c r="J4" t="s">
        <v>196</v>
      </c>
      <c r="K4" t="s">
        <v>212</v>
      </c>
    </row>
    <row r="5" spans="2:11" x14ac:dyDescent="0.35">
      <c r="B5" s="55"/>
      <c r="C5" s="55"/>
      <c r="D5" s="56" t="s">
        <v>182</v>
      </c>
      <c r="E5" s="56" t="s">
        <v>189</v>
      </c>
      <c r="F5" s="56" t="s">
        <v>211</v>
      </c>
      <c r="G5" s="56" t="s">
        <v>197</v>
      </c>
      <c r="H5" s="56" t="s">
        <v>215</v>
      </c>
    </row>
    <row r="6" spans="2:11" x14ac:dyDescent="0.35">
      <c r="B6" s="55"/>
      <c r="C6" s="55"/>
      <c r="D6" s="56" t="s">
        <v>183</v>
      </c>
      <c r="E6" s="56" t="s">
        <v>190</v>
      </c>
      <c r="F6" s="56" t="s">
        <v>212</v>
      </c>
      <c r="G6" s="56" t="s">
        <v>198</v>
      </c>
      <c r="H6" s="56" t="s">
        <v>228</v>
      </c>
    </row>
    <row r="7" spans="2:11" x14ac:dyDescent="0.35">
      <c r="B7" s="55"/>
      <c r="C7" s="55"/>
      <c r="D7" s="56" t="s">
        <v>184</v>
      </c>
      <c r="E7" s="56" t="s">
        <v>192</v>
      </c>
      <c r="F7" s="56" t="s">
        <v>213</v>
      </c>
      <c r="G7" s="56" t="s">
        <v>199</v>
      </c>
      <c r="H7" s="56" t="s">
        <v>216</v>
      </c>
    </row>
    <row r="8" spans="2:11" x14ac:dyDescent="0.35">
      <c r="B8" s="55"/>
      <c r="C8" s="55"/>
      <c r="D8" s="56" t="s">
        <v>185</v>
      </c>
      <c r="E8" s="56" t="s">
        <v>193</v>
      </c>
      <c r="F8" s="56"/>
      <c r="G8" s="56" t="s">
        <v>200</v>
      </c>
      <c r="H8" s="56" t="s">
        <v>217</v>
      </c>
    </row>
    <row r="9" spans="2:11" x14ac:dyDescent="0.35">
      <c r="B9" s="55"/>
      <c r="C9" s="55"/>
      <c r="D9" s="56" t="s">
        <v>186</v>
      </c>
      <c r="E9" s="56" t="s">
        <v>191</v>
      </c>
      <c r="F9" s="56"/>
      <c r="G9" s="56" t="s">
        <v>201</v>
      </c>
      <c r="H9" s="56" t="s">
        <v>218</v>
      </c>
    </row>
    <row r="10" spans="2:11" x14ac:dyDescent="0.35">
      <c r="B10" s="55"/>
      <c r="C10" s="55"/>
      <c r="D10" s="56" t="s">
        <v>187</v>
      </c>
      <c r="E10" s="56" t="s">
        <v>194</v>
      </c>
      <c r="F10" s="56"/>
      <c r="G10" s="56" t="s">
        <v>202</v>
      </c>
      <c r="H10" s="56" t="s">
        <v>219</v>
      </c>
    </row>
    <row r="11" spans="2:11" x14ac:dyDescent="0.35">
      <c r="B11" s="55"/>
      <c r="C11" s="55"/>
      <c r="D11" s="56" t="s">
        <v>188</v>
      </c>
      <c r="E11" s="56" t="s">
        <v>195</v>
      </c>
      <c r="F11" s="56"/>
      <c r="G11" s="56" t="s">
        <v>203</v>
      </c>
      <c r="H11" s="56" t="s">
        <v>220</v>
      </c>
    </row>
    <row r="12" spans="2:11" x14ac:dyDescent="0.35">
      <c r="B12" s="55"/>
      <c r="C12" s="55"/>
      <c r="D12" s="56"/>
      <c r="E12" s="56"/>
      <c r="F12" s="56"/>
      <c r="G12" s="56" t="s">
        <v>204</v>
      </c>
      <c r="H12" s="56" t="s">
        <v>221</v>
      </c>
    </row>
    <row r="13" spans="2:11" x14ac:dyDescent="0.35">
      <c r="B13" s="55"/>
      <c r="C13" s="55"/>
      <c r="D13" s="56"/>
      <c r="E13" s="56"/>
      <c r="F13" s="56"/>
      <c r="G13" s="56" t="s">
        <v>205</v>
      </c>
      <c r="H13" s="56" t="s">
        <v>222</v>
      </c>
    </row>
    <row r="14" spans="2:11" x14ac:dyDescent="0.35">
      <c r="B14" s="55"/>
      <c r="C14" s="55"/>
      <c r="D14" s="56"/>
      <c r="E14" s="56"/>
      <c r="F14" s="56"/>
      <c r="G14" s="56" t="s">
        <v>206</v>
      </c>
      <c r="H14" s="56" t="s">
        <v>223</v>
      </c>
    </row>
    <row r="15" spans="2:11" x14ac:dyDescent="0.35">
      <c r="B15" s="55"/>
      <c r="C15" s="55"/>
      <c r="D15" s="56"/>
      <c r="E15" s="56"/>
      <c r="F15" s="56"/>
      <c r="G15" s="56" t="s">
        <v>207</v>
      </c>
      <c r="H15" s="56" t="s">
        <v>224</v>
      </c>
    </row>
    <row r="16" spans="2:11" x14ac:dyDescent="0.35">
      <c r="B16" s="55"/>
      <c r="C16" s="55"/>
      <c r="D16" s="56"/>
      <c r="E16" s="56"/>
      <c r="F16" s="56"/>
      <c r="G16" s="56" t="s">
        <v>208</v>
      </c>
      <c r="H16" s="56" t="s">
        <v>225</v>
      </c>
    </row>
    <row r="17" spans="2:8" x14ac:dyDescent="0.35">
      <c r="B17" s="55"/>
      <c r="C17" s="55"/>
      <c r="D17" s="56"/>
      <c r="E17" s="56"/>
      <c r="F17" s="56"/>
      <c r="G17" s="56" t="s">
        <v>209</v>
      </c>
      <c r="H17" s="56" t="s">
        <v>226</v>
      </c>
    </row>
    <row r="18" spans="2:8" x14ac:dyDescent="0.35">
      <c r="B18" s="55"/>
      <c r="C18" s="55"/>
      <c r="D18" s="56"/>
      <c r="E18" s="56"/>
      <c r="F18" s="56"/>
      <c r="G18" s="56" t="s">
        <v>210</v>
      </c>
      <c r="H18" s="56" t="s">
        <v>227</v>
      </c>
    </row>
    <row r="24" spans="2:8" x14ac:dyDescent="0.35">
      <c r="C24" t="s">
        <v>171</v>
      </c>
    </row>
    <row r="25" spans="2:8" x14ac:dyDescent="0.35">
      <c r="C25" t="s">
        <v>229</v>
      </c>
    </row>
    <row r="26" spans="2:8" x14ac:dyDescent="0.35">
      <c r="C26" t="s">
        <v>230</v>
      </c>
    </row>
    <row r="27" spans="2:8" x14ac:dyDescent="0.35">
      <c r="C27" t="s">
        <v>231</v>
      </c>
    </row>
    <row r="28" spans="2:8" x14ac:dyDescent="0.35">
      <c r="C28" t="s">
        <v>232</v>
      </c>
    </row>
    <row r="29" spans="2:8" x14ac:dyDescent="0.35">
      <c r="C29" t="s">
        <v>233</v>
      </c>
    </row>
    <row r="30" spans="2:8" x14ac:dyDescent="0.35">
      <c r="C30" t="s">
        <v>171</v>
      </c>
    </row>
    <row r="33" spans="3:11" x14ac:dyDescent="0.35">
      <c r="J33">
        <v>1</v>
      </c>
      <c r="K33">
        <v>2</v>
      </c>
    </row>
    <row r="34" spans="3:11" x14ac:dyDescent="0.35">
      <c r="C34" s="59" t="s">
        <v>239</v>
      </c>
      <c r="D34" s="56" t="s">
        <v>237</v>
      </c>
      <c r="E34" s="56" t="s">
        <v>242</v>
      </c>
      <c r="F34" s="56" t="s">
        <v>240</v>
      </c>
      <c r="G34" s="56" t="s">
        <v>241</v>
      </c>
      <c r="H34" s="56" t="s">
        <v>243</v>
      </c>
      <c r="J34" t="s">
        <v>196</v>
      </c>
      <c r="K34" t="s">
        <v>212</v>
      </c>
    </row>
    <row r="35" spans="3:11" x14ac:dyDescent="0.35">
      <c r="C35" s="55" t="s">
        <v>238</v>
      </c>
      <c r="D35" s="56" t="s">
        <v>172</v>
      </c>
      <c r="E35" s="56" t="s">
        <v>247</v>
      </c>
      <c r="F35" s="56" t="s">
        <v>249</v>
      </c>
      <c r="G35" s="56" t="s">
        <v>251</v>
      </c>
      <c r="H35" s="56"/>
    </row>
    <row r="36" spans="3:11" x14ac:dyDescent="0.35">
      <c r="C36" s="55"/>
      <c r="D36" s="56" t="s">
        <v>244</v>
      </c>
      <c r="E36" s="56" t="s">
        <v>248</v>
      </c>
      <c r="F36" s="56" t="s">
        <v>250</v>
      </c>
      <c r="G36" s="56" t="s">
        <v>252</v>
      </c>
      <c r="H36" s="56"/>
    </row>
    <row r="37" spans="3:11" x14ac:dyDescent="0.35">
      <c r="C37" s="55"/>
      <c r="D37" s="56" t="s">
        <v>245</v>
      </c>
      <c r="E37" s="56"/>
      <c r="F37" s="56"/>
      <c r="G37" s="56" t="s">
        <v>253</v>
      </c>
      <c r="H37" s="56"/>
    </row>
    <row r="38" spans="3:11" x14ac:dyDescent="0.35">
      <c r="C38" s="55"/>
      <c r="D38" s="56" t="s">
        <v>246</v>
      </c>
      <c r="E38" s="56"/>
      <c r="F38" s="56"/>
      <c r="G38" s="56" t="s">
        <v>253</v>
      </c>
      <c r="H38" s="56"/>
    </row>
    <row r="39" spans="3:11" x14ac:dyDescent="0.35">
      <c r="C39" s="55"/>
      <c r="D39" s="56"/>
      <c r="E39" s="56"/>
      <c r="F39" s="56"/>
      <c r="G39" s="56" t="s">
        <v>254</v>
      </c>
      <c r="H39" s="56"/>
    </row>
    <row r="40" spans="3:11" x14ac:dyDescent="0.35">
      <c r="C40" s="55"/>
      <c r="D40" s="56"/>
      <c r="E40" s="56"/>
      <c r="F40" s="56"/>
      <c r="G40" s="56" t="s">
        <v>255</v>
      </c>
      <c r="H40" s="56"/>
    </row>
    <row r="41" spans="3:11" x14ac:dyDescent="0.35">
      <c r="C41" s="55"/>
      <c r="D41" s="56"/>
      <c r="E41" s="56"/>
      <c r="F41" s="56"/>
      <c r="G41" s="56"/>
      <c r="H41" s="56"/>
    </row>
    <row r="43" spans="3:11" x14ac:dyDescent="0.35">
      <c r="C43" t="s">
        <v>256</v>
      </c>
    </row>
    <row r="44" spans="3:11" x14ac:dyDescent="0.35">
      <c r="C44" t="s">
        <v>174</v>
      </c>
      <c r="D44" t="s">
        <v>257</v>
      </c>
    </row>
    <row r="45" spans="3:11" x14ac:dyDescent="0.35">
      <c r="D45" t="s">
        <v>258</v>
      </c>
    </row>
    <row r="46" spans="3:11" x14ac:dyDescent="0.35">
      <c r="D46" t="s">
        <v>259</v>
      </c>
    </row>
    <row r="47" spans="3:11" x14ac:dyDescent="0.35">
      <c r="D47" t="s">
        <v>260</v>
      </c>
    </row>
    <row r="48" spans="3:11" x14ac:dyDescent="0.35">
      <c r="D48" t="s">
        <v>261</v>
      </c>
    </row>
    <row r="49" spans="3:4" x14ac:dyDescent="0.35">
      <c r="C49" t="s">
        <v>181</v>
      </c>
      <c r="D49" t="s">
        <v>262</v>
      </c>
    </row>
    <row r="50" spans="3:4" x14ac:dyDescent="0.35">
      <c r="D50" t="s">
        <v>263</v>
      </c>
    </row>
    <row r="51" spans="3:4" x14ac:dyDescent="0.35">
      <c r="D51" t="s">
        <v>264</v>
      </c>
    </row>
    <row r="52" spans="3:4" x14ac:dyDescent="0.35">
      <c r="D52" t="s">
        <v>267</v>
      </c>
    </row>
    <row r="53" spans="3:4" x14ac:dyDescent="0.35">
      <c r="D53" t="s">
        <v>265</v>
      </c>
    </row>
    <row r="54" spans="3:4" x14ac:dyDescent="0.35">
      <c r="D54" t="s">
        <v>266</v>
      </c>
    </row>
    <row r="55" spans="3:4" x14ac:dyDescent="0.35">
      <c r="D55" t="s">
        <v>268</v>
      </c>
    </row>
    <row r="56" spans="3:4" x14ac:dyDescent="0.35">
      <c r="D56" t="s">
        <v>269</v>
      </c>
    </row>
    <row r="57" spans="3:4" x14ac:dyDescent="0.35">
      <c r="D57" t="s">
        <v>270</v>
      </c>
    </row>
    <row r="58" spans="3:4" x14ac:dyDescent="0.35">
      <c r="D58" t="s">
        <v>272</v>
      </c>
    </row>
    <row r="59" spans="3:4" x14ac:dyDescent="0.35">
      <c r="D59" t="s">
        <v>281</v>
      </c>
    </row>
    <row r="60" spans="3:4" x14ac:dyDescent="0.35">
      <c r="C60" t="s">
        <v>196</v>
      </c>
      <c r="D60" t="s">
        <v>273</v>
      </c>
    </row>
    <row r="61" spans="3:4" x14ac:dyDescent="0.35">
      <c r="D61" t="s">
        <v>271</v>
      </c>
    </row>
    <row r="62" spans="3:4" x14ac:dyDescent="0.35">
      <c r="D62" t="s">
        <v>261</v>
      </c>
    </row>
    <row r="63" spans="3:4" x14ac:dyDescent="0.35">
      <c r="D63" t="s">
        <v>274</v>
      </c>
    </row>
    <row r="64" spans="3:4" x14ac:dyDescent="0.35">
      <c r="D64" t="s">
        <v>275</v>
      </c>
    </row>
    <row r="65" spans="3:4" x14ac:dyDescent="0.35">
      <c r="D65" t="s">
        <v>276</v>
      </c>
    </row>
    <row r="66" spans="3:4" x14ac:dyDescent="0.35">
      <c r="D66" t="s">
        <v>277</v>
      </c>
    </row>
    <row r="67" spans="3:4" x14ac:dyDescent="0.35">
      <c r="C67" t="s">
        <v>191</v>
      </c>
      <c r="D67" t="s">
        <v>278</v>
      </c>
    </row>
    <row r="68" spans="3:4" x14ac:dyDescent="0.35">
      <c r="D68" t="s">
        <v>279</v>
      </c>
    </row>
    <row r="69" spans="3:4" x14ac:dyDescent="0.3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60">
        <v>1</v>
      </c>
      <c r="C2" s="63" t="s">
        <v>286</v>
      </c>
    </row>
    <row r="3" spans="2:3" x14ac:dyDescent="0.35">
      <c r="B3" s="60">
        <v>2</v>
      </c>
      <c r="C3" s="61" t="s">
        <v>287</v>
      </c>
    </row>
    <row r="4" spans="2:3" x14ac:dyDescent="0.35">
      <c r="B4" s="60">
        <v>3</v>
      </c>
      <c r="C4" s="62" t="s">
        <v>288</v>
      </c>
    </row>
    <row r="5" spans="2:3" x14ac:dyDescent="0.35">
      <c r="B5" s="60">
        <v>4</v>
      </c>
      <c r="C5" s="61" t="s">
        <v>289</v>
      </c>
    </row>
    <row r="6" spans="2:3" x14ac:dyDescent="0.35">
      <c r="B6" s="60">
        <v>5</v>
      </c>
      <c r="C6" s="62" t="s">
        <v>290</v>
      </c>
    </row>
    <row r="7" spans="2:3" ht="29" x14ac:dyDescent="0.35">
      <c r="B7" s="60">
        <v>6</v>
      </c>
      <c r="C7" s="61" t="s">
        <v>291</v>
      </c>
    </row>
    <row r="8" spans="2:3" ht="72.5" x14ac:dyDescent="0.35">
      <c r="B8" s="60">
        <v>7</v>
      </c>
      <c r="C8" s="61" t="s">
        <v>292</v>
      </c>
    </row>
    <row r="9" spans="2:3" x14ac:dyDescent="0.35">
      <c r="B9" s="60">
        <v>8</v>
      </c>
      <c r="C9" s="62" t="s">
        <v>293</v>
      </c>
    </row>
    <row r="10" spans="2:3" x14ac:dyDescent="0.35">
      <c r="B10" s="60">
        <v>9</v>
      </c>
      <c r="C10" s="62" t="s">
        <v>294</v>
      </c>
    </row>
    <row r="11" spans="2:3" x14ac:dyDescent="0.35">
      <c r="B11" s="60">
        <v>10</v>
      </c>
      <c r="C11" s="62" t="s">
        <v>295</v>
      </c>
    </row>
    <row r="12" spans="2:3" x14ac:dyDescent="0.35">
      <c r="B12" s="60">
        <v>11</v>
      </c>
      <c r="C12" s="62" t="s">
        <v>296</v>
      </c>
    </row>
    <row r="13" spans="2:3" x14ac:dyDescent="0.35">
      <c r="B13" s="60">
        <v>12</v>
      </c>
      <c r="C13" s="62" t="s">
        <v>297</v>
      </c>
    </row>
    <row r="14" spans="2:3" x14ac:dyDescent="0.35">
      <c r="B14" s="60">
        <v>13</v>
      </c>
      <c r="C14" s="62" t="s">
        <v>298</v>
      </c>
    </row>
    <row r="15" spans="2:3" x14ac:dyDescent="0.35">
      <c r="B15" s="60">
        <v>14</v>
      </c>
      <c r="C15" s="62" t="s">
        <v>288</v>
      </c>
    </row>
    <row r="16" spans="2:3" x14ac:dyDescent="0.35">
      <c r="B16" s="60">
        <v>15</v>
      </c>
      <c r="C16" s="62" t="s">
        <v>300</v>
      </c>
    </row>
    <row r="17" spans="2:3" x14ac:dyDescent="0.35">
      <c r="B17" s="84">
        <v>16</v>
      </c>
      <c r="C17" s="67" t="s">
        <v>301</v>
      </c>
    </row>
    <row r="18" spans="2:3" x14ac:dyDescent="0.35">
      <c r="B18" s="66">
        <v>17</v>
      </c>
      <c r="C18" s="67" t="s">
        <v>302</v>
      </c>
    </row>
    <row r="19" spans="2:3" x14ac:dyDescent="0.35">
      <c r="B19" s="65">
        <v>18</v>
      </c>
      <c r="C19" s="60" t="s">
        <v>303</v>
      </c>
    </row>
    <row r="20" spans="2:3" x14ac:dyDescent="0.35">
      <c r="B20" s="66">
        <v>19</v>
      </c>
      <c r="C20" s="60" t="s">
        <v>339</v>
      </c>
    </row>
    <row r="21" spans="2:3" x14ac:dyDescent="0.35">
      <c r="B21" s="68">
        <v>20</v>
      </c>
      <c r="C21" s="60" t="s">
        <v>304</v>
      </c>
    </row>
    <row r="22" spans="2:3" x14ac:dyDescent="0.35">
      <c r="B22" s="66">
        <v>21</v>
      </c>
      <c r="C22" s="60" t="s">
        <v>303</v>
      </c>
    </row>
    <row r="23" spans="2:3" s="76" customFormat="1" ht="29.25" customHeight="1" x14ac:dyDescent="0.35">
      <c r="B23" s="75">
        <v>22</v>
      </c>
      <c r="C23" s="63" t="s">
        <v>331</v>
      </c>
    </row>
    <row r="24" spans="2:3" s="76" customFormat="1" ht="30.75" customHeight="1" x14ac:dyDescent="0.35">
      <c r="B24" s="77">
        <v>23</v>
      </c>
      <c r="C24" s="63" t="s">
        <v>332</v>
      </c>
    </row>
    <row r="25" spans="2:3" x14ac:dyDescent="0.35">
      <c r="B25" s="68">
        <v>24</v>
      </c>
      <c r="C25" s="60" t="s">
        <v>335</v>
      </c>
    </row>
    <row r="26" spans="2:3" x14ac:dyDescent="0.35">
      <c r="B26" s="66">
        <v>25</v>
      </c>
      <c r="C26" s="60" t="s">
        <v>333</v>
      </c>
    </row>
    <row r="27" spans="2:3" x14ac:dyDescent="0.35">
      <c r="B27" s="77">
        <v>26</v>
      </c>
      <c r="C27" s="68" t="s">
        <v>334</v>
      </c>
    </row>
    <row r="28" spans="2:3" x14ac:dyDescent="0.35">
      <c r="B28" s="78">
        <v>27</v>
      </c>
      <c r="C28" s="60" t="s">
        <v>336</v>
      </c>
    </row>
    <row r="29" spans="2:3" ht="43.5" x14ac:dyDescent="0.35">
      <c r="B29" s="83">
        <v>28</v>
      </c>
      <c r="C29" s="61" t="s">
        <v>337</v>
      </c>
    </row>
    <row r="30" spans="2:3" x14ac:dyDescent="0.35">
      <c r="B30" s="77">
        <v>29</v>
      </c>
      <c r="C30" s="60" t="s">
        <v>338</v>
      </c>
    </row>
    <row r="31" spans="2:3" ht="29" x14ac:dyDescent="0.35">
      <c r="B31" s="85">
        <v>30</v>
      </c>
      <c r="C31" s="61" t="s">
        <v>340</v>
      </c>
    </row>
    <row r="32" spans="2:3" x14ac:dyDescent="0.35">
      <c r="B32" s="77">
        <v>31</v>
      </c>
      <c r="C32" s="60" t="s">
        <v>341</v>
      </c>
    </row>
    <row r="33" spans="2:3" x14ac:dyDescent="0.35">
      <c r="B33" s="77">
        <v>32</v>
      </c>
      <c r="C33" s="60" t="s">
        <v>342</v>
      </c>
    </row>
    <row r="34" spans="2:3" ht="36.75" customHeight="1" x14ac:dyDescent="0.35">
      <c r="B34" s="85">
        <v>33</v>
      </c>
      <c r="C34" s="67" t="s">
        <v>343</v>
      </c>
    </row>
    <row r="35" spans="2:3" x14ac:dyDescent="0.35">
      <c r="B35" s="90">
        <v>34</v>
      </c>
      <c r="C35" s="60" t="s">
        <v>352</v>
      </c>
    </row>
    <row r="36" spans="2:3" ht="58" x14ac:dyDescent="0.35">
      <c r="B36" s="75">
        <v>35</v>
      </c>
      <c r="C36" s="61" t="s">
        <v>355</v>
      </c>
    </row>
    <row r="37" spans="2:3" x14ac:dyDescent="0.35">
      <c r="B37" s="60"/>
      <c r="C37" s="60"/>
    </row>
    <row r="38" spans="2:3" x14ac:dyDescent="0.35">
      <c r="B38" s="60"/>
      <c r="C38" s="60"/>
    </row>
    <row r="39" spans="2:3" x14ac:dyDescent="0.35">
      <c r="B39" s="60"/>
      <c r="C39" s="60"/>
    </row>
    <row r="40" spans="2:3" x14ac:dyDescent="0.35">
      <c r="B40" s="60"/>
      <c r="C40" s="60"/>
    </row>
    <row r="41" spans="2:3" x14ac:dyDescent="0.35">
      <c r="B41" s="60"/>
      <c r="C41" s="60"/>
    </row>
    <row r="42" spans="2:3" x14ac:dyDescent="0.35">
      <c r="B42" s="60"/>
      <c r="C42" s="60"/>
    </row>
    <row r="43" spans="2:3" x14ac:dyDescent="0.35">
      <c r="B43" s="60"/>
      <c r="C43" s="60"/>
    </row>
    <row r="44" spans="2:3" x14ac:dyDescent="0.35">
      <c r="B44" s="60"/>
      <c r="C44" s="6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D17" sqref="D17"/>
    </sheetView>
  </sheetViews>
  <sheetFormatPr defaultColWidth="9.1796875" defaultRowHeight="14.5" x14ac:dyDescent="0.35"/>
  <cols>
    <col min="1" max="1" width="9.1796875" style="55"/>
    <col min="2" max="2" width="12.26953125" style="55" customWidth="1"/>
    <col min="3" max="16384" width="9.1796875" style="55"/>
  </cols>
  <sheetData>
    <row r="2" spans="1:12" x14ac:dyDescent="0.35">
      <c r="B2" s="69" t="s">
        <v>305</v>
      </c>
      <c r="C2" s="249"/>
      <c r="D2" s="249"/>
    </row>
    <row r="3" spans="1:12" x14ac:dyDescent="0.35">
      <c r="D3" s="70"/>
      <c r="E3" s="70"/>
      <c r="F3" s="70"/>
      <c r="G3" s="70"/>
      <c r="H3" s="70"/>
      <c r="I3" s="70"/>
    </row>
    <row r="4" spans="1:12" x14ac:dyDescent="0.35">
      <c r="A4" s="69" t="s">
        <v>66</v>
      </c>
      <c r="B4" s="71" t="s">
        <v>306</v>
      </c>
      <c r="C4" s="250" t="s">
        <v>307</v>
      </c>
      <c r="D4" s="250"/>
      <c r="E4" s="250"/>
      <c r="F4" s="71"/>
      <c r="G4" s="251" t="s">
        <v>308</v>
      </c>
      <c r="H4" s="251"/>
      <c r="I4" s="251"/>
      <c r="J4" s="252" t="s">
        <v>309</v>
      </c>
      <c r="K4" s="252"/>
      <c r="L4" s="252"/>
    </row>
    <row r="5" spans="1:12" x14ac:dyDescent="0.35">
      <c r="A5" s="69"/>
      <c r="B5" s="71"/>
      <c r="C5" s="71" t="s">
        <v>310</v>
      </c>
      <c r="D5" s="71" t="s">
        <v>311</v>
      </c>
      <c r="E5" s="71" t="s">
        <v>312</v>
      </c>
      <c r="F5" s="71"/>
      <c r="G5" s="71" t="s">
        <v>310</v>
      </c>
      <c r="H5" s="71" t="s">
        <v>311</v>
      </c>
      <c r="I5" s="71" t="s">
        <v>312</v>
      </c>
      <c r="J5" s="71" t="s">
        <v>310</v>
      </c>
      <c r="K5" s="71" t="s">
        <v>311</v>
      </c>
      <c r="L5" s="71" t="s">
        <v>312</v>
      </c>
    </row>
    <row r="6" spans="1:12" x14ac:dyDescent="0.35">
      <c r="B6" s="56" t="s">
        <v>313</v>
      </c>
      <c r="C6" s="56"/>
      <c r="D6" s="56"/>
      <c r="E6" s="56">
        <f>C6*D6</f>
        <v>0</v>
      </c>
      <c r="F6" s="56" t="s">
        <v>330</v>
      </c>
      <c r="G6" s="56"/>
      <c r="H6" s="56"/>
      <c r="I6" s="56">
        <f>G6*H6</f>
        <v>0</v>
      </c>
      <c r="J6" s="56"/>
      <c r="K6" s="56"/>
      <c r="L6" s="56">
        <f>J6*K6</f>
        <v>0</v>
      </c>
    </row>
    <row r="7" spans="1:12" x14ac:dyDescent="0.35">
      <c r="B7" s="56"/>
      <c r="C7" s="56"/>
      <c r="D7" s="56"/>
      <c r="E7" s="56">
        <f t="shared" ref="E7:E41" si="0">C7*D7</f>
        <v>0</v>
      </c>
      <c r="F7" s="56" t="s">
        <v>330</v>
      </c>
      <c r="G7" s="56"/>
      <c r="H7" s="56"/>
      <c r="I7" s="56">
        <f t="shared" ref="I7:I35" si="1">G7*H7</f>
        <v>0</v>
      </c>
      <c r="J7" s="56"/>
      <c r="K7" s="56"/>
      <c r="L7" s="56">
        <f t="shared" ref="L7:L35" si="2">J7*K7</f>
        <v>0</v>
      </c>
    </row>
    <row r="8" spans="1:12" x14ac:dyDescent="0.35">
      <c r="B8" s="56"/>
      <c r="C8" s="56"/>
      <c r="D8" s="56"/>
      <c r="E8" s="56">
        <f t="shared" si="0"/>
        <v>0</v>
      </c>
      <c r="F8" s="56"/>
      <c r="G8" s="56"/>
      <c r="H8" s="56"/>
      <c r="I8" s="56">
        <f t="shared" si="1"/>
        <v>0</v>
      </c>
      <c r="J8" s="56"/>
      <c r="K8" s="56"/>
      <c r="L8" s="56">
        <f t="shared" si="2"/>
        <v>0</v>
      </c>
    </row>
    <row r="9" spans="1:12" x14ac:dyDescent="0.35">
      <c r="B9" s="56"/>
      <c r="C9" s="56"/>
      <c r="D9" s="56"/>
      <c r="E9" s="56">
        <f t="shared" si="0"/>
        <v>0</v>
      </c>
      <c r="F9" s="56" t="s">
        <v>314</v>
      </c>
      <c r="G9" s="56"/>
      <c r="H9" s="56"/>
      <c r="I9" s="56">
        <f t="shared" si="1"/>
        <v>0</v>
      </c>
      <c r="J9" s="56"/>
      <c r="K9" s="56"/>
      <c r="L9" s="56">
        <f t="shared" si="2"/>
        <v>0</v>
      </c>
    </row>
    <row r="10" spans="1:12" x14ac:dyDescent="0.35">
      <c r="B10" s="56" t="s">
        <v>315</v>
      </c>
      <c r="C10" s="56"/>
      <c r="D10" s="56"/>
      <c r="E10" s="56">
        <f t="shared" si="0"/>
        <v>0</v>
      </c>
      <c r="F10" s="56" t="s">
        <v>314</v>
      </c>
      <c r="G10" s="56"/>
      <c r="H10" s="56"/>
      <c r="I10" s="56">
        <f t="shared" si="1"/>
        <v>0</v>
      </c>
      <c r="J10" s="56"/>
      <c r="K10" s="56"/>
      <c r="L10" s="56">
        <f t="shared" si="2"/>
        <v>0</v>
      </c>
    </row>
    <row r="11" spans="1:12" x14ac:dyDescent="0.35">
      <c r="B11" s="56"/>
      <c r="C11" s="56"/>
      <c r="D11" s="56"/>
      <c r="E11" s="56">
        <f t="shared" si="0"/>
        <v>0</v>
      </c>
      <c r="F11" s="56" t="s">
        <v>316</v>
      </c>
      <c r="G11" s="56"/>
      <c r="H11" s="56"/>
      <c r="I11" s="56">
        <f t="shared" si="1"/>
        <v>0</v>
      </c>
      <c r="J11" s="56"/>
      <c r="K11" s="56"/>
      <c r="L11" s="56">
        <f t="shared" si="2"/>
        <v>0</v>
      </c>
    </row>
    <row r="12" spans="1:12" x14ac:dyDescent="0.35">
      <c r="B12" s="56"/>
      <c r="C12" s="56"/>
      <c r="D12" s="56"/>
      <c r="E12" s="56">
        <f t="shared" si="0"/>
        <v>0</v>
      </c>
      <c r="F12" s="56"/>
      <c r="G12" s="56"/>
      <c r="H12" s="56"/>
      <c r="I12" s="56">
        <f t="shared" si="1"/>
        <v>0</v>
      </c>
      <c r="J12" s="56"/>
      <c r="K12" s="56"/>
      <c r="L12" s="56">
        <f t="shared" si="2"/>
        <v>0</v>
      </c>
    </row>
    <row r="13" spans="1:12" x14ac:dyDescent="0.35">
      <c r="B13" s="56"/>
      <c r="C13" s="56"/>
      <c r="D13" s="56"/>
      <c r="E13" s="56">
        <f t="shared" si="0"/>
        <v>0</v>
      </c>
      <c r="F13" s="56"/>
      <c r="G13" s="56"/>
      <c r="H13" s="56"/>
      <c r="I13" s="56">
        <f t="shared" si="1"/>
        <v>0</v>
      </c>
      <c r="J13" s="56"/>
      <c r="K13" s="56"/>
      <c r="L13" s="56">
        <f t="shared" si="2"/>
        <v>0</v>
      </c>
    </row>
    <row r="14" spans="1:12" x14ac:dyDescent="0.35">
      <c r="B14" s="56" t="s">
        <v>317</v>
      </c>
      <c r="C14" s="56"/>
      <c r="D14" s="56"/>
      <c r="E14" s="56">
        <f t="shared" si="0"/>
        <v>0</v>
      </c>
      <c r="F14" s="56" t="s">
        <v>314</v>
      </c>
      <c r="G14" s="56"/>
      <c r="H14" s="56"/>
      <c r="I14" s="56">
        <f t="shared" si="1"/>
        <v>0</v>
      </c>
      <c r="J14" s="56"/>
      <c r="K14" s="56"/>
      <c r="L14" s="56">
        <f t="shared" si="2"/>
        <v>0</v>
      </c>
    </row>
    <row r="15" spans="1:12" x14ac:dyDescent="0.35">
      <c r="B15" s="56"/>
      <c r="C15" s="56"/>
      <c r="D15" s="56"/>
      <c r="E15" s="56">
        <f t="shared" si="0"/>
        <v>0</v>
      </c>
      <c r="F15" s="56" t="s">
        <v>316</v>
      </c>
      <c r="G15" s="56"/>
      <c r="H15" s="56"/>
      <c r="I15" s="56">
        <f t="shared" si="1"/>
        <v>0</v>
      </c>
      <c r="J15" s="56"/>
      <c r="K15" s="56"/>
      <c r="L15" s="56">
        <f t="shared" si="2"/>
        <v>0</v>
      </c>
    </row>
    <row r="16" spans="1:12" x14ac:dyDescent="0.35">
      <c r="B16" s="56"/>
      <c r="C16" s="56"/>
      <c r="D16" s="56"/>
      <c r="E16" s="56">
        <f t="shared" si="0"/>
        <v>0</v>
      </c>
      <c r="F16" s="56"/>
      <c r="G16" s="56"/>
      <c r="H16" s="56"/>
      <c r="I16" s="56">
        <f t="shared" si="1"/>
        <v>0</v>
      </c>
      <c r="J16" s="56"/>
      <c r="K16" s="56"/>
      <c r="L16" s="56">
        <f t="shared" si="2"/>
        <v>0</v>
      </c>
    </row>
    <row r="17" spans="2:12" x14ac:dyDescent="0.35">
      <c r="B17" s="56"/>
      <c r="C17" s="56"/>
      <c r="D17" s="56"/>
      <c r="E17" s="56">
        <f t="shared" si="0"/>
        <v>0</v>
      </c>
      <c r="F17" s="56"/>
      <c r="G17" s="56"/>
      <c r="H17" s="56"/>
      <c r="I17" s="56">
        <f t="shared" si="1"/>
        <v>0</v>
      </c>
      <c r="J17" s="56"/>
      <c r="K17" s="56"/>
      <c r="L17" s="56">
        <f t="shared" si="2"/>
        <v>0</v>
      </c>
    </row>
    <row r="18" spans="2:12" x14ac:dyDescent="0.35">
      <c r="B18" s="56" t="s">
        <v>318</v>
      </c>
      <c r="C18" s="56"/>
      <c r="D18" s="56"/>
      <c r="E18" s="56">
        <f t="shared" si="0"/>
        <v>0</v>
      </c>
      <c r="F18" s="56" t="s">
        <v>314</v>
      </c>
      <c r="G18" s="56"/>
      <c r="H18" s="56"/>
      <c r="I18" s="56">
        <f t="shared" si="1"/>
        <v>0</v>
      </c>
      <c r="J18" s="56"/>
      <c r="K18" s="56"/>
      <c r="L18" s="56">
        <f t="shared" si="2"/>
        <v>0</v>
      </c>
    </row>
    <row r="19" spans="2:12" x14ac:dyDescent="0.35">
      <c r="B19" s="56"/>
      <c r="C19" s="56"/>
      <c r="D19" s="56"/>
      <c r="E19" s="56">
        <f t="shared" si="0"/>
        <v>0</v>
      </c>
      <c r="F19" s="56" t="s">
        <v>316</v>
      </c>
      <c r="G19" s="56"/>
      <c r="H19" s="56"/>
      <c r="I19" s="56">
        <f t="shared" si="1"/>
        <v>0</v>
      </c>
      <c r="J19" s="56"/>
      <c r="K19" s="56"/>
      <c r="L19" s="56">
        <f t="shared" si="2"/>
        <v>0</v>
      </c>
    </row>
    <row r="20" spans="2:12" x14ac:dyDescent="0.35">
      <c r="B20" s="56"/>
      <c r="C20" s="56"/>
      <c r="D20" s="56"/>
      <c r="E20" s="56">
        <f t="shared" si="0"/>
        <v>0</v>
      </c>
      <c r="F20" s="56"/>
      <c r="G20" s="56"/>
      <c r="H20" s="56"/>
      <c r="I20" s="56">
        <f t="shared" si="1"/>
        <v>0</v>
      </c>
      <c r="J20" s="56"/>
      <c r="K20" s="56"/>
      <c r="L20" s="56">
        <f t="shared" si="2"/>
        <v>0</v>
      </c>
    </row>
    <row r="21" spans="2:12" x14ac:dyDescent="0.35">
      <c r="B21" s="56" t="s">
        <v>319</v>
      </c>
      <c r="C21" s="56"/>
      <c r="D21" s="56"/>
      <c r="E21" s="56">
        <f t="shared" si="0"/>
        <v>0</v>
      </c>
      <c r="F21" s="56" t="s">
        <v>314</v>
      </c>
      <c r="G21" s="56"/>
      <c r="H21" s="56"/>
      <c r="I21" s="56">
        <f t="shared" si="1"/>
        <v>0</v>
      </c>
      <c r="J21" s="56"/>
      <c r="K21" s="56"/>
      <c r="L21" s="56">
        <f t="shared" si="2"/>
        <v>0</v>
      </c>
    </row>
    <row r="22" spans="2:12" x14ac:dyDescent="0.35">
      <c r="B22" s="56"/>
      <c r="C22" s="56"/>
      <c r="D22" s="56"/>
      <c r="E22" s="56">
        <f t="shared" si="0"/>
        <v>0</v>
      </c>
      <c r="F22" s="56" t="s">
        <v>316</v>
      </c>
      <c r="G22" s="56"/>
      <c r="H22" s="56"/>
      <c r="I22" s="56">
        <f t="shared" si="1"/>
        <v>0</v>
      </c>
      <c r="J22" s="56"/>
      <c r="K22" s="56"/>
      <c r="L22" s="56">
        <f t="shared" si="2"/>
        <v>0</v>
      </c>
    </row>
    <row r="23" spans="2:12" x14ac:dyDescent="0.35">
      <c r="B23" s="56"/>
      <c r="C23" s="56"/>
      <c r="D23" s="56"/>
      <c r="E23" s="56">
        <f t="shared" si="0"/>
        <v>0</v>
      </c>
      <c r="F23" s="56"/>
      <c r="G23" s="56"/>
      <c r="H23" s="56"/>
      <c r="I23" s="56">
        <f t="shared" si="1"/>
        <v>0</v>
      </c>
      <c r="J23" s="56"/>
      <c r="K23" s="56"/>
      <c r="L23" s="56">
        <f t="shared" si="2"/>
        <v>0</v>
      </c>
    </row>
    <row r="24" spans="2:12" x14ac:dyDescent="0.35">
      <c r="B24" s="56" t="s">
        <v>320</v>
      </c>
      <c r="C24" s="56"/>
      <c r="D24" s="56"/>
      <c r="E24" s="56">
        <f t="shared" si="0"/>
        <v>0</v>
      </c>
      <c r="F24" s="56" t="s">
        <v>321</v>
      </c>
      <c r="G24" s="56"/>
      <c r="H24" s="56"/>
      <c r="I24" s="56">
        <f t="shared" si="1"/>
        <v>0</v>
      </c>
      <c r="J24" s="56"/>
      <c r="K24" s="56"/>
      <c r="L24" s="56">
        <f t="shared" si="2"/>
        <v>0</v>
      </c>
    </row>
    <row r="25" spans="2:12" x14ac:dyDescent="0.35">
      <c r="B25" s="56"/>
      <c r="C25" s="56"/>
      <c r="D25" s="56"/>
      <c r="E25" s="56">
        <f>C25*D25</f>
        <v>0</v>
      </c>
      <c r="F25" s="56" t="s">
        <v>321</v>
      </c>
      <c r="G25" s="56"/>
      <c r="H25" s="56"/>
      <c r="I25" s="56">
        <f>G25*H25</f>
        <v>0</v>
      </c>
      <c r="J25" s="56"/>
      <c r="K25" s="56"/>
      <c r="L25" s="56">
        <f>J25*K25</f>
        <v>0</v>
      </c>
    </row>
    <row r="26" spans="2:12" x14ac:dyDescent="0.35">
      <c r="B26" s="56"/>
      <c r="C26" s="56"/>
      <c r="D26" s="56"/>
      <c r="E26" s="56">
        <f>C26*D26</f>
        <v>0</v>
      </c>
      <c r="F26" s="56" t="s">
        <v>321</v>
      </c>
      <c r="G26" s="56"/>
      <c r="H26" s="56"/>
      <c r="I26" s="56">
        <f>G26*H26</f>
        <v>0</v>
      </c>
      <c r="J26" s="56"/>
      <c r="K26" s="56"/>
      <c r="L26" s="56">
        <f>J26*K26</f>
        <v>0</v>
      </c>
    </row>
    <row r="27" spans="2:12" x14ac:dyDescent="0.35">
      <c r="B27" s="56"/>
      <c r="C27" s="56"/>
      <c r="D27" s="56"/>
      <c r="E27" s="56">
        <f>C27*D27</f>
        <v>0</v>
      </c>
      <c r="F27" s="56" t="s">
        <v>321</v>
      </c>
      <c r="G27" s="56"/>
      <c r="H27" s="56"/>
      <c r="I27" s="56">
        <f>G27*H27</f>
        <v>0</v>
      </c>
      <c r="J27" s="56"/>
      <c r="K27" s="56"/>
      <c r="L27" s="56">
        <f>J27*K27</f>
        <v>0</v>
      </c>
    </row>
    <row r="28" spans="2:12" x14ac:dyDescent="0.35">
      <c r="B28" s="56" t="s">
        <v>322</v>
      </c>
      <c r="C28" s="56"/>
      <c r="D28" s="56"/>
      <c r="E28" s="56">
        <f t="shared" si="0"/>
        <v>0</v>
      </c>
      <c r="F28" s="56" t="s">
        <v>321</v>
      </c>
      <c r="G28" s="56"/>
      <c r="H28" s="56"/>
      <c r="I28" s="56">
        <f t="shared" si="1"/>
        <v>0</v>
      </c>
      <c r="J28" s="56"/>
      <c r="K28" s="56"/>
      <c r="L28" s="56">
        <f t="shared" si="2"/>
        <v>0</v>
      </c>
    </row>
    <row r="29" spans="2:12" x14ac:dyDescent="0.35">
      <c r="B29" s="56" t="s">
        <v>323</v>
      </c>
      <c r="C29" s="56"/>
      <c r="D29" s="56"/>
      <c r="E29" s="56">
        <f t="shared" si="0"/>
        <v>0</v>
      </c>
      <c r="F29" s="56" t="s">
        <v>321</v>
      </c>
      <c r="G29" s="56"/>
      <c r="H29" s="56"/>
      <c r="I29" s="56">
        <f t="shared" si="1"/>
        <v>0</v>
      </c>
      <c r="J29" s="56"/>
      <c r="K29" s="56"/>
      <c r="L29" s="56">
        <f t="shared" si="2"/>
        <v>0</v>
      </c>
    </row>
    <row r="30" spans="2:12" x14ac:dyDescent="0.35">
      <c r="B30" s="56" t="s">
        <v>327</v>
      </c>
      <c r="C30" s="56"/>
      <c r="D30" s="56"/>
      <c r="E30" s="56">
        <f t="shared" si="0"/>
        <v>0</v>
      </c>
      <c r="F30" s="56"/>
      <c r="G30" s="56"/>
      <c r="H30" s="56"/>
      <c r="I30" s="56">
        <f t="shared" si="1"/>
        <v>0</v>
      </c>
      <c r="J30" s="56"/>
      <c r="K30" s="56"/>
      <c r="L30" s="56">
        <f t="shared" si="2"/>
        <v>0</v>
      </c>
    </row>
    <row r="31" spans="2:12" x14ac:dyDescent="0.35">
      <c r="B31" s="56"/>
      <c r="C31" s="56"/>
      <c r="D31" s="56"/>
      <c r="E31" s="56">
        <f>C31*D31</f>
        <v>0</v>
      </c>
      <c r="F31" s="56"/>
      <c r="G31" s="56"/>
      <c r="H31" s="56"/>
      <c r="I31" s="56">
        <f>G31*H31</f>
        <v>0</v>
      </c>
      <c r="J31" s="56"/>
      <c r="K31" s="56"/>
      <c r="L31" s="56">
        <f>J31*K31</f>
        <v>0</v>
      </c>
    </row>
    <row r="32" spans="2:12" x14ac:dyDescent="0.35">
      <c r="B32" s="56"/>
      <c r="C32" s="56"/>
      <c r="D32" s="56"/>
      <c r="E32" s="56">
        <f>C32*D32</f>
        <v>0</v>
      </c>
      <c r="F32" s="56"/>
      <c r="G32" s="56"/>
      <c r="H32" s="56"/>
      <c r="I32" s="56">
        <f>G32*H32</f>
        <v>0</v>
      </c>
      <c r="J32" s="56"/>
      <c r="K32" s="56"/>
      <c r="L32" s="56">
        <f>J32*K32</f>
        <v>0</v>
      </c>
    </row>
    <row r="33" spans="2:12" x14ac:dyDescent="0.35">
      <c r="B33" s="56" t="s">
        <v>324</v>
      </c>
      <c r="C33" s="56"/>
      <c r="D33" s="56"/>
      <c r="E33" s="56">
        <f t="shared" si="0"/>
        <v>0</v>
      </c>
      <c r="F33" s="56"/>
      <c r="G33" s="56"/>
      <c r="H33" s="56"/>
      <c r="I33" s="56">
        <f t="shared" si="1"/>
        <v>0</v>
      </c>
      <c r="J33" s="56"/>
      <c r="K33" s="56"/>
      <c r="L33" s="56">
        <f t="shared" si="2"/>
        <v>0</v>
      </c>
    </row>
    <row r="34" spans="2:12" x14ac:dyDescent="0.35">
      <c r="B34" s="56" t="s">
        <v>328</v>
      </c>
      <c r="C34" s="56"/>
      <c r="D34" s="56"/>
      <c r="E34" s="56">
        <f t="shared" si="0"/>
        <v>0</v>
      </c>
      <c r="F34" s="56"/>
      <c r="G34" s="56"/>
      <c r="H34" s="56"/>
      <c r="I34" s="56">
        <f t="shared" si="1"/>
        <v>0</v>
      </c>
      <c r="J34" s="56"/>
      <c r="K34" s="56"/>
      <c r="L34" s="56">
        <f t="shared" si="2"/>
        <v>0</v>
      </c>
    </row>
    <row r="35" spans="2:12" x14ac:dyDescent="0.35">
      <c r="B35" s="56" t="s">
        <v>325</v>
      </c>
      <c r="C35" s="56"/>
      <c r="D35" s="56"/>
      <c r="E35" s="56">
        <f t="shared" si="0"/>
        <v>0</v>
      </c>
      <c r="F35" s="56"/>
      <c r="G35" s="56"/>
      <c r="H35" s="56"/>
      <c r="I35" s="56">
        <f t="shared" si="1"/>
        <v>0</v>
      </c>
      <c r="J35" s="56"/>
      <c r="K35" s="56"/>
      <c r="L35" s="56">
        <f t="shared" si="2"/>
        <v>0</v>
      </c>
    </row>
    <row r="36" spans="2:12" x14ac:dyDescent="0.35">
      <c r="B36" s="56" t="s">
        <v>326</v>
      </c>
      <c r="C36" s="56"/>
      <c r="D36" s="56"/>
      <c r="E36" s="56">
        <f t="shared" si="0"/>
        <v>0</v>
      </c>
      <c r="F36" s="56"/>
      <c r="G36" s="56"/>
      <c r="H36" s="56"/>
      <c r="I36" s="56">
        <f t="shared" ref="I36:I41" si="3">G36*H36</f>
        <v>0</v>
      </c>
      <c r="J36" s="56"/>
      <c r="K36" s="56"/>
      <c r="L36" s="56">
        <f t="shared" ref="L36:L41" si="4">J36*K36</f>
        <v>0</v>
      </c>
    </row>
    <row r="37" spans="2:12" x14ac:dyDescent="0.35">
      <c r="B37" s="56"/>
      <c r="C37" s="56"/>
      <c r="D37" s="56"/>
      <c r="E37" s="56">
        <f>C37*D37</f>
        <v>0</v>
      </c>
      <c r="F37" s="56"/>
      <c r="G37" s="56"/>
      <c r="H37" s="56"/>
      <c r="I37" s="56">
        <f t="shared" si="3"/>
        <v>0</v>
      </c>
      <c r="J37" s="56"/>
      <c r="K37" s="56"/>
      <c r="L37" s="56">
        <f t="shared" si="4"/>
        <v>0</v>
      </c>
    </row>
    <row r="38" spans="2:12" x14ac:dyDescent="0.35">
      <c r="B38" s="56" t="s">
        <v>329</v>
      </c>
      <c r="C38" s="56"/>
      <c r="D38" s="56"/>
      <c r="E38" s="56">
        <f>C38*D38</f>
        <v>0</v>
      </c>
      <c r="F38" s="56"/>
      <c r="G38" s="56"/>
      <c r="H38" s="56"/>
      <c r="I38" s="56">
        <f t="shared" si="3"/>
        <v>0</v>
      </c>
      <c r="J38" s="56"/>
      <c r="K38" s="56"/>
      <c r="L38" s="56">
        <f t="shared" si="4"/>
        <v>0</v>
      </c>
    </row>
    <row r="39" spans="2:12" x14ac:dyDescent="0.35">
      <c r="B39" s="56"/>
      <c r="C39" s="56"/>
      <c r="D39" s="56"/>
      <c r="E39" s="56">
        <f t="shared" si="0"/>
        <v>0</v>
      </c>
      <c r="F39" s="56"/>
      <c r="G39" s="56"/>
      <c r="H39" s="56"/>
      <c r="I39" s="56">
        <f t="shared" si="3"/>
        <v>0</v>
      </c>
      <c r="J39" s="56"/>
      <c r="K39" s="56"/>
      <c r="L39" s="56">
        <f t="shared" si="4"/>
        <v>0</v>
      </c>
    </row>
    <row r="40" spans="2:12" x14ac:dyDescent="0.35">
      <c r="B40" s="56"/>
      <c r="C40" s="56"/>
      <c r="D40" s="56"/>
      <c r="E40" s="56">
        <f t="shared" si="0"/>
        <v>0</v>
      </c>
      <c r="F40" s="56"/>
      <c r="G40" s="56"/>
      <c r="H40" s="56"/>
      <c r="I40" s="56">
        <f t="shared" si="3"/>
        <v>0</v>
      </c>
      <c r="J40" s="56"/>
      <c r="K40" s="56"/>
      <c r="L40" s="56">
        <f t="shared" si="4"/>
        <v>0</v>
      </c>
    </row>
    <row r="41" spans="2:12" x14ac:dyDescent="0.35">
      <c r="B41" s="56"/>
      <c r="C41" s="56"/>
      <c r="D41" s="56"/>
      <c r="E41" s="56">
        <f t="shared" si="0"/>
        <v>0</v>
      </c>
      <c r="F41" s="56"/>
      <c r="G41" s="56"/>
      <c r="H41" s="56"/>
      <c r="I41" s="56">
        <f t="shared" si="3"/>
        <v>0</v>
      </c>
      <c r="J41" s="56"/>
      <c r="K41" s="56"/>
      <c r="L41" s="56">
        <f t="shared" si="4"/>
        <v>0</v>
      </c>
    </row>
    <row r="42" spans="2:12" x14ac:dyDescent="0.35">
      <c r="B42" s="56" t="s">
        <v>151</v>
      </c>
      <c r="C42" s="56"/>
      <c r="D42" s="56">
        <f>E42*10.764</f>
        <v>0</v>
      </c>
      <c r="E42" s="74">
        <f>SUM(E6:E41)</f>
        <v>0</v>
      </c>
      <c r="F42" s="56"/>
      <c r="G42" s="56"/>
      <c r="H42" s="56">
        <f>I42*10.764</f>
        <v>0</v>
      </c>
      <c r="I42" s="73">
        <f>SUM(I6:I41)</f>
        <v>0</v>
      </c>
      <c r="J42" s="56"/>
      <c r="K42" s="56">
        <f>L42*10.764</f>
        <v>0</v>
      </c>
      <c r="L42" s="72">
        <f>SUM(L6:L41)</f>
        <v>0</v>
      </c>
    </row>
    <row r="44" spans="2:12" x14ac:dyDescent="0.35">
      <c r="D44" s="55">
        <f>D42+H42</f>
        <v>0</v>
      </c>
      <c r="E44" s="5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2025-07-31T09:38:12Z</cp:lastPrinted>
  <dcterms:created xsi:type="dcterms:W3CDTF">2019-07-16T09:29:46Z</dcterms:created>
  <dcterms:modified xsi:type="dcterms:W3CDTF">2025-07-31T09:39:35Z</dcterms:modified>
</cp:coreProperties>
</file>