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APF\25-26\July 2025\Jio\Gaurav\Siddha Sky Phase 5\"/>
    </mc:Choice>
  </mc:AlternateContent>
  <bookViews>
    <workbookView xWindow="-120" yWindow="-120" windowWidth="20730" windowHeight="11160"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Report!$A$1:$H$345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93" i="1" l="1"/>
  <c r="L165" i="1"/>
  <c r="L164" i="1"/>
  <c r="L176" i="1" l="1"/>
  <c r="E184" i="1"/>
  <c r="D184" i="1"/>
  <c r="E180" i="1"/>
  <c r="D180" i="1"/>
  <c r="E179" i="1"/>
  <c r="D179" i="1"/>
  <c r="E178" i="1"/>
  <c r="D178" i="1"/>
  <c r="E177" i="1"/>
  <c r="D177" i="1"/>
  <c r="E170" i="1"/>
  <c r="E169" i="1"/>
  <c r="D171" i="1"/>
  <c r="D170" i="1"/>
  <c r="D169" i="1"/>
  <c r="D168" i="1"/>
  <c r="E171" i="1"/>
  <c r="E168" i="1"/>
  <c r="E175" i="1"/>
  <c r="D175" i="1"/>
  <c r="E174" i="1"/>
  <c r="D174" i="1"/>
  <c r="E173" i="1"/>
  <c r="D173" i="1"/>
  <c r="E172" i="1"/>
  <c r="D172" i="1"/>
  <c r="E165" i="1"/>
  <c r="E164" i="1"/>
  <c r="D166" i="1"/>
  <c r="D165" i="1"/>
  <c r="D164" i="1"/>
  <c r="D163" i="1"/>
  <c r="E166" i="1"/>
  <c r="E163" i="1"/>
  <c r="I163" i="1"/>
  <c r="K163" i="1"/>
  <c r="I166" i="1" l="1"/>
  <c r="I164" i="1"/>
  <c r="I165" i="1"/>
  <c r="I167" i="1"/>
  <c r="F170" i="1"/>
  <c r="H170" i="1" s="1"/>
  <c r="F169" i="1"/>
  <c r="H169" i="1" s="1"/>
  <c r="L169" i="1" s="1"/>
  <c r="F184" i="1"/>
  <c r="H184" i="1" s="1"/>
  <c r="I184" i="1" s="1"/>
  <c r="F171" i="1"/>
  <c r="H171" i="1" s="1"/>
  <c r="L171" i="1" s="1"/>
  <c r="F168" i="1"/>
  <c r="H168" i="1" s="1"/>
  <c r="L168" i="1" s="1"/>
  <c r="J158" i="1"/>
  <c r="F175" i="1"/>
  <c r="H175" i="1" s="1"/>
  <c r="L175" i="1" s="1"/>
  <c r="F174" i="1"/>
  <c r="H174" i="1" s="1"/>
  <c r="F172" i="1"/>
  <c r="H172" i="1" s="1"/>
  <c r="I162" i="1"/>
  <c r="F165" i="1"/>
  <c r="H165" i="1" s="1"/>
  <c r="J163" i="1" s="1"/>
  <c r="F164" i="1"/>
  <c r="H164" i="1" s="1"/>
  <c r="J162" i="1" s="1"/>
  <c r="F163" i="1"/>
  <c r="H163" i="1" s="1"/>
  <c r="J161" i="1" s="1"/>
  <c r="F166" i="1"/>
  <c r="H166" i="1" s="1"/>
  <c r="J164" i="1" s="1"/>
  <c r="F173" i="1"/>
  <c r="H173" i="1" s="1"/>
  <c r="L173" i="1" s="1"/>
  <c r="A169" i="1"/>
  <c r="A170" i="1" s="1"/>
  <c r="A171" i="1" s="1"/>
  <c r="A172" i="1" s="1"/>
  <c r="A173" i="1" s="1"/>
  <c r="A174" i="1" s="1"/>
  <c r="A175" i="1" s="1"/>
  <c r="A160" i="1"/>
  <c r="A161" i="1" s="1"/>
  <c r="A162" i="1" s="1"/>
  <c r="A163" i="1" s="1"/>
  <c r="A164" i="1" s="1"/>
  <c r="A165" i="1" s="1"/>
  <c r="A166" i="1" s="1"/>
  <c r="J173" i="1" l="1"/>
  <c r="L174" i="1"/>
  <c r="L172" i="1"/>
  <c r="I172" i="1"/>
  <c r="K170" i="1"/>
  <c r="L170" i="1"/>
  <c r="J170" i="1"/>
  <c r="C138" i="1"/>
  <c r="C76" i="1"/>
  <c r="C140" i="1" l="1"/>
  <c r="C139" i="1"/>
  <c r="F146" i="1"/>
  <c r="B38" i="6"/>
  <c r="B39" i="6" s="1"/>
  <c r="B40" i="6" s="1"/>
  <c r="B41" i="6" s="1"/>
  <c r="B42" i="6" s="1"/>
  <c r="B43" i="6" s="1"/>
  <c r="B44" i="6" s="1"/>
  <c r="B45" i="6" s="1"/>
  <c r="B46" i="6" s="1"/>
  <c r="B47" i="6" s="1"/>
  <c r="B48" i="6" s="1"/>
  <c r="B49" i="6" s="1"/>
  <c r="B50" i="6" s="1"/>
  <c r="B51" i="6" s="1"/>
  <c r="B52" i="6" s="1"/>
  <c r="B53" i="6" s="1"/>
  <c r="H146" i="1" l="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14" i="1"/>
  <c r="B188" i="1"/>
  <c r="B187" i="1"/>
  <c r="F180" i="1"/>
  <c r="H180" i="1" s="1"/>
  <c r="F179" i="1"/>
  <c r="H179" i="1" s="1"/>
  <c r="F178" i="1"/>
  <c r="H178" i="1" s="1"/>
  <c r="A178" i="1"/>
  <c r="A179" i="1" s="1"/>
  <c r="A180" i="1" s="1"/>
  <c r="A181" i="1" s="1"/>
  <c r="A182" i="1" s="1"/>
  <c r="A183" i="1" s="1"/>
  <c r="A184" i="1" s="1"/>
  <c r="F177" i="1"/>
  <c r="F149" i="1"/>
  <c r="H149" i="1" s="1"/>
  <c r="F148" i="1"/>
  <c r="H148" i="1" s="1"/>
  <c r="F147" i="1"/>
  <c r="H147" i="1" s="1"/>
  <c r="A147" i="1"/>
  <c r="A148" i="1" s="1"/>
  <c r="A149" i="1" s="1"/>
  <c r="F130" i="1"/>
  <c r="C104" i="1"/>
  <c r="C90" i="1"/>
  <c r="B77" i="1"/>
  <c r="D70" i="1"/>
  <c r="G56" i="1"/>
  <c r="C56" i="1"/>
  <c r="K54" i="1"/>
  <c r="C54" i="1"/>
  <c r="G51" i="1"/>
  <c r="C51" i="1"/>
  <c r="E44" i="1"/>
  <c r="E45" i="1" s="1"/>
  <c r="S33" i="1"/>
  <c r="E31" i="1"/>
  <c r="E28" i="1"/>
  <c r="E26" i="1"/>
  <c r="C16" i="1"/>
  <c r="I15" i="1"/>
  <c r="Z13" i="1"/>
  <c r="E8" i="1"/>
  <c r="E3" i="1"/>
  <c r="B200" i="1" s="1"/>
  <c r="H105" i="1"/>
  <c r="H91" i="1"/>
  <c r="H177" i="1" l="1"/>
  <c r="E138" i="1"/>
  <c r="E42" i="7"/>
  <c r="J85" i="1"/>
  <c r="B105" i="1"/>
  <c r="J113" i="1" s="1"/>
  <c r="I42" i="7"/>
  <c r="H42" i="7" s="1"/>
  <c r="L42" i="7"/>
  <c r="K42" i="7" s="1"/>
  <c r="J90" i="1"/>
  <c r="J92" i="1" s="1"/>
  <c r="D99" i="1"/>
  <c r="D98" i="1"/>
  <c r="D103" i="1"/>
  <c r="D97" i="1"/>
  <c r="J93" i="1"/>
  <c r="D102" i="1"/>
  <c r="J95" i="1"/>
  <c r="C94" i="1" s="1"/>
  <c r="D96" i="1"/>
  <c r="D101" i="1"/>
  <c r="J94" i="1"/>
  <c r="D100" i="1"/>
  <c r="D114" i="1"/>
  <c r="J108" i="1"/>
  <c r="J104" i="1"/>
  <c r="J106" i="1" s="1"/>
  <c r="J107" i="1"/>
  <c r="D112" i="1"/>
  <c r="D117" i="1"/>
  <c r="D111" i="1"/>
  <c r="D116" i="1"/>
  <c r="D110" i="1"/>
  <c r="D113" i="1"/>
  <c r="J109" i="1"/>
  <c r="C108" i="1" s="1"/>
  <c r="D108" i="1" s="1"/>
  <c r="D115" i="1"/>
  <c r="D42" i="7"/>
  <c r="L54" i="1"/>
  <c r="B91" i="1"/>
  <c r="J86" i="1"/>
  <c r="J87" i="1"/>
  <c r="I52" i="1"/>
  <c r="H77" i="1"/>
  <c r="G138" i="1" l="1"/>
  <c r="I177" i="1"/>
  <c r="E140" i="1"/>
  <c r="E139" i="1"/>
  <c r="G140" i="1"/>
  <c r="G139" i="1"/>
  <c r="D88" i="1"/>
  <c r="D82" i="1"/>
  <c r="J82" i="1"/>
  <c r="J83" i="1" s="1"/>
  <c r="J81" i="1"/>
  <c r="C80" i="1" s="1"/>
  <c r="D80" i="1" s="1"/>
  <c r="D87" i="1"/>
  <c r="D86" i="1"/>
  <c r="J76" i="1"/>
  <c r="J78" i="1" s="1"/>
  <c r="D85" i="1"/>
  <c r="D89" i="1"/>
  <c r="D83" i="1"/>
  <c r="J80" i="1"/>
  <c r="J79" i="1"/>
  <c r="D84" i="1"/>
  <c r="J115" i="1"/>
  <c r="J114" i="1"/>
  <c r="D44" i="7"/>
  <c r="E44" i="7"/>
  <c r="J112" i="1"/>
  <c r="J110" i="1"/>
  <c r="J111" i="1" s="1"/>
  <c r="J116" i="1" s="1"/>
  <c r="J117" i="1" s="1"/>
  <c r="C109" i="1" s="1"/>
  <c r="G108" i="1" s="1"/>
  <c r="D94" i="1"/>
  <c r="J99" i="1"/>
  <c r="J96" i="1"/>
  <c r="J97" i="1" s="1"/>
  <c r="J102" i="1" s="1"/>
  <c r="J103" i="1" s="1"/>
  <c r="C95" i="1" s="1"/>
  <c r="J101" i="1"/>
  <c r="J98" i="1"/>
  <c r="J100" i="1"/>
  <c r="J88" i="1" l="1"/>
  <c r="J84" i="1"/>
  <c r="J89" i="1" s="1"/>
  <c r="C81" i="1" s="1"/>
  <c r="D109" i="1"/>
  <c r="I105" i="1" s="1"/>
  <c r="I106" i="1" s="1"/>
  <c r="J105" i="1"/>
  <c r="E108" i="1"/>
  <c r="E94" i="1"/>
  <c r="D95" i="1"/>
  <c r="I91" i="1" s="1"/>
  <c r="J91" i="1"/>
  <c r="G94" i="1"/>
  <c r="E80" i="1" l="1"/>
  <c r="G80" i="1"/>
  <c r="D74" i="1" s="1"/>
  <c r="D75" i="1" s="1"/>
  <c r="D81" i="1"/>
  <c r="I77" i="1" s="1"/>
  <c r="I78" i="1" s="1"/>
  <c r="J77" i="1"/>
  <c r="I104" i="1"/>
  <c r="C106" i="1" s="1"/>
  <c r="I92" i="1"/>
  <c r="I90" i="1" s="1"/>
  <c r="C92" i="1" s="1"/>
  <c r="I76" i="1" l="1"/>
  <c r="C78" i="1" s="1"/>
  <c r="F75" i="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5" authorId="1" shapeId="0">
      <text>
        <r>
          <rPr>
            <b/>
            <sz val="9"/>
            <color indexed="81"/>
            <rFont val="Tahoma"/>
            <family val="2"/>
          </rPr>
          <t>SACHIN:</t>
        </r>
        <r>
          <rPr>
            <sz val="9"/>
            <color indexed="81"/>
            <rFont val="Tahoma"/>
            <family val="2"/>
          </rPr>
          <t xml:space="preserve">
Floor with height</t>
        </r>
      </text>
    </comment>
    <comment ref="C57" authorId="1" shapeId="0">
      <text>
        <r>
          <rPr>
            <b/>
            <sz val="9"/>
            <color indexed="81"/>
            <rFont val="Tahoma"/>
            <family val="2"/>
          </rPr>
          <t>SACHIN:</t>
        </r>
        <r>
          <rPr>
            <sz val="9"/>
            <color indexed="81"/>
            <rFont val="Tahoma"/>
            <family val="2"/>
          </rPr>
          <t xml:space="preserve">
Survey Nos.</t>
        </r>
      </text>
    </comment>
    <comment ref="D63"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3"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52"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<sst xmlns="http://schemas.openxmlformats.org/spreadsheetml/2006/main" count="728" uniqueCount="447">
  <si>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</si>
  <si>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</si>
  <si>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</si>
  <si>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</si>
  <si>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</si>
  <si>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</si>
  <si>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</si>
  <si>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</si>
  <si>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</si>
  <si>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</si>
  <si>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</si>
  <si>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</si>
  <si>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</si>
  <si>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</si>
  <si>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</si>
  <si>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</si>
  <si>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</si>
  <si>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</si>
  <si>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</si>
  <si>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</si>
  <si>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</si>
  <si>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</si>
  <si>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</si>
  <si>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</si>
  <si>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</si>
  <si>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</si>
  <si>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</si>
  <si>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</si>
  <si>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</si>
  <si>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</si>
  <si>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</si>
  <si>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</si>
  <si>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</si>
  <si>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</si>
  <si>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</si>
  <si>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</si>
  <si>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</si>
  <si>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</si>
  <si>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</si>
  <si>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</si>
  <si>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</si>
  <si>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</si>
  <si>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</si>
  <si>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</si>
  <si>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</si>
  <si>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</si>
  <si>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</si>
  <si>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</si>
  <si>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</si>
  <si>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</si>
  <si>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</si>
  <si>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</si>
  <si>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</si>
  <si>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</si>
  <si>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</si>
  <si>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</si>
  <si>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</si>
  <si>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</si>
  <si>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</si>
  <si>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</si>
  <si>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</si>
  <si>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</si>
  <si>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</si>
  <si>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</si>
  <si>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</si>
  <si>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</si>
  <si>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</si>
  <si>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</si>
  <si>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</si>
  <si>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</si>
  <si>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</si>
  <si>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</si>
  <si>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</si>
  <si>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</si>
  <si>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</si>
  <si>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</si>
  <si>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</si>
  <si>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</si>
  <si>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</si>
  <si>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</si>
  <si>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</si>
  <si>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</si>
  <si>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</si>
  <si>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</si>
  <si>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</si>
  <si>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</si>
  <si>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</si>
  <si>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</si>
  <si>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</si>
  <si>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</si>
  <si>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</si>
  <si>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</si>
  <si>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</si>
  <si>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</si>
  <si>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</si>
  <si>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</si>
  <si>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</si>
  <si>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</si>
  <si>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</si>
  <si>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</si>
  <si>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</si>
  <si>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</si>
  <si>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</si>
  <si>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</si>
  <si>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</si>
  <si>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</si>
  <si>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</si>
  <si>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</si>
  <si>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</si>
  <si>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</si>
  <si>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</si>
  <si>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</si>
  <si>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</si>
  <si>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</si>
  <si>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</si>
  <si>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</si>
  <si>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</si>
  <si>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</si>
  <si>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</si>
  <si>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</si>
  <si>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</si>
  <si>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</si>
  <si>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</si>
  <si>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</si>
  <si>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</si>
  <si>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</si>
  <si>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</si>
  <si>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</si>
  <si>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</si>
  <si>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</si>
  <si>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</si>
  <si>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</si>
  <si>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</si>
  <si>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</si>
  <si>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</si>
  <si>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</si>
  <si>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</si>
  <si>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</si>
  <si>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</si>
  <si>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</si>
  <si>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</si>
  <si>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</si>
  <si>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</si>
  <si>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</si>
  <si>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</si>
  <si>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</si>
  <si>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</si>
  <si>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</si>
  <si>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</si>
  <si>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</si>
  <si>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</si>
  <si>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</si>
  <si>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</si>
  <si>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</si>
  <si>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</si>
  <si>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</si>
  <si>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</si>
  <si>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</si>
  <si>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</si>
  <si>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</si>
  <si>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</si>
  <si>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</si>
  <si>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</si>
  <si>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</si>
  <si>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</si>
  <si>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</si>
  <si>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</si>
  <si>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</si>
  <si>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</si>
  <si>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</si>
  <si>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</si>
  <si>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Floor Rise Rate from    Floor</t>
  </si>
  <si>
    <t>Shop No. (Sale Plan)</t>
  </si>
  <si>
    <t>Flat No. (Sale Plan)</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</si>
  <si>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</si>
  <si>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</si>
  <si>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</si>
  <si>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</si>
  <si>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</si>
  <si>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</si>
  <si>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</si>
  <si>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</si>
  <si>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</si>
  <si>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</si>
  <si>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</si>
  <si>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</si>
  <si>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</si>
  <si>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</si>
  <si>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</si>
  <si>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</si>
  <si>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</si>
  <si>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</si>
  <si>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</si>
  <si>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</si>
  <si>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</si>
  <si>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</si>
  <si>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</si>
  <si>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</si>
  <si>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</si>
  <si>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</si>
  <si>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</si>
  <si>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</si>
  <si>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</si>
  <si>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</si>
  <si>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</si>
  <si>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</si>
  <si>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</si>
  <si>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</si>
  <si>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</si>
  <si>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</si>
  <si>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</si>
  <si>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</si>
  <si>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</si>
  <si>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</si>
  <si>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</si>
  <si>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</si>
  <si>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</si>
  <si>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</si>
  <si>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</si>
  <si>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</si>
  <si>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</si>
  <si>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</si>
  <si>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</si>
  <si>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</si>
  <si>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</si>
  <si>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</si>
  <si>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</si>
  <si>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</si>
  <si>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</si>
  <si>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</si>
  <si>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</si>
  <si>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</si>
  <si>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</si>
  <si>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</si>
  <si>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</si>
  <si>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</si>
  <si>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</si>
  <si>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</si>
  <si>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</si>
  <si>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</si>
  <si>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</si>
  <si>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</si>
  <si>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</si>
  <si>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</si>
  <si>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</si>
  <si>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</si>
  <si>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</si>
  <si>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</si>
  <si>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</si>
  <si>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</si>
  <si>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</si>
  <si>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</si>
  <si>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</si>
  <si>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</si>
  <si>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</si>
  <si>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</si>
  <si>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</si>
  <si>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</si>
  <si>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</si>
  <si>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</si>
  <si>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</si>
  <si>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</si>
  <si>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</si>
  <si>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</si>
  <si>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</si>
  <si>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</si>
  <si>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</si>
  <si>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</si>
  <si>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</si>
  <si>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</si>
  <si>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</si>
  <si>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</si>
  <si>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</si>
  <si>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</si>
  <si>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</si>
  <si>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</si>
  <si>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</si>
  <si>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</si>
  <si>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</si>
  <si>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</si>
  <si>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</si>
  <si>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</si>
  <si>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</si>
  <si>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</si>
  <si>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</si>
  <si>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</si>
  <si>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</si>
  <si>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</si>
  <si>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</si>
  <si>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</si>
  <si>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</si>
  <si>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</si>
  <si>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B Wing = 1B + G + 1st to 19th Floor</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</si>
  <si>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</si>
  <si>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</si>
  <si>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</si>
  <si>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</si>
  <si>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</si>
  <si>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</si>
  <si>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</si>
  <si>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</si>
  <si>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</si>
  <si>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</si>
  <si>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</si>
  <si>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</si>
  <si>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</si>
  <si>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</si>
  <si>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</si>
  <si>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</si>
  <si>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</si>
  <si>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</si>
  <si>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</si>
  <si>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</si>
  <si>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</si>
  <si>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</si>
  <si>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</si>
  <si>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</si>
  <si>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</si>
  <si>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</si>
  <si>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</si>
  <si>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</si>
  <si>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</si>
  <si>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</si>
  <si>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</si>
  <si>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</si>
  <si>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</si>
  <si>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</si>
  <si>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</si>
  <si>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</si>
  <si>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</si>
  <si>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</si>
  <si>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</si>
  <si>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</si>
  <si>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</si>
  <si>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</si>
  <si>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</si>
  <si>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</si>
  <si>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</si>
  <si>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</si>
  <si>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</si>
  <si>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</si>
  <si>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</si>
  <si>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</si>
  <si>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</si>
  <si>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</si>
  <si>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</si>
  <si>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</si>
  <si>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</si>
  <si>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</si>
  <si>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</si>
  <si>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</si>
  <si>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</si>
  <si>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</si>
  <si>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</si>
  <si>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</si>
  <si>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</si>
  <si>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</si>
  <si>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</si>
  <si>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</si>
  <si>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</si>
  <si>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</si>
  <si>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</si>
  <si>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</si>
  <si>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</si>
  <si>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</si>
  <si>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</si>
  <si>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</si>
  <si>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</si>
  <si>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</si>
  <si>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</si>
  <si>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</si>
  <si>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Carpet Area</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</si>
  <si>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</si>
  <si>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</si>
  <si>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</si>
  <si>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</si>
  <si>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</si>
  <si>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</si>
  <si>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</si>
  <si>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Sejal Shakti Realtors LLP</t>
  </si>
  <si>
    <t>Siddha Sky Phase V</t>
  </si>
  <si>
    <t>Tower 3</t>
  </si>
  <si>
    <t>RERA Certificate</t>
  </si>
  <si>
    <t>https://dms.sra.gov.in/SRAPUBLIC/FilesViewer.aspx?Id=397647</t>
  </si>
  <si>
    <t>SRA Power Noc Link</t>
  </si>
  <si>
    <t>Truck Terminal Road</t>
  </si>
  <si>
    <t>https://maps.app.goo.gl/5sRN6Fn6iVePyRQV8</t>
  </si>
  <si>
    <t>FN/STGOVT/0064/20140719/AP/SB-2</t>
  </si>
  <si>
    <t>This C.C. is re-endorsed as per approved amended plans dtd. 21/03/2024. upto plinth level for Tower-3 of sale Building No.2</t>
  </si>
  <si>
    <t>Tower 3 = 2B + G + 1st to 34th Floor</t>
  </si>
  <si>
    <t>Tower 3 = 2B + G + 1st to 39th Floor</t>
  </si>
  <si>
    <t>As per RERA - 31/03/2030</t>
  </si>
  <si>
    <t>https://siddhasky.in/?cstm_ppc_channel=GoogleSearch&amp;cstm_ppc_campaign=Brand&amp;cstm_ppc_medium=CPC&amp;cstm_ppc_keyword=Sky%20siddha&amp;cstm_ppc_placement=&amp;cstm_ppc_device=c&amp;utm_source=GoogleSearch&amp;utm_medium=cpc&amp;utm_campaign=Brand&amp;srd=685508f0735daf3bb3929308&amp;gad_source=1&amp;gad_campaignid=22578929511&amp;gbraid=0AAAAA_tUN-zaiU90wjEkrjPhpysLe5C0M&amp;gclid=CjwKCAjwy7HEBhBJEiwA5hQNom5NFFLFS5GUuw7GpKUPV6NKgEraW7KJjQ2a4er1NsZbuLbXYahnphoCxycQAvD_BwE#amenities</t>
  </si>
  <si>
    <r>
      <t xml:space="preserve">Proposed Amenities :                                                                                                                                                                                                                         </t>
    </r>
    <r>
      <rPr>
        <b/>
        <sz val="12"/>
        <color theme="1"/>
        <rFont val="Times New Roman"/>
        <family val="1"/>
      </rPr>
      <t xml:space="preserve">                                               </t>
    </r>
  </si>
  <si>
    <t>https://dms.sra.gov.in/SRAPUBLIC/FilesViewer.aspx?Id=397953</t>
  </si>
  <si>
    <t>Fire Noc</t>
  </si>
  <si>
    <t>Mara Singh Marg</t>
  </si>
  <si>
    <t>1st Basement Floor For Service Area &amp; Parking</t>
  </si>
  <si>
    <t>2nd Basement Floor For Parking</t>
  </si>
  <si>
    <t>Ground Floor For Entrance Lobby, Business Center, Gym, Yoga Room, Fire Control Room &amp; Parking</t>
  </si>
  <si>
    <t>1st Floor For Amenity &amp; Parking</t>
  </si>
  <si>
    <t>3BHK</t>
  </si>
  <si>
    <t>2BHK</t>
  </si>
  <si>
    <t>2nd Floor For Residential &amp; Amenity (Meditation Corner &amp; Spice Garden)</t>
  </si>
  <si>
    <t>Void</t>
  </si>
  <si>
    <t>8th, 15th, 22nd &amp; 29th Floor (Part Refuge Area)</t>
  </si>
  <si>
    <t>Refuge Area</t>
  </si>
  <si>
    <t>Flats - 248</t>
  </si>
  <si>
    <t>Spice Garden / Void</t>
  </si>
  <si>
    <t>Meditation Corner / Void</t>
  </si>
  <si>
    <t>Tower 2B</t>
  </si>
  <si>
    <t>Tower 1B</t>
  </si>
  <si>
    <t>Under Construction Bldg</t>
  </si>
  <si>
    <t>9.00M  Wide Driveway / Other plot</t>
  </si>
  <si>
    <t>Gaurav Panchal</t>
  </si>
  <si>
    <t>We have referred Approved plan and CC from RERA site.</t>
  </si>
  <si>
    <t>P51900055793</t>
  </si>
  <si>
    <t>Work/Study Pods with Wi-Fi, Yoga &amp; Meditation Zone, Sky Jog with Nature, Sky Lounge, Star Gazing Deck, Hammock Sitting, Red Ribbon Feature Structure, Party Lawn with Amphitheatre, BBQ with Dining Area, Viewing Deck – Selfie Point, etc.</t>
  </si>
  <si>
    <t>https://www.siddhagroup.com/projects/siddha-sky-mumbai/aerial-view-tour/</t>
  </si>
  <si>
    <t>Tower 3 As per plan &amp; Altaire Collection as per builder</t>
  </si>
  <si>
    <t>https://siddha-sejal-sky-wadala.com/?pp_pg=google&amp;pp_mobile=1&amp;pp_chatbox=1&amp;utm_source=website&amp;utm_medium=ppmcc&amp;utm_campaign=google-search&amp;Keyword=sejal%20siddha%20sky%20wadala&amp;Device=c&amp;ads_id=TBD&amp;ads_group_id=178346147721&amp;ads_extension_id=&amp;ads_set_name=Siddha-Sky-Celestia-Wadala-s-l-171-p&amp;campaign_id=22217595335&amp;campaign_name=Siddha-Sky-Celestia-Wadala-s-l&amp;keyword_type=p&amp;physical_location=9303628&amp;ad_strategy=s-l&amp;gad_source=1&amp;gad_campaignid=22217595335&amp;gbraid=0AAAAACQve7VYZ4TMc-dqtTFgATbBPEDrK&amp;gclid=CjwKCAjw7rbEBhB5EiwA1V49nWL1iHTvfOZZR5xv7WV86l18rrwLgrxAXTsZCovf07i3vYVN5TnwIxoChSUQAvD_BwE</t>
  </si>
  <si>
    <t>Mr. Rekha Alitaire 9867830033</t>
  </si>
  <si>
    <t>6(PT), 16(PT) to 21(PT) of Salt Plan Division &amp; 12(PT) of Sion Division For " Nirmal Nagar CHS "</t>
  </si>
  <si>
    <t>Sale Building (Tower 3)</t>
  </si>
  <si>
    <t>19.036274,72.870087</t>
  </si>
  <si>
    <t xml:space="preserve">Sion </t>
  </si>
  <si>
    <t>Nirmal Nagar</t>
  </si>
  <si>
    <t>C.S No</t>
  </si>
  <si>
    <t>GTB Nagar East</t>
  </si>
  <si>
    <t>HT Lines</t>
  </si>
  <si>
    <t xml:space="preserve"> HT Lines</t>
  </si>
  <si>
    <t>01 Tower</t>
  </si>
  <si>
    <t>Approved Builtup Area of Tower 3 (Sq.Mt)</t>
  </si>
  <si>
    <t xml:space="preserve">Details of Residential in Building   </t>
  </si>
  <si>
    <t>Utility Area</t>
  </si>
  <si>
    <t>4.5BHK</t>
  </si>
  <si>
    <t>We considered Gross carpet area = Net carpet + Balcony + Utility Area</t>
  </si>
  <si>
    <t>Karan Misal</t>
  </si>
  <si>
    <t>b.site</t>
  </si>
  <si>
    <t>Vist</t>
  </si>
  <si>
    <t>Construction work is in process at the time of Visit.</t>
  </si>
  <si>
    <t xml:space="preserve">Please check for Power Noc, Environment Clearance Certificate, Fire NOC, Airport NOC &amp; Mono Rail NOC.
</t>
  </si>
  <si>
    <t>High tension lines are passing nearby project Siddha Sky Phase V</t>
  </si>
  <si>
    <t>We have referred Approved plans and CC from RERA site.</t>
  </si>
  <si>
    <t>3rd to 7th, 9th to 14th, 16th to 21st, 23rd to 28th &amp; 30th to 34th Floor For Residential</t>
  </si>
  <si>
    <t>GTB Nagar Monorail Station</t>
  </si>
  <si>
    <t>0.035 KM from GTB Nagar Monorail 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</si>
</sst>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_(* #,##0.00_);_(* \(#,##0.00\);_(* &quot;-&quot;??_);_(@_)"/>
    <numFmt numFmtId="166" formatCode="_(* #,##0_);_(* \(#,##0\);_(* &quot;-&quot;??_);_(@_)"/>
    <numFmt numFmtId="167" formatCode="_ * #,##0_ ;_ * \-#,##0_ ;_ * &quot;-&quot;??_ ;_ @_ "/>
    <numFmt numFmtId="168" formatCode="0.000"/>
  </numFmts>
  <fonts count="33"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rgb="FFFF0000"/>
      <name val="Times New Roman"/>
      <family val="1"/>
    </font>
    <font>
      <b/>
      <sz val="12"/>
      <color rgb="FFFFFF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333">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9" fontId="17" fillId="0" borderId="16" xfId="8" applyFont="1" applyFill="1" applyBorder="1" applyAlignment="1" applyProtection="1">
      <alignment horizontal="center" vertical="top"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5"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1" fontId="8" fillId="0" borderId="3" xfId="1" applyNumberFormat="1"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2" xfId="0" applyBorder="1" applyAlignment="1">
      <alignment vertical="top"/>
    </xf>
    <xf numFmtId="0" fontId="0" fillId="0" borderId="33" xfId="0" applyBorder="1" applyAlignment="1">
      <alignment vertical="top" wrapText="1"/>
    </xf>
    <xf numFmtId="0" fontId="0" fillId="0" borderId="34"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3"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1" fontId="6" fillId="0" borderId="1" xfId="0" applyNumberFormat="1" applyFont="1" applyBorder="1" applyAlignment="1" applyProtection="1">
      <alignment horizontal="center" vertical="center" wrapText="1"/>
      <protection locked="0"/>
    </xf>
    <xf numFmtId="1" fontId="6"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0" fontId="27" fillId="0" borderId="0" xfId="10"/>
    <xf numFmtId="0" fontId="7" fillId="0" borderId="0" xfId="1" applyFont="1" applyAlignment="1">
      <alignment vertical="center" wrapText="1"/>
    </xf>
    <xf numFmtId="0" fontId="27" fillId="0" borderId="0" xfId="10" applyAlignment="1">
      <alignment vertical="center"/>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9" fontId="10" fillId="0" borderId="16" xfId="8" applyFont="1" applyFill="1" applyBorder="1" applyAlignment="1" applyProtection="1">
      <alignment horizontal="center" vertical="top" wrapText="1"/>
      <protection locked="0"/>
    </xf>
    <xf numFmtId="168" fontId="7" fillId="0" borderId="0" xfId="1" applyNumberFormat="1" applyFont="1" applyAlignment="1">
      <alignment horizontal="center" vertical="center"/>
    </xf>
    <xf numFmtId="0" fontId="7" fillId="0" borderId="0" xfId="1" applyFont="1" applyBorder="1" applyAlignment="1">
      <alignment horizontal="center" vertical="center"/>
    </xf>
    <xf numFmtId="0" fontId="7" fillId="0" borderId="0" xfId="1" applyFont="1" applyBorder="1" applyAlignment="1">
      <alignment vertical="center"/>
    </xf>
    <xf numFmtId="1" fontId="7" fillId="0" borderId="0" xfId="1" applyNumberFormat="1" applyFont="1" applyBorder="1" applyAlignment="1">
      <alignment horizontal="center" vertical="center"/>
    </xf>
    <xf numFmtId="2" fontId="7" fillId="0" borderId="0" xfId="1" applyNumberFormat="1" applyFont="1" applyAlignment="1">
      <alignment horizontal="center" vertical="center"/>
    </xf>
    <xf numFmtId="20" fontId="7" fillId="0" borderId="0" xfId="1" applyNumberFormat="1" applyFont="1"/>
    <xf numFmtId="0" fontId="7" fillId="0" borderId="0" xfId="1" applyFont="1" applyAlignment="1">
      <alignment horizontal="left" vertical="center"/>
    </xf>
    <xf numFmtId="0" fontId="32" fillId="0" borderId="0" xfId="1" applyFont="1"/>
    <xf numFmtId="1" fontId="7" fillId="0" borderId="0" xfId="1" applyNumberFormat="1" applyFont="1" applyBorder="1" applyAlignment="1">
      <alignment horizontal="center" vertical="center"/>
    </xf>
    <xf numFmtId="0" fontId="7" fillId="0" borderId="0" xfId="1" applyFont="1" applyAlignment="1">
      <alignment horizontal="center" vertical="center"/>
    </xf>
    <xf numFmtId="0" fontId="12" fillId="0" borderId="3" xfId="1" applyFont="1" applyBorder="1" applyAlignment="1" applyProtection="1">
      <alignment horizontal="left" vertical="top" wrapText="1"/>
      <protection locked="0"/>
    </xf>
    <xf numFmtId="1" fontId="6" fillId="0" borderId="1" xfId="0" applyNumberFormat="1" applyFont="1" applyBorder="1" applyAlignment="1" applyProtection="1">
      <alignment horizontal="center" vertical="center" wrapText="1"/>
      <protection locked="0"/>
    </xf>
    <xf numFmtId="2" fontId="10" fillId="0" borderId="0" xfId="1" applyNumberFormat="1" applyFont="1" applyBorder="1" applyAlignment="1">
      <alignment horizontal="center" vertical="center"/>
    </xf>
    <xf numFmtId="1" fontId="10" fillId="0" borderId="0" xfId="1" applyNumberFormat="1" applyFont="1" applyAlignment="1">
      <alignment horizontal="center" vertical="center"/>
    </xf>
    <xf numFmtId="1" fontId="7" fillId="0" borderId="0" xfId="1" applyNumberFormat="1" applyFont="1" applyBorder="1" applyAlignment="1">
      <alignment vertical="center"/>
    </xf>
    <xf numFmtId="0" fontId="7" fillId="0" borderId="0" xfId="1" applyFont="1" applyAlignment="1">
      <alignment vertical="center"/>
    </xf>
    <xf numFmtId="1" fontId="10" fillId="0" borderId="0" xfId="1" applyNumberFormat="1" applyFont="1" applyBorder="1" applyAlignment="1">
      <alignment vertical="center"/>
    </xf>
    <xf numFmtId="1" fontId="10" fillId="0" borderId="0" xfId="1" applyNumberFormat="1" applyFont="1" applyBorder="1" applyAlignment="1">
      <alignment horizontal="center" vertical="center"/>
    </xf>
    <xf numFmtId="0" fontId="12" fillId="0" borderId="1" xfId="1" applyFont="1" applyBorder="1" applyAlignment="1" applyProtection="1">
      <alignment horizontal="center" vertical="top" wrapText="1"/>
      <protection locked="0"/>
    </xf>
    <xf numFmtId="9" fontId="12" fillId="0" borderId="1" xfId="8" applyFont="1" applyFill="1" applyBorder="1" applyAlignment="1" applyProtection="1">
      <alignment horizontal="center" vertical="top" wrapText="1"/>
      <protection locked="0"/>
    </xf>
    <xf numFmtId="1" fontId="12" fillId="0" borderId="1" xfId="1" applyNumberFormat="1" applyFont="1" applyBorder="1" applyAlignment="1" applyProtection="1">
      <alignment horizontal="center" vertical="top" wrapText="1"/>
      <protection locked="0"/>
    </xf>
    <xf numFmtId="0" fontId="12" fillId="0" borderId="7" xfId="1" applyFont="1" applyBorder="1" applyAlignment="1" applyProtection="1">
      <alignment horizontal="center" vertical="top" wrapText="1"/>
      <protection locked="0"/>
    </xf>
    <xf numFmtId="9" fontId="12" fillId="0" borderId="7" xfId="8" applyFont="1" applyFill="1" applyBorder="1" applyAlignment="1" applyProtection="1">
      <alignment horizontal="center" vertical="top" wrapText="1"/>
      <protection locked="0"/>
    </xf>
    <xf numFmtId="0" fontId="10" fillId="0" borderId="0" xfId="1" applyFont="1" applyAlignment="1">
      <alignment horizontal="center" vertical="center"/>
    </xf>
    <xf numFmtId="0" fontId="10" fillId="0" borderId="0" xfId="0" applyFont="1" applyAlignment="1">
      <alignment horizontal="center" vertical="center"/>
    </xf>
    <xf numFmtId="1" fontId="12" fillId="0" borderId="1" xfId="0" applyNumberFormat="1" applyFont="1" applyBorder="1" applyAlignment="1" applyProtection="1">
      <alignment horizontal="center" vertical="center" wrapText="1"/>
      <protection locked="0"/>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0" fontId="7" fillId="0" borderId="0" xfId="1" applyFont="1" applyBorder="1" applyAlignment="1">
      <alignment horizontal="center" vertical="center"/>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7" fillId="0" borderId="0" xfId="1" applyNumberFormat="1" applyFont="1" applyBorder="1" applyAlignment="1">
      <alignment horizontal="center" vertical="center"/>
    </xf>
    <xf numFmtId="0" fontId="10" fillId="0" borderId="0" xfId="1" applyFont="1" applyBorder="1" applyAlignment="1">
      <alignment horizontal="left" vertical="center"/>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0" fontId="12" fillId="0" borderId="4" xfId="1" applyFont="1" applyBorder="1" applyAlignment="1" applyProtection="1">
      <alignment horizontal="center" vertical="top" wrapText="1"/>
      <protection locked="0"/>
    </xf>
    <xf numFmtId="0" fontId="12" fillId="0" borderId="1" xfId="1" applyFont="1" applyBorder="1" applyAlignment="1" applyProtection="1">
      <alignment horizontal="center" vertical="top" wrapText="1"/>
      <protection locked="0"/>
    </xf>
    <xf numFmtId="0" fontId="12" fillId="0" borderId="5" xfId="1" applyFont="1" applyBorder="1" applyAlignment="1" applyProtection="1">
      <alignment horizontal="center" vertical="top" wrapText="1"/>
      <protection locked="0"/>
    </xf>
    <xf numFmtId="0" fontId="12" fillId="0" borderId="6" xfId="1" applyFont="1" applyBorder="1" applyAlignment="1" applyProtection="1">
      <alignment horizontal="center" vertical="top" wrapText="1"/>
      <protection locked="0"/>
    </xf>
    <xf numFmtId="0" fontId="12" fillId="0" borderId="7" xfId="1" applyFont="1" applyBorder="1" applyAlignment="1" applyProtection="1">
      <alignment horizontal="center" vertical="top" wrapText="1"/>
      <protection locked="0"/>
    </xf>
    <xf numFmtId="0" fontId="13" fillId="0" borderId="1" xfId="0" applyFont="1" applyBorder="1" applyAlignment="1" applyProtection="1">
      <alignment horizontal="center" vertical="top" wrapText="1"/>
      <protection locked="0"/>
    </xf>
    <xf numFmtId="0" fontId="7" fillId="0" borderId="25" xfId="1" applyFont="1" applyBorder="1" applyAlignment="1">
      <alignment horizontal="center"/>
    </xf>
    <xf numFmtId="0" fontId="7" fillId="0" borderId="0" xfId="1" applyFont="1" applyAlignment="1">
      <alignment horizontal="center"/>
    </xf>
    <xf numFmtId="167" fontId="12" fillId="0" borderId="1" xfId="9" applyNumberFormat="1" applyFont="1" applyFill="1" applyBorder="1" applyAlignment="1" applyProtection="1">
      <alignment horizontal="left" vertical="top"/>
      <protection locked="0"/>
    </xf>
    <xf numFmtId="0" fontId="13" fillId="0" borderId="1" xfId="1" applyFont="1" applyBorder="1" applyAlignment="1" applyProtection="1">
      <alignment horizontal="center" vertical="top"/>
      <protection locked="0"/>
    </xf>
    <xf numFmtId="1" fontId="13" fillId="0" borderId="1" xfId="0" applyNumberFormat="1" applyFont="1" applyBorder="1" applyAlignment="1" applyProtection="1">
      <alignment horizontal="center" vertical="top" wrapText="1"/>
      <protection locked="0"/>
    </xf>
    <xf numFmtId="0" fontId="12" fillId="0" borderId="1" xfId="1" applyFont="1" applyBorder="1" applyAlignment="1" applyProtection="1">
      <alignment horizontal="left"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0" fontId="6" fillId="0" borderId="1" xfId="1" applyFont="1" applyBorder="1" applyAlignment="1" applyProtection="1">
      <alignment horizontal="left" vertical="top"/>
      <protection locked="0"/>
    </xf>
    <xf numFmtId="1" fontId="12" fillId="0" borderId="1" xfId="0" applyNumberFormat="1" applyFont="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6" fillId="0" borderId="1" xfId="1" applyFont="1" applyBorder="1" applyAlignment="1" applyProtection="1">
      <alignment horizontal="left" vertical="top" wrapText="1"/>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12" fillId="0" borderId="19" xfId="1" applyFont="1" applyBorder="1" applyAlignment="1" applyProtection="1">
      <alignment horizontal="left" vertical="top"/>
      <protection locked="0"/>
    </xf>
    <xf numFmtId="0" fontId="12" fillId="0" borderId="2" xfId="1" applyFont="1" applyBorder="1" applyAlignment="1" applyProtection="1">
      <alignment horizontal="left" vertical="top"/>
      <protection locked="0"/>
    </xf>
    <xf numFmtId="0" fontId="12" fillId="0" borderId="20" xfId="1" applyFont="1" applyBorder="1" applyAlignment="1" applyProtection="1">
      <alignment horizontal="left" vertical="top"/>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0" fontId="6" fillId="0" borderId="1" xfId="1" applyFont="1" applyBorder="1" applyAlignment="1" applyProtection="1">
      <alignment vertical="top"/>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1" fontId="12" fillId="0" borderId="1" xfId="0" applyNumberFormat="1" applyFont="1" applyBorder="1" applyAlignment="1" applyProtection="1">
      <alignment horizontal="center" vertical="top"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1" fontId="6" fillId="0" borderId="21" xfId="1" applyNumberFormat="1" applyFont="1" applyBorder="1" applyAlignment="1" applyProtection="1">
      <alignment horizontal="center" vertical="center" wrapText="1"/>
      <protection locked="0"/>
    </xf>
    <xf numFmtId="1" fontId="8" fillId="0" borderId="1" xfId="0" applyNumberFormat="1" applyFont="1" applyBorder="1" applyAlignment="1" applyProtection="1">
      <alignment horizontal="left" vertical="top"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0" fontId="13" fillId="0" borderId="16" xfId="1" applyFont="1" applyBorder="1" applyAlignment="1" applyProtection="1">
      <alignment horizontal="center" vertical="top"/>
      <protection locked="0"/>
    </xf>
    <xf numFmtId="0" fontId="8" fillId="0" borderId="1" xfId="1" applyFont="1" applyBorder="1" applyAlignment="1" applyProtection="1">
      <alignment horizontal="center" vertical="top"/>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 fontId="13" fillId="0" borderId="1" xfId="0" applyNumberFormat="1" applyFont="1" applyBorder="1" applyAlignment="1" applyProtection="1">
      <alignment horizontal="center" vertical="center" wrapText="1"/>
      <protection locked="0"/>
    </xf>
    <xf numFmtId="0" fontId="13" fillId="0" borderId="1" xfId="1" applyFont="1" applyBorder="1" applyAlignment="1" applyProtection="1">
      <alignment horizontal="left" vertical="top"/>
      <protection locked="0"/>
    </xf>
    <xf numFmtId="0" fontId="8" fillId="0" borderId="1" xfId="1" applyFont="1" applyBorder="1" applyAlignment="1" applyProtection="1">
      <alignment vertical="top"/>
      <protection locked="0"/>
    </xf>
    <xf numFmtId="1" fontId="8" fillId="0" borderId="35" xfId="0" applyNumberFormat="1" applyFont="1" applyBorder="1" applyAlignment="1" applyProtection="1">
      <alignment horizontal="center" vertical="center" wrapText="1"/>
      <protection locked="0"/>
    </xf>
    <xf numFmtId="1" fontId="8" fillId="0" borderId="36" xfId="0" applyNumberFormat="1" applyFont="1" applyBorder="1" applyAlignment="1" applyProtection="1">
      <alignment horizontal="center" vertical="center" wrapText="1"/>
      <protection locked="0"/>
    </xf>
    <xf numFmtId="0" fontId="13" fillId="0" borderId="16" xfId="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0" fontId="7" fillId="0" borderId="1" xfId="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14" fontId="12" fillId="0" borderId="1" xfId="1" applyNumberFormat="1" applyFont="1" applyFill="1" applyBorder="1" applyAlignment="1" applyProtection="1">
      <alignment horizontal="left" vertical="top"/>
      <protection locked="0"/>
    </xf>
    <xf numFmtId="0" fontId="12" fillId="0" borderId="1" xfId="1" applyFont="1" applyFill="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7" fillId="0" borderId="1" xfId="1" applyFont="1" applyBorder="1" applyAlignment="1" applyProtection="1">
      <alignment horizontal="left"/>
      <protection locked="0"/>
    </xf>
    <xf numFmtId="0" fontId="12" fillId="0" borderId="1" xfId="1" applyFont="1" applyBorder="1" applyAlignment="1" applyProtection="1">
      <alignment horizontal="center"/>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8" fillId="0" borderId="1" xfId="1" applyFont="1" applyBorder="1" applyAlignment="1" applyProtection="1">
      <alignment horizontal="left" vertical="top"/>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12" fillId="0" borderId="8" xfId="1" applyFont="1" applyBorder="1" applyAlignment="1" applyProtection="1">
      <alignment horizontal="center" vertical="top" wrapText="1"/>
      <protection locked="0"/>
    </xf>
    <xf numFmtId="0" fontId="12" fillId="0" borderId="21" xfId="1" applyFont="1" applyBorder="1" applyAlignment="1" applyProtection="1">
      <alignment horizontal="center" vertical="top" wrapText="1"/>
      <protection locked="0"/>
    </xf>
    <xf numFmtId="0" fontId="12" fillId="0" borderId="9" xfId="1" applyFont="1" applyBorder="1" applyAlignment="1" applyProtection="1">
      <alignment horizontal="center" vertical="top" wrapText="1"/>
      <protection locked="0"/>
    </xf>
    <xf numFmtId="0" fontId="13" fillId="0" borderId="4" xfId="1" applyFont="1" applyBorder="1" applyAlignment="1" applyProtection="1">
      <alignment horizontal="left" vertical="top"/>
      <protection locked="0"/>
    </xf>
    <xf numFmtId="0" fontId="13" fillId="0" borderId="22" xfId="1" applyFont="1" applyBorder="1" applyAlignment="1" applyProtection="1">
      <alignment horizontal="left" vertical="top" wrapText="1"/>
      <protection locked="0"/>
    </xf>
    <xf numFmtId="0" fontId="13" fillId="0" borderId="15" xfId="1" applyFont="1" applyBorder="1" applyAlignment="1" applyProtection="1">
      <alignment horizontal="left" vertical="top" wrapText="1"/>
      <protection locked="0"/>
    </xf>
    <xf numFmtId="0" fontId="13" fillId="0" borderId="13" xfId="1" applyFont="1" applyBorder="1" applyAlignment="1" applyProtection="1">
      <alignment horizontal="left" vertical="top" wrapText="1"/>
      <protection locked="0"/>
    </xf>
    <xf numFmtId="0" fontId="13" fillId="0" borderId="14" xfId="1" applyFont="1" applyBorder="1" applyAlignment="1" applyProtection="1">
      <alignment horizontal="left" vertical="top" wrapText="1"/>
      <protection locked="0"/>
    </xf>
    <xf numFmtId="0" fontId="13" fillId="0" borderId="23" xfId="1" applyFont="1" applyBorder="1" applyAlignment="1" applyProtection="1">
      <alignment horizontal="left" vertical="top" wrapText="1"/>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12"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0" fontId="12"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12" fillId="0" borderId="25" xfId="1" applyFont="1" applyBorder="1" applyAlignment="1" applyProtection="1">
      <alignment horizontal="left" vertical="top"/>
      <protection locked="0"/>
    </xf>
    <xf numFmtId="0" fontId="12" fillId="0" borderId="0" xfId="1" applyFont="1" applyAlignment="1" applyProtection="1">
      <alignment horizontal="left" vertical="top"/>
      <protection locked="0"/>
    </xf>
    <xf numFmtId="0" fontId="12" fillId="0" borderId="26" xfId="1" applyFont="1" applyBorder="1" applyAlignment="1" applyProtection="1">
      <alignment horizontal="left" vertical="top"/>
      <protection locked="0"/>
    </xf>
    <xf numFmtId="0" fontId="15" fillId="0" borderId="25" xfId="1" applyFont="1" applyBorder="1" applyAlignment="1" applyProtection="1">
      <alignment horizontal="left" vertical="top" wrapText="1"/>
      <protection locked="0"/>
    </xf>
    <xf numFmtId="0" fontId="15" fillId="0" borderId="26"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17" xfId="1" applyFont="1" applyBorder="1" applyAlignment="1" applyProtection="1">
      <alignment horizontal="center" vertical="top" wrapText="1"/>
      <protection locked="0"/>
    </xf>
    <xf numFmtId="0" fontId="6" fillId="0" borderId="24" xfId="1" applyFont="1" applyBorder="1" applyAlignment="1" applyProtection="1">
      <alignment horizontal="center" vertical="top" wrapText="1"/>
      <protection locked="0"/>
    </xf>
    <xf numFmtId="0" fontId="6" fillId="0" borderId="18" xfId="1" applyFont="1" applyBorder="1" applyAlignment="1" applyProtection="1">
      <alignment horizontal="center" vertical="top" wrapText="1"/>
      <protection locked="0"/>
    </xf>
    <xf numFmtId="0" fontId="6" fillId="0" borderId="19" xfId="1" applyFont="1" applyBorder="1" applyAlignment="1" applyProtection="1">
      <alignment horizontal="center" vertical="top" wrapText="1"/>
      <protection locked="0"/>
    </xf>
    <xf numFmtId="0" fontId="6" fillId="0" borderId="2" xfId="1" applyFont="1" applyBorder="1" applyAlignment="1" applyProtection="1">
      <alignment horizontal="center" vertical="top" wrapText="1"/>
      <protection locked="0"/>
    </xf>
    <xf numFmtId="0" fontId="6" fillId="0" borderId="20" xfId="1" applyFont="1" applyBorder="1" applyAlignment="1" applyProtection="1">
      <alignment horizontal="center" vertical="top" wrapText="1"/>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14" fontId="12" fillId="0" borderId="17" xfId="1" applyNumberFormat="1" applyFont="1" applyBorder="1" applyAlignment="1" applyProtection="1">
      <alignment horizontal="left" vertical="top" wrapText="1"/>
      <protection locked="0"/>
    </xf>
    <xf numFmtId="14" fontId="12" fillId="0" borderId="18" xfId="1" applyNumberFormat="1" applyFont="1" applyBorder="1" applyAlignment="1" applyProtection="1">
      <alignment horizontal="left" vertical="top" wrapText="1"/>
      <protection locked="0"/>
    </xf>
    <xf numFmtId="1" fontId="12" fillId="0" borderId="1" xfId="0" applyNumberFormat="1" applyFont="1" applyBorder="1" applyAlignment="1" applyProtection="1">
      <alignment horizontal="center" vertical="center"/>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9" fontId="7" fillId="0" borderId="17" xfId="8" applyFont="1" applyFill="1" applyBorder="1" applyAlignment="1" applyProtection="1">
      <alignment horizontal="center" vertical="center" wrapText="1"/>
      <protection locked="0"/>
    </xf>
    <xf numFmtId="9" fontId="7" fillId="0" borderId="27"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1" fontId="10" fillId="0" borderId="36" xfId="0" applyNumberFormat="1"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27" fillId="0" borderId="1" xfId="10" applyFill="1" applyBorder="1" applyAlignment="1" applyProtection="1">
      <alignment horizontal="left" vertical="top" wrapText="1"/>
      <protection locked="0"/>
    </xf>
    <xf numFmtId="0" fontId="12"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1" fontId="17" fillId="0" borderId="16" xfId="1" applyNumberFormat="1" applyFont="1" applyBorder="1" applyAlignment="1" applyProtection="1">
      <alignment horizontal="center" vertical="top" wrapText="1"/>
      <protection locked="0"/>
    </xf>
    <xf numFmtId="0" fontId="12" fillId="0" borderId="8"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9" xfId="1" applyFont="1" applyBorder="1" applyAlignment="1" applyProtection="1">
      <alignment horizontal="left" vertical="top" wrapText="1"/>
      <protection locked="0"/>
    </xf>
    <xf numFmtId="0" fontId="12" fillId="0" borderId="16" xfId="1" applyFont="1" applyBorder="1" applyAlignment="1" applyProtection="1">
      <alignment horizontal="left" vertical="top" wrapText="1"/>
      <protection locked="0"/>
    </xf>
    <xf numFmtId="1" fontId="12" fillId="0" borderId="1" xfId="1" applyNumberFormat="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protection locked="0"/>
    </xf>
    <xf numFmtId="1" fontId="6" fillId="0" borderId="17" xfId="1" applyNumberFormat="1" applyFont="1" applyBorder="1" applyAlignment="1" applyProtection="1">
      <alignment horizontal="center" vertical="center" wrapText="1"/>
      <protection locked="0"/>
    </xf>
    <xf numFmtId="1" fontId="6" fillId="0" borderId="24" xfId="1" applyNumberFormat="1" applyFont="1" applyBorder="1" applyAlignment="1" applyProtection="1">
      <alignment horizontal="center" vertical="center" wrapText="1"/>
      <protection locked="0"/>
    </xf>
    <xf numFmtId="1" fontId="6" fillId="0" borderId="18" xfId="1" applyNumberFormat="1" applyFont="1" applyBorder="1" applyAlignment="1" applyProtection="1">
      <alignment horizontal="center" vertical="center" wrapText="1"/>
      <protection locked="0"/>
    </xf>
    <xf numFmtId="1" fontId="6" fillId="0" borderId="25" xfId="1" applyNumberFormat="1" applyFont="1" applyBorder="1" applyAlignment="1" applyProtection="1">
      <alignment horizontal="center" vertical="center" wrapText="1"/>
      <protection locked="0"/>
    </xf>
    <xf numFmtId="1" fontId="6" fillId="0" borderId="0" xfId="1" applyNumberFormat="1" applyFont="1" applyBorder="1" applyAlignment="1" applyProtection="1">
      <alignment horizontal="center" vertical="center" wrapText="1"/>
      <protection locked="0"/>
    </xf>
    <xf numFmtId="1" fontId="6" fillId="0" borderId="26" xfId="1" applyNumberFormat="1" applyFont="1" applyBorder="1" applyAlignment="1" applyProtection="1">
      <alignment horizontal="center" vertical="center" wrapText="1"/>
      <protection locked="0"/>
    </xf>
    <xf numFmtId="1" fontId="6" fillId="0" borderId="19" xfId="1" applyNumberFormat="1" applyFont="1" applyBorder="1" applyAlignment="1" applyProtection="1">
      <alignment horizontal="center" vertical="center" wrapText="1"/>
      <protection locked="0"/>
    </xf>
    <xf numFmtId="1" fontId="6" fillId="0" borderId="2" xfId="1" applyNumberFormat="1" applyFont="1" applyBorder="1" applyAlignment="1" applyProtection="1">
      <alignment horizontal="center" vertical="center" wrapText="1"/>
      <protection locked="0"/>
    </xf>
    <xf numFmtId="1" fontId="6" fillId="0" borderId="20" xfId="1" applyNumberFormat="1" applyFont="1" applyBorder="1" applyAlignment="1" applyProtection="1">
      <alignment horizontal="center" vertical="center" wrapText="1"/>
      <protection locked="0"/>
    </xf>
    <xf numFmtId="9" fontId="12" fillId="0" borderId="17" xfId="8" applyFont="1" applyFill="1" applyBorder="1" applyAlignment="1" applyProtection="1">
      <alignment horizontal="center" vertical="center" wrapText="1"/>
      <protection locked="0"/>
    </xf>
    <xf numFmtId="9" fontId="12" fillId="0" borderId="18" xfId="8" applyFont="1" applyFill="1" applyBorder="1" applyAlignment="1" applyProtection="1">
      <alignment horizontal="center" vertical="center" wrapText="1"/>
      <protection locked="0"/>
    </xf>
    <xf numFmtId="9" fontId="12" fillId="0" borderId="25" xfId="8" applyFont="1" applyFill="1" applyBorder="1" applyAlignment="1" applyProtection="1">
      <alignment horizontal="center" vertical="center" wrapText="1"/>
      <protection locked="0"/>
    </xf>
    <xf numFmtId="9" fontId="12" fillId="0" borderId="26" xfId="8" applyFont="1" applyFill="1" applyBorder="1" applyAlignment="1" applyProtection="1">
      <alignment horizontal="center" vertical="center" wrapText="1"/>
      <protection locked="0"/>
    </xf>
    <xf numFmtId="9" fontId="12" fillId="0" borderId="28" xfId="8" applyFont="1" applyFill="1" applyBorder="1" applyAlignment="1" applyProtection="1">
      <alignment horizontal="center" vertical="center" wrapText="1"/>
      <protection locked="0"/>
    </xf>
    <xf numFmtId="9" fontId="12" fillId="0" borderId="29" xfId="8" applyFont="1" applyFill="1" applyBorder="1" applyAlignment="1" applyProtection="1">
      <alignment horizontal="center" vertical="center" wrapText="1"/>
      <protection locked="0"/>
    </xf>
    <xf numFmtId="9" fontId="12" fillId="0" borderId="27" xfId="8" applyFont="1" applyFill="1" applyBorder="1" applyAlignment="1" applyProtection="1">
      <alignment horizontal="center" vertical="center" wrapText="1"/>
      <protection locked="0"/>
    </xf>
    <xf numFmtId="9" fontId="12" fillId="0" borderId="10" xfId="8" applyFont="1" applyFill="1" applyBorder="1" applyAlignment="1" applyProtection="1">
      <alignment horizontal="center" vertical="center" wrapText="1"/>
      <protection locked="0"/>
    </xf>
    <xf numFmtId="9" fontId="12" fillId="0" borderId="12" xfId="8" applyFont="1" applyFill="1" applyBorder="1" applyAlignment="1" applyProtection="1">
      <alignment horizontal="center" vertical="center" wrapText="1"/>
      <protection locked="0"/>
    </xf>
    <xf numFmtId="1" fontId="8" fillId="0" borderId="3" xfId="0" applyNumberFormat="1" applyFont="1" applyBorder="1" applyAlignment="1" applyProtection="1">
      <alignment horizontal="center" vertical="center" wrapText="1"/>
      <protection locked="0"/>
    </xf>
    <xf numFmtId="0" fontId="7" fillId="0" borderId="5" xfId="1" applyFont="1" applyBorder="1" applyAlignment="1" applyProtection="1">
      <alignment horizontal="center" vertical="top" wrapText="1"/>
      <protection locked="0"/>
    </xf>
    <xf numFmtId="9" fontId="7" fillId="0" borderId="18"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0" fontId="9" fillId="0" borderId="1" xfId="5" applyFont="1" applyBorder="1" applyAlignment="1">
      <alignment horizontal="left"/>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2.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8</xdr:col>
      <xdr:colOff>76200</xdr:colOff>
      <xdr:row>50</xdr:row>
      <xdr:rowOff>161925</xdr:rowOff>
    </xdr:from>
    <xdr:to>
      <xdr:col>13</xdr:col>
      <xdr:colOff>5175</xdr:colOff>
      <xdr:row>63</xdr:row>
      <xdr:rowOff>177933</xdr:rowOff>
    </xdr:to>
    <xdr:pic>
      <xdr:nvPicPr>
        <xdr:cNvPr id="2" name="Picture 1">
          <a:extLst>
            <a:ext uri="{FF2B5EF4-FFF2-40B4-BE49-F238E27FC236}">
              <a16:creationId xmlns:a16="http://schemas.microsoft.com/office/drawing/2014/main" id="{65039B7B-A9AC-4BE6-A028-C39174565B91}"/>
            </a:ext>
          </a:extLst>
        </xdr:cNvPr>
        <xdr:cNvPicPr>
          <a:picLocks noChangeAspect="1"/>
        </xdr:cNvPicPr>
      </xdr:nvPicPr>
      <xdr:blipFill>
        <a:blip xmlns:r="http://schemas.openxmlformats.org/officeDocument/2006/relationships" r:embed="rId1"/>
        <a:stretch>
          <a:fillRect/>
        </a:stretch>
      </xdr:blipFill>
      <xdr:spPr>
        <a:xfrm>
          <a:off x="6391275" y="11649075"/>
          <a:ext cx="4320000" cy="1453163"/>
        </a:xfrm>
        <a:prstGeom prst="rect">
          <a:avLst/>
        </a:prstGeom>
      </xdr:spPr>
    </xdr:pic>
    <xdr:clientData/>
  </xdr:twoCellAnchor>
  <xdr:twoCellAnchor editAs="oneCell">
    <xdr:from>
      <xdr:col>11</xdr:col>
      <xdr:colOff>810185</xdr:colOff>
      <xdr:row>69</xdr:row>
      <xdr:rowOff>66675</xdr:rowOff>
    </xdr:from>
    <xdr:to>
      <xdr:col>15</xdr:col>
      <xdr:colOff>324498</xdr:colOff>
      <xdr:row>82</xdr:row>
      <xdr:rowOff>134350</xdr:rowOff>
    </xdr:to>
    <xdr:pic>
      <xdr:nvPicPr>
        <xdr:cNvPr id="3" name="Picture 2">
          <a:extLst>
            <a:ext uri="{FF2B5EF4-FFF2-40B4-BE49-F238E27FC236}">
              <a16:creationId xmlns:a16="http://schemas.microsoft.com/office/drawing/2014/main" id="{0919B88D-0176-4133-A862-B13821149039}"/>
            </a:ext>
          </a:extLst>
        </xdr:cNvPr>
        <xdr:cNvPicPr>
          <a:picLocks noChangeAspect="1"/>
        </xdr:cNvPicPr>
      </xdr:nvPicPr>
      <xdr:blipFill>
        <a:blip xmlns:r="http://schemas.openxmlformats.org/officeDocument/2006/relationships" r:embed="rId2"/>
        <a:stretch>
          <a:fillRect/>
        </a:stretch>
      </xdr:blipFill>
      <xdr:spPr>
        <a:xfrm>
          <a:off x="9801785" y="13992225"/>
          <a:ext cx="2876638" cy="3563350"/>
        </a:xfrm>
        <a:prstGeom prst="rect">
          <a:avLst/>
        </a:prstGeom>
      </xdr:spPr>
    </xdr:pic>
    <xdr:clientData/>
  </xdr:twoCellAnchor>
  <xdr:twoCellAnchor editAs="oneCell">
    <xdr:from>
      <xdr:col>11</xdr:col>
      <xdr:colOff>761439</xdr:colOff>
      <xdr:row>64</xdr:row>
      <xdr:rowOff>166406</xdr:rowOff>
    </xdr:from>
    <xdr:to>
      <xdr:col>16</xdr:col>
      <xdr:colOff>216944</xdr:colOff>
      <xdr:row>72</xdr:row>
      <xdr:rowOff>81938</xdr:rowOff>
    </xdr:to>
    <xdr:pic>
      <xdr:nvPicPr>
        <xdr:cNvPr id="4" name="Picture 3">
          <a:extLst>
            <a:ext uri="{FF2B5EF4-FFF2-40B4-BE49-F238E27FC236}">
              <a16:creationId xmlns:a16="http://schemas.microsoft.com/office/drawing/2014/main" id="{0B892E1E-E45D-4080-8B50-C6D40A182925}"/>
            </a:ext>
          </a:extLst>
        </xdr:cNvPr>
        <xdr:cNvPicPr>
          <a:picLocks noChangeAspect="1"/>
        </xdr:cNvPicPr>
      </xdr:nvPicPr>
      <xdr:blipFill>
        <a:blip xmlns:r="http://schemas.openxmlformats.org/officeDocument/2006/relationships" r:embed="rId3"/>
        <a:stretch>
          <a:fillRect/>
        </a:stretch>
      </xdr:blipFill>
      <xdr:spPr>
        <a:xfrm>
          <a:off x="9748557" y="13624671"/>
          <a:ext cx="3601681" cy="1790837"/>
        </a:xfrm>
        <a:prstGeom prst="rect">
          <a:avLst/>
        </a:prstGeom>
      </xdr:spPr>
    </xdr:pic>
    <xdr:clientData/>
  </xdr:twoCellAnchor>
  <xdr:twoCellAnchor editAs="oneCell">
    <xdr:from>
      <xdr:col>9</xdr:col>
      <xdr:colOff>415737</xdr:colOff>
      <xdr:row>129</xdr:row>
      <xdr:rowOff>13447</xdr:rowOff>
    </xdr:from>
    <xdr:to>
      <xdr:col>16</xdr:col>
      <xdr:colOff>161249</xdr:colOff>
      <xdr:row>156</xdr:row>
      <xdr:rowOff>148259</xdr:rowOff>
    </xdr:to>
    <xdr:pic>
      <xdr:nvPicPr>
        <xdr:cNvPr id="5" name="Picture 4">
          <a:extLst>
            <a:ext uri="{FF2B5EF4-FFF2-40B4-BE49-F238E27FC236}">
              <a16:creationId xmlns:a16="http://schemas.microsoft.com/office/drawing/2014/main" id="{A0345648-E667-44C0-8419-6B1EB2C51292}"/>
            </a:ext>
          </a:extLst>
        </xdr:cNvPr>
        <xdr:cNvPicPr>
          <a:picLocks noChangeAspect="1"/>
        </xdr:cNvPicPr>
      </xdr:nvPicPr>
      <xdr:blipFill>
        <a:blip xmlns:r="http://schemas.openxmlformats.org/officeDocument/2006/relationships" r:embed="rId4"/>
        <a:stretch>
          <a:fillRect/>
        </a:stretch>
      </xdr:blipFill>
      <xdr:spPr>
        <a:xfrm>
          <a:off x="7892862" y="19434922"/>
          <a:ext cx="5403362" cy="3135187"/>
        </a:xfrm>
        <a:prstGeom prst="rect">
          <a:avLst/>
        </a:prstGeom>
      </xdr:spPr>
    </xdr:pic>
    <xdr:clientData/>
  </xdr:twoCellAnchor>
  <xdr:twoCellAnchor editAs="oneCell">
    <xdr:from>
      <xdr:col>15</xdr:col>
      <xdr:colOff>726422</xdr:colOff>
      <xdr:row>136</xdr:row>
      <xdr:rowOff>40621</xdr:rowOff>
    </xdr:from>
    <xdr:to>
      <xdr:col>22</xdr:col>
      <xdr:colOff>403110</xdr:colOff>
      <xdr:row>153</xdr:row>
      <xdr:rowOff>114261</xdr:rowOff>
    </xdr:to>
    <xdr:pic>
      <xdr:nvPicPr>
        <xdr:cNvPr id="6" name="Picture 5">
          <a:extLst>
            <a:ext uri="{FF2B5EF4-FFF2-40B4-BE49-F238E27FC236}">
              <a16:creationId xmlns:a16="http://schemas.microsoft.com/office/drawing/2014/main" id="{7D5C04FA-9FB9-46EA-BA4E-81A11FDA8BDC}"/>
            </a:ext>
          </a:extLst>
        </xdr:cNvPr>
        <xdr:cNvPicPr>
          <a:picLocks noChangeAspect="1"/>
        </xdr:cNvPicPr>
      </xdr:nvPicPr>
      <xdr:blipFill>
        <a:blip xmlns:r="http://schemas.openxmlformats.org/officeDocument/2006/relationships" r:embed="rId5"/>
        <a:stretch>
          <a:fillRect/>
        </a:stretch>
      </xdr:blipFill>
      <xdr:spPr>
        <a:xfrm>
          <a:off x="13075304" y="20524974"/>
          <a:ext cx="4327130" cy="2090699"/>
        </a:xfrm>
        <a:prstGeom prst="rect">
          <a:avLst/>
        </a:prstGeom>
      </xdr:spPr>
    </xdr:pic>
    <xdr:clientData/>
  </xdr:twoCellAnchor>
  <xdr:twoCellAnchor editAs="oneCell">
    <xdr:from>
      <xdr:col>8</xdr:col>
      <xdr:colOff>549786</xdr:colOff>
      <xdr:row>15</xdr:row>
      <xdr:rowOff>234631</xdr:rowOff>
    </xdr:from>
    <xdr:to>
      <xdr:col>13</xdr:col>
      <xdr:colOff>469305</xdr:colOff>
      <xdr:row>17</xdr:row>
      <xdr:rowOff>87799</xdr:rowOff>
    </xdr:to>
    <xdr:pic>
      <xdr:nvPicPr>
        <xdr:cNvPr id="7" name="Picture 6">
          <a:extLst>
            <a:ext uri="{FF2B5EF4-FFF2-40B4-BE49-F238E27FC236}">
              <a16:creationId xmlns:a16="http://schemas.microsoft.com/office/drawing/2014/main" id="{383717DA-987C-45D1-B0AF-FCFAB4752EF8}"/>
            </a:ext>
          </a:extLst>
        </xdr:cNvPr>
        <xdr:cNvPicPr>
          <a:picLocks noChangeAspect="1"/>
        </xdr:cNvPicPr>
      </xdr:nvPicPr>
      <xdr:blipFill>
        <a:blip xmlns:r="http://schemas.openxmlformats.org/officeDocument/2006/relationships" r:embed="rId6"/>
        <a:stretch>
          <a:fillRect/>
        </a:stretch>
      </xdr:blipFill>
      <xdr:spPr>
        <a:xfrm>
          <a:off x="6869416" y="3597370"/>
          <a:ext cx="4309302" cy="1128690"/>
        </a:xfrm>
        <a:prstGeom prst="rect">
          <a:avLst/>
        </a:prstGeom>
      </xdr:spPr>
    </xdr:pic>
    <xdr:clientData/>
  </xdr:twoCellAnchor>
  <xdr:twoCellAnchor>
    <xdr:from>
      <xdr:col>0</xdr:col>
      <xdr:colOff>327422</xdr:colOff>
      <xdr:row>258</xdr:row>
      <xdr:rowOff>159284</xdr:rowOff>
    </xdr:from>
    <xdr:to>
      <xdr:col>7</xdr:col>
      <xdr:colOff>404213</xdr:colOff>
      <xdr:row>294</xdr:row>
      <xdr:rowOff>170491</xdr:rowOff>
    </xdr:to>
    <xdr:grpSp>
      <xdr:nvGrpSpPr>
        <xdr:cNvPr id="8" name="Group 7">
          <a:extLst>
            <a:ext uri="{FF2B5EF4-FFF2-40B4-BE49-F238E27FC236}">
              <a16:creationId xmlns:a16="http://schemas.microsoft.com/office/drawing/2014/main" id="{0919600B-87E5-4A65-8519-CC8F7827BD91}"/>
            </a:ext>
          </a:extLst>
        </xdr:cNvPr>
        <xdr:cNvGrpSpPr/>
      </xdr:nvGrpSpPr>
      <xdr:grpSpPr>
        <a:xfrm rot="10800000">
          <a:off x="327422" y="42719225"/>
          <a:ext cx="5657320" cy="7272619"/>
          <a:chOff x="1344841" y="357559"/>
          <a:chExt cx="3812717" cy="5258136"/>
        </a:xfrm>
      </xdr:grpSpPr>
      <xdr:grpSp>
        <xdr:nvGrpSpPr>
          <xdr:cNvPr id="9" name="Group 8">
            <a:extLst>
              <a:ext uri="{FF2B5EF4-FFF2-40B4-BE49-F238E27FC236}">
                <a16:creationId xmlns:a16="http://schemas.microsoft.com/office/drawing/2014/main" id="{BD0BF022-6110-4E50-8093-CB2638241019}"/>
              </a:ext>
            </a:extLst>
          </xdr:cNvPr>
          <xdr:cNvGrpSpPr/>
        </xdr:nvGrpSpPr>
        <xdr:grpSpPr>
          <a:xfrm>
            <a:off x="1344841" y="357559"/>
            <a:ext cx="3812717" cy="5258136"/>
            <a:chOff x="1522641" y="382959"/>
            <a:chExt cx="3812717" cy="5258136"/>
          </a:xfrm>
        </xdr:grpSpPr>
        <xdr:pic>
          <xdr:nvPicPr>
            <xdr:cNvPr id="14" name="Picture 13">
              <a:extLst>
                <a:ext uri="{FF2B5EF4-FFF2-40B4-BE49-F238E27FC236}">
                  <a16:creationId xmlns:a16="http://schemas.microsoft.com/office/drawing/2014/main" id="{4E353D2C-1EED-4051-915A-9976D25F61F5}"/>
                </a:ext>
              </a:extLst>
            </xdr:cNvPr>
            <xdr:cNvPicPr>
              <a:picLocks noChangeAspect="1"/>
            </xdr:cNvPicPr>
          </xdr:nvPicPr>
          <xdr:blipFill>
            <a:blip xmlns:r="http://schemas.openxmlformats.org/officeDocument/2006/relationships" r:embed="rId7"/>
            <a:stretch>
              <a:fillRect/>
            </a:stretch>
          </xdr:blipFill>
          <xdr:spPr>
            <a:xfrm>
              <a:off x="1522641" y="382960"/>
              <a:ext cx="3812717" cy="5258135"/>
            </a:xfrm>
            <a:prstGeom prst="rect">
              <a:avLst/>
            </a:prstGeom>
            <a:ln>
              <a:solidFill>
                <a:schemeClr val="tx1"/>
              </a:solidFill>
            </a:ln>
          </xdr:spPr>
        </xdr:pic>
        <xdr:sp macro="" textlink="">
          <xdr:nvSpPr>
            <xdr:cNvPr id="15" name="Rectangle 14">
              <a:extLst>
                <a:ext uri="{FF2B5EF4-FFF2-40B4-BE49-F238E27FC236}">
                  <a16:creationId xmlns:a16="http://schemas.microsoft.com/office/drawing/2014/main" id="{0D317F9C-7A2F-4F63-BA5B-563452B6119C}"/>
                </a:ext>
              </a:extLst>
            </xdr:cNvPr>
            <xdr:cNvSpPr/>
          </xdr:nvSpPr>
          <xdr:spPr>
            <a:xfrm>
              <a:off x="2714171" y="3526971"/>
              <a:ext cx="714829" cy="943429"/>
            </a:xfrm>
            <a:prstGeom prst="rect">
              <a:avLst/>
            </a:prstGeom>
            <a:noFill/>
            <a:ln w="762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6" name="TextBox 67">
              <a:extLst>
                <a:ext uri="{FF2B5EF4-FFF2-40B4-BE49-F238E27FC236}">
                  <a16:creationId xmlns:a16="http://schemas.microsoft.com/office/drawing/2014/main" id="{947DE159-4503-408A-8C70-383C78928A89}"/>
                </a:ext>
              </a:extLst>
            </xdr:cNvPr>
            <xdr:cNvSpPr txBox="1"/>
          </xdr:nvSpPr>
          <xdr:spPr>
            <a:xfrm rot="10800000">
              <a:off x="2779590" y="3756985"/>
              <a:ext cx="2005677" cy="26732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0000FF"/>
                  </a:solidFill>
                </a:rPr>
                <a:t>Siddha Sky Phase 5</a:t>
              </a:r>
              <a:endParaRPr lang="en-IN" b="1">
                <a:solidFill>
                  <a:srgbClr val="0000FF"/>
                </a:solidFill>
              </a:endParaRPr>
            </a:p>
          </xdr:txBody>
        </xdr:sp>
        <xdr:sp macro="" textlink="">
          <xdr:nvSpPr>
            <xdr:cNvPr id="17" name="Rectangle 16">
              <a:extLst>
                <a:ext uri="{FF2B5EF4-FFF2-40B4-BE49-F238E27FC236}">
                  <a16:creationId xmlns:a16="http://schemas.microsoft.com/office/drawing/2014/main" id="{0D5121AC-5EC2-451B-8E05-BA01B7FDFD55}"/>
                </a:ext>
              </a:extLst>
            </xdr:cNvPr>
            <xdr:cNvSpPr/>
          </xdr:nvSpPr>
          <xdr:spPr>
            <a:xfrm rot="20954637">
              <a:off x="2815280" y="4494733"/>
              <a:ext cx="1088571" cy="506839"/>
            </a:xfrm>
            <a:prstGeom prst="rect">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8" name="Rectangle 17">
              <a:extLst>
                <a:ext uri="{FF2B5EF4-FFF2-40B4-BE49-F238E27FC236}">
                  <a16:creationId xmlns:a16="http://schemas.microsoft.com/office/drawing/2014/main" id="{F2CAE44E-317F-4E64-8FBA-998491C30395}"/>
                </a:ext>
              </a:extLst>
            </xdr:cNvPr>
            <xdr:cNvSpPr/>
          </xdr:nvSpPr>
          <xdr:spPr>
            <a:xfrm rot="20850453">
              <a:off x="3878131" y="4193798"/>
              <a:ext cx="1088571" cy="593941"/>
            </a:xfrm>
            <a:prstGeom prst="rect">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9" name="TextBox 70">
              <a:extLst>
                <a:ext uri="{FF2B5EF4-FFF2-40B4-BE49-F238E27FC236}">
                  <a16:creationId xmlns:a16="http://schemas.microsoft.com/office/drawing/2014/main" id="{1BC87A88-D1DE-46E0-8D3D-D4D138B8B2A9}"/>
                </a:ext>
              </a:extLst>
            </xdr:cNvPr>
            <xdr:cNvSpPr txBox="1"/>
          </xdr:nvSpPr>
          <xdr:spPr>
            <a:xfrm rot="10113281">
              <a:off x="3305382" y="4609233"/>
              <a:ext cx="377026" cy="26732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t>2B</a:t>
              </a:r>
              <a:endParaRPr lang="en-IN" sz="1800" b="1"/>
            </a:p>
          </xdr:txBody>
        </xdr:sp>
        <xdr:sp macro="" textlink="">
          <xdr:nvSpPr>
            <xdr:cNvPr id="20" name="TextBox 71">
              <a:extLst>
                <a:ext uri="{FF2B5EF4-FFF2-40B4-BE49-F238E27FC236}">
                  <a16:creationId xmlns:a16="http://schemas.microsoft.com/office/drawing/2014/main" id="{F65E269B-3AD8-4FAF-B06B-4288A0B3467F}"/>
                </a:ext>
              </a:extLst>
            </xdr:cNvPr>
            <xdr:cNvSpPr txBox="1"/>
          </xdr:nvSpPr>
          <xdr:spPr>
            <a:xfrm rot="9832858">
              <a:off x="4174641" y="4415315"/>
              <a:ext cx="385042" cy="26732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t>2A</a:t>
              </a:r>
              <a:endParaRPr lang="en-IN" sz="1800" b="1"/>
            </a:p>
          </xdr:txBody>
        </xdr:sp>
        <xdr:sp macro="" textlink="">
          <xdr:nvSpPr>
            <xdr:cNvPr id="21" name="Rectangle 20">
              <a:extLst>
                <a:ext uri="{FF2B5EF4-FFF2-40B4-BE49-F238E27FC236}">
                  <a16:creationId xmlns:a16="http://schemas.microsoft.com/office/drawing/2014/main" id="{B486F637-643E-4C95-8C18-E8D5D7D50F53}"/>
                </a:ext>
              </a:extLst>
            </xdr:cNvPr>
            <xdr:cNvSpPr/>
          </xdr:nvSpPr>
          <xdr:spPr>
            <a:xfrm>
              <a:off x="2777547" y="2955131"/>
              <a:ext cx="1025195" cy="506839"/>
            </a:xfrm>
            <a:prstGeom prst="rect">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2" name="Rectangle 21">
              <a:extLst>
                <a:ext uri="{FF2B5EF4-FFF2-40B4-BE49-F238E27FC236}">
                  <a16:creationId xmlns:a16="http://schemas.microsoft.com/office/drawing/2014/main" id="{C8F785BF-6986-4A05-9B6B-F92BA6344FF7}"/>
                </a:ext>
              </a:extLst>
            </xdr:cNvPr>
            <xdr:cNvSpPr/>
          </xdr:nvSpPr>
          <xdr:spPr>
            <a:xfrm>
              <a:off x="3802743" y="2955131"/>
              <a:ext cx="972458" cy="506839"/>
            </a:xfrm>
            <a:prstGeom prst="rect">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3" name="TextBox 74">
              <a:extLst>
                <a:ext uri="{FF2B5EF4-FFF2-40B4-BE49-F238E27FC236}">
                  <a16:creationId xmlns:a16="http://schemas.microsoft.com/office/drawing/2014/main" id="{80993BFA-ADA6-4A40-8B53-650D59538042}"/>
                </a:ext>
              </a:extLst>
            </xdr:cNvPr>
            <xdr:cNvSpPr txBox="1"/>
          </xdr:nvSpPr>
          <xdr:spPr>
            <a:xfrm rot="10800000">
              <a:off x="3152706" y="3049417"/>
              <a:ext cx="377026" cy="2896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t>1B</a:t>
              </a:r>
              <a:endParaRPr lang="en-IN" sz="2000" b="1"/>
            </a:p>
          </xdr:txBody>
        </xdr:sp>
        <xdr:sp macro="" textlink="">
          <xdr:nvSpPr>
            <xdr:cNvPr id="24" name="TextBox 75">
              <a:extLst>
                <a:ext uri="{FF2B5EF4-FFF2-40B4-BE49-F238E27FC236}">
                  <a16:creationId xmlns:a16="http://schemas.microsoft.com/office/drawing/2014/main" id="{DA13F943-7451-4D69-8669-36A393776C36}"/>
                </a:ext>
              </a:extLst>
            </xdr:cNvPr>
            <xdr:cNvSpPr txBox="1"/>
          </xdr:nvSpPr>
          <xdr:spPr>
            <a:xfrm rot="11023505">
              <a:off x="4101526" y="3039695"/>
              <a:ext cx="385042" cy="2896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t>1A</a:t>
              </a:r>
              <a:endParaRPr lang="en-IN" sz="2000" b="1"/>
            </a:p>
          </xdr:txBody>
        </xdr:sp>
        <xdr:cxnSp macro="">
          <xdr:nvCxnSpPr>
            <xdr:cNvPr id="25" name="Straight Connector 24">
              <a:extLst>
                <a:ext uri="{FF2B5EF4-FFF2-40B4-BE49-F238E27FC236}">
                  <a16:creationId xmlns:a16="http://schemas.microsoft.com/office/drawing/2014/main" id="{61ABA007-5CA5-4A8F-B0CD-B91E79323043}"/>
                </a:ext>
              </a:extLst>
            </xdr:cNvPr>
            <xdr:cNvCxnSpPr>
              <a:cxnSpLocks/>
            </xdr:cNvCxnSpPr>
          </xdr:nvCxnSpPr>
          <xdr:spPr>
            <a:xfrm flipH="1">
              <a:off x="2276399" y="382960"/>
              <a:ext cx="117722" cy="471573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a:extLst>
                <a:ext uri="{FF2B5EF4-FFF2-40B4-BE49-F238E27FC236}">
                  <a16:creationId xmlns:a16="http://schemas.microsoft.com/office/drawing/2014/main" id="{CE4FB867-AEF3-470C-82DD-B22A86C29862}"/>
                </a:ext>
              </a:extLst>
            </xdr:cNvPr>
            <xdr:cNvCxnSpPr>
              <a:cxnSpLocks/>
            </xdr:cNvCxnSpPr>
          </xdr:nvCxnSpPr>
          <xdr:spPr>
            <a:xfrm flipH="1">
              <a:off x="2604607" y="382959"/>
              <a:ext cx="117722" cy="471573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Straight Connector 26">
              <a:extLst>
                <a:ext uri="{FF2B5EF4-FFF2-40B4-BE49-F238E27FC236}">
                  <a16:creationId xmlns:a16="http://schemas.microsoft.com/office/drawing/2014/main" id="{D7484D7F-DCA1-4B46-8C08-0E25D92736A4}"/>
                </a:ext>
              </a:extLst>
            </xdr:cNvPr>
            <xdr:cNvCxnSpPr>
              <a:cxnSpLocks/>
            </xdr:cNvCxnSpPr>
          </xdr:nvCxnSpPr>
          <xdr:spPr>
            <a:xfrm flipH="1">
              <a:off x="1835093" y="382960"/>
              <a:ext cx="117722" cy="471573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Straight Connector 27">
              <a:extLst>
                <a:ext uri="{FF2B5EF4-FFF2-40B4-BE49-F238E27FC236}">
                  <a16:creationId xmlns:a16="http://schemas.microsoft.com/office/drawing/2014/main" id="{2A7962C3-C19B-4B4A-B382-BCF0479A5301}"/>
                </a:ext>
              </a:extLst>
            </xdr:cNvPr>
            <xdr:cNvCxnSpPr>
              <a:cxnSpLocks/>
            </xdr:cNvCxnSpPr>
          </xdr:nvCxnSpPr>
          <xdr:spPr>
            <a:xfrm flipH="1">
              <a:off x="2163301" y="382959"/>
              <a:ext cx="117722" cy="4715739"/>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9" name="Straight Connector 28">
              <a:extLst>
                <a:ext uri="{FF2B5EF4-FFF2-40B4-BE49-F238E27FC236}">
                  <a16:creationId xmlns:a16="http://schemas.microsoft.com/office/drawing/2014/main" id="{82434D1B-AEE3-4DFF-BF4D-D10C1EBC3338}"/>
                </a:ext>
              </a:extLst>
            </xdr:cNvPr>
            <xdr:cNvCxnSpPr>
              <a:cxnSpLocks/>
            </xdr:cNvCxnSpPr>
          </xdr:nvCxnSpPr>
          <xdr:spPr>
            <a:xfrm>
              <a:off x="1826188" y="5085075"/>
              <a:ext cx="350893" cy="49844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Straight Connector 29">
              <a:extLst>
                <a:ext uri="{FF2B5EF4-FFF2-40B4-BE49-F238E27FC236}">
                  <a16:creationId xmlns:a16="http://schemas.microsoft.com/office/drawing/2014/main" id="{2D341235-0FAD-4BBD-9F22-82E08DAD3D2C}"/>
                </a:ext>
              </a:extLst>
            </xdr:cNvPr>
            <xdr:cNvCxnSpPr>
              <a:cxnSpLocks/>
            </xdr:cNvCxnSpPr>
          </xdr:nvCxnSpPr>
          <xdr:spPr>
            <a:xfrm>
              <a:off x="2162126" y="5091886"/>
              <a:ext cx="368289" cy="491637"/>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1" name="Straight Connector 30">
              <a:extLst>
                <a:ext uri="{FF2B5EF4-FFF2-40B4-BE49-F238E27FC236}">
                  <a16:creationId xmlns:a16="http://schemas.microsoft.com/office/drawing/2014/main" id="{3B035F68-9399-4730-AFA3-5FF6944303A8}"/>
                </a:ext>
              </a:extLst>
            </xdr:cNvPr>
            <xdr:cNvCxnSpPr>
              <a:cxnSpLocks/>
            </xdr:cNvCxnSpPr>
          </xdr:nvCxnSpPr>
          <xdr:spPr>
            <a:xfrm>
              <a:off x="2281591" y="5091886"/>
              <a:ext cx="350893" cy="49844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Straight Connector 31">
              <a:extLst>
                <a:ext uri="{FF2B5EF4-FFF2-40B4-BE49-F238E27FC236}">
                  <a16:creationId xmlns:a16="http://schemas.microsoft.com/office/drawing/2014/main" id="{DAE5409D-9FDE-47D5-A4BF-75B05B548AE7}"/>
                </a:ext>
              </a:extLst>
            </xdr:cNvPr>
            <xdr:cNvCxnSpPr>
              <a:cxnSpLocks/>
            </xdr:cNvCxnSpPr>
          </xdr:nvCxnSpPr>
          <xdr:spPr>
            <a:xfrm>
              <a:off x="2613685" y="5091886"/>
              <a:ext cx="350893" cy="49844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33" name="TextBox 90">
              <a:extLst>
                <a:ext uri="{FF2B5EF4-FFF2-40B4-BE49-F238E27FC236}">
                  <a16:creationId xmlns:a16="http://schemas.microsoft.com/office/drawing/2014/main" id="{10218179-FBEB-494C-A736-888A85D011A7}"/>
                </a:ext>
              </a:extLst>
            </xdr:cNvPr>
            <xdr:cNvSpPr txBox="1"/>
          </xdr:nvSpPr>
          <xdr:spPr>
            <a:xfrm rot="16200000">
              <a:off x="1208022" y="3510260"/>
              <a:ext cx="1728697" cy="30080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400" b="1">
                  <a:solidFill>
                    <a:srgbClr val="FF0000"/>
                  </a:solidFill>
                  <a:latin typeface="Times New Roman" panose="02020603050405020304" pitchFamily="18" charset="0"/>
                  <a:cs typeface="Times New Roman" panose="02020603050405020304" pitchFamily="18" charset="0"/>
                </a:rPr>
                <a:t>HT Lines</a:t>
              </a:r>
              <a:endParaRPr lang="en-IN" sz="2400" b="1">
                <a:solidFill>
                  <a:srgbClr val="FF0000"/>
                </a:solidFill>
                <a:latin typeface="Times New Roman" panose="02020603050405020304" pitchFamily="18" charset="0"/>
                <a:cs typeface="Times New Roman" panose="02020603050405020304" pitchFamily="18" charset="0"/>
              </a:endParaRPr>
            </a:p>
          </xdr:txBody>
        </xdr:sp>
        <xdr:sp macro="" textlink="">
          <xdr:nvSpPr>
            <xdr:cNvPr id="62" name="TextBox 70">
              <a:extLst>
                <a:ext uri="{FF2B5EF4-FFF2-40B4-BE49-F238E27FC236}">
                  <a16:creationId xmlns:a16="http://schemas.microsoft.com/office/drawing/2014/main" id="{1BC87A88-D1DE-46E0-8D3D-D4D138B8B2A9}"/>
                </a:ext>
              </a:extLst>
            </xdr:cNvPr>
            <xdr:cNvSpPr txBox="1"/>
          </xdr:nvSpPr>
          <xdr:spPr>
            <a:xfrm rot="10800000">
              <a:off x="2408345" y="3955820"/>
              <a:ext cx="1005115" cy="26732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0000FF"/>
                  </a:solidFill>
                </a:rPr>
                <a:t>Tower 3</a:t>
              </a:r>
              <a:endParaRPr lang="en-IN" sz="1800" b="1">
                <a:solidFill>
                  <a:srgbClr val="0000FF"/>
                </a:solidFill>
              </a:endParaRPr>
            </a:p>
          </xdr:txBody>
        </xdr:sp>
      </xdr:grpSp>
      <xdr:sp macro="" textlink="">
        <xdr:nvSpPr>
          <xdr:cNvPr id="10" name="Rectangle 9">
            <a:extLst>
              <a:ext uri="{FF2B5EF4-FFF2-40B4-BE49-F238E27FC236}">
                <a16:creationId xmlns:a16="http://schemas.microsoft.com/office/drawing/2014/main" id="{68AD1FEA-B712-45E6-9A9F-F3234F083D0D}"/>
              </a:ext>
            </a:extLst>
          </xdr:cNvPr>
          <xdr:cNvSpPr/>
        </xdr:nvSpPr>
        <xdr:spPr>
          <a:xfrm>
            <a:off x="2603500" y="1282700"/>
            <a:ext cx="1600200" cy="1397000"/>
          </a:xfrm>
          <a:prstGeom prst="rect">
            <a:avLst/>
          </a:prstGeom>
          <a:noFill/>
          <a:ln w="571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1" name="TextBox 93">
            <a:extLst>
              <a:ext uri="{FF2B5EF4-FFF2-40B4-BE49-F238E27FC236}">
                <a16:creationId xmlns:a16="http://schemas.microsoft.com/office/drawing/2014/main" id="{35306EED-6493-40A4-A742-CED1A99FC49E}"/>
              </a:ext>
            </a:extLst>
          </xdr:cNvPr>
          <xdr:cNvSpPr txBox="1"/>
        </xdr:nvSpPr>
        <xdr:spPr>
          <a:xfrm rot="10800000">
            <a:off x="2718101" y="1708608"/>
            <a:ext cx="1102748" cy="23935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chemeClr val="accent1">
                    <a:lumMod val="50000"/>
                  </a:schemeClr>
                </a:solidFill>
                <a:latin typeface="Times New Roman" panose="02020603050405020304" pitchFamily="18" charset="0"/>
                <a:cs typeface="Times New Roman" panose="02020603050405020304" pitchFamily="18" charset="0"/>
              </a:rPr>
              <a:t>Rehab Wings  </a:t>
            </a:r>
            <a:endParaRPr lang="en-IN" sz="1600" b="1">
              <a:solidFill>
                <a:schemeClr val="accent1">
                  <a:lumMod val="50000"/>
                </a:schemeClr>
              </a:solidFill>
              <a:latin typeface="Times New Roman" panose="02020603050405020304" pitchFamily="18" charset="0"/>
              <a:cs typeface="Times New Roman" panose="02020603050405020304" pitchFamily="18" charset="0"/>
            </a:endParaRPr>
          </a:p>
        </xdr:txBody>
      </xdr:sp>
      <xdr:sp macro="" textlink="">
        <xdr:nvSpPr>
          <xdr:cNvPr id="12" name="Rectangle 11">
            <a:extLst>
              <a:ext uri="{FF2B5EF4-FFF2-40B4-BE49-F238E27FC236}">
                <a16:creationId xmlns:a16="http://schemas.microsoft.com/office/drawing/2014/main" id="{0BCD74A7-EB0F-4ADE-B694-A56818DF905F}"/>
              </a:ext>
            </a:extLst>
          </xdr:cNvPr>
          <xdr:cNvSpPr/>
        </xdr:nvSpPr>
        <xdr:spPr>
          <a:xfrm>
            <a:off x="2517604" y="2719534"/>
            <a:ext cx="2459840" cy="2353763"/>
          </a:xfrm>
          <a:prstGeom prst="rect">
            <a:avLst/>
          </a:prstGeom>
          <a:noFill/>
          <a:ln w="5715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3" name="TextBox 95">
            <a:extLst>
              <a:ext uri="{FF2B5EF4-FFF2-40B4-BE49-F238E27FC236}">
                <a16:creationId xmlns:a16="http://schemas.microsoft.com/office/drawing/2014/main" id="{BE692B4C-E894-4601-866F-40182E74DB5B}"/>
              </a:ext>
            </a:extLst>
          </xdr:cNvPr>
          <xdr:cNvSpPr txBox="1"/>
        </xdr:nvSpPr>
        <xdr:spPr>
          <a:xfrm rot="10800000">
            <a:off x="4008384" y="2722072"/>
            <a:ext cx="910129" cy="21784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chemeClr val="accent2">
                    <a:lumMod val="75000"/>
                  </a:schemeClr>
                </a:solidFill>
                <a:latin typeface="Times New Roman" panose="02020603050405020304" pitchFamily="18" charset="0"/>
                <a:cs typeface="Times New Roman" panose="02020603050405020304" pitchFamily="18" charset="0"/>
              </a:rPr>
              <a:t>Sale Buildings </a:t>
            </a:r>
            <a:endParaRPr lang="en-IN" sz="1400" b="1">
              <a:solidFill>
                <a:schemeClr val="accent2">
                  <a:lumMod val="75000"/>
                </a:schemeClr>
              </a:solidFill>
              <a:latin typeface="Times New Roman" panose="02020603050405020304" pitchFamily="18" charset="0"/>
              <a:cs typeface="Times New Roman" panose="02020603050405020304" pitchFamily="18" charset="0"/>
            </a:endParaRPr>
          </a:p>
        </xdr:txBody>
      </xdr:sp>
    </xdr:grpSp>
    <xdr:clientData/>
  </xdr:twoCellAnchor>
  <xdr:twoCellAnchor editAs="oneCell">
    <xdr:from>
      <xdr:col>9</xdr:col>
      <xdr:colOff>229106</xdr:colOff>
      <xdr:row>316</xdr:row>
      <xdr:rowOff>146328</xdr:rowOff>
    </xdr:from>
    <xdr:to>
      <xdr:col>15</xdr:col>
      <xdr:colOff>492462</xdr:colOff>
      <xdr:row>331</xdr:row>
      <xdr:rowOff>106136</xdr:rowOff>
    </xdr:to>
    <xdr:pic>
      <xdr:nvPicPr>
        <xdr:cNvPr id="34" name="Picture 33">
          <a:extLst>
            <a:ext uri="{FF2B5EF4-FFF2-40B4-BE49-F238E27FC236}">
              <a16:creationId xmlns:a16="http://schemas.microsoft.com/office/drawing/2014/main" id="{E5F27AC2-5652-400C-9D9D-7CC2091E3F83}"/>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7706231" y="54762678"/>
          <a:ext cx="5140156" cy="2960183"/>
        </a:xfrm>
        <a:prstGeom prst="rect">
          <a:avLst/>
        </a:prstGeom>
        <a:ln>
          <a:solidFill>
            <a:schemeClr val="tx1"/>
          </a:solidFill>
        </a:ln>
      </xdr:spPr>
    </xdr:pic>
    <xdr:clientData/>
  </xdr:twoCellAnchor>
  <xdr:twoCellAnchor editAs="oneCell">
    <xdr:from>
      <xdr:col>8</xdr:col>
      <xdr:colOff>89647</xdr:colOff>
      <xdr:row>40</xdr:row>
      <xdr:rowOff>0</xdr:rowOff>
    </xdr:from>
    <xdr:to>
      <xdr:col>11</xdr:col>
      <xdr:colOff>107392</xdr:colOff>
      <xdr:row>50</xdr:row>
      <xdr:rowOff>111827</xdr:rowOff>
    </xdr:to>
    <xdr:pic>
      <xdr:nvPicPr>
        <xdr:cNvPr id="50" name="Picture 49">
          <a:extLst>
            <a:ext uri="{FF2B5EF4-FFF2-40B4-BE49-F238E27FC236}">
              <a16:creationId xmlns:a16="http://schemas.microsoft.com/office/drawing/2014/main" id="{878FB601-617E-4E55-8C04-990C0129E21E}"/>
            </a:ext>
          </a:extLst>
        </xdr:cNvPr>
        <xdr:cNvPicPr>
          <a:picLocks noChangeAspect="1"/>
        </xdr:cNvPicPr>
      </xdr:nvPicPr>
      <xdr:blipFill>
        <a:blip xmlns:r="http://schemas.openxmlformats.org/officeDocument/2006/relationships" r:embed="rId9"/>
        <a:stretch>
          <a:fillRect/>
        </a:stretch>
      </xdr:blipFill>
      <xdr:spPr>
        <a:xfrm>
          <a:off x="6398559" y="9547412"/>
          <a:ext cx="2695951" cy="2353003"/>
        </a:xfrm>
        <a:prstGeom prst="rect">
          <a:avLst/>
        </a:prstGeom>
      </xdr:spPr>
    </xdr:pic>
    <xdr:clientData/>
  </xdr:twoCellAnchor>
  <xdr:twoCellAnchor editAs="oneCell">
    <xdr:from>
      <xdr:col>16</xdr:col>
      <xdr:colOff>232344</xdr:colOff>
      <xdr:row>154</xdr:row>
      <xdr:rowOff>270852</xdr:rowOff>
    </xdr:from>
    <xdr:to>
      <xdr:col>20</xdr:col>
      <xdr:colOff>191194</xdr:colOff>
      <xdr:row>175</xdr:row>
      <xdr:rowOff>193613</xdr:rowOff>
    </xdr:to>
    <xdr:pic>
      <xdr:nvPicPr>
        <xdr:cNvPr id="51" name="Picture 50">
          <a:extLst>
            <a:ext uri="{FF2B5EF4-FFF2-40B4-BE49-F238E27FC236}">
              <a16:creationId xmlns:a16="http://schemas.microsoft.com/office/drawing/2014/main" id="{09B94E9D-A6A1-4953-9B74-6F24FB4E343D}"/>
            </a:ext>
          </a:extLst>
        </xdr:cNvPr>
        <xdr:cNvPicPr>
          <a:picLocks noChangeAspect="1"/>
        </xdr:cNvPicPr>
      </xdr:nvPicPr>
      <xdr:blipFill>
        <a:blip xmlns:r="http://schemas.openxmlformats.org/officeDocument/2006/relationships" r:embed="rId10"/>
        <a:stretch>
          <a:fillRect/>
        </a:stretch>
      </xdr:blipFill>
      <xdr:spPr>
        <a:xfrm>
          <a:off x="13365638" y="22794676"/>
          <a:ext cx="2614644" cy="4225260"/>
        </a:xfrm>
        <a:prstGeom prst="rect">
          <a:avLst/>
        </a:prstGeom>
      </xdr:spPr>
    </xdr:pic>
    <xdr:clientData/>
  </xdr:twoCellAnchor>
  <xdr:twoCellAnchor editAs="oneCell">
    <xdr:from>
      <xdr:col>10</xdr:col>
      <xdr:colOff>481853</xdr:colOff>
      <xdr:row>16</xdr:row>
      <xdr:rowOff>336177</xdr:rowOff>
    </xdr:from>
    <xdr:to>
      <xdr:col>20</xdr:col>
      <xdr:colOff>16678</xdr:colOff>
      <xdr:row>42</xdr:row>
      <xdr:rowOff>172218</xdr:rowOff>
    </xdr:to>
    <xdr:pic>
      <xdr:nvPicPr>
        <xdr:cNvPr id="52" name="Picture 51">
          <a:extLst>
            <a:ext uri="{FF2B5EF4-FFF2-40B4-BE49-F238E27FC236}">
              <a16:creationId xmlns:a16="http://schemas.microsoft.com/office/drawing/2014/main" id="{58895054-4F80-4FCF-BF61-2E81D31D6889}"/>
            </a:ext>
          </a:extLst>
        </xdr:cNvPr>
        <xdr:cNvPicPr>
          <a:picLocks noChangeAspect="1"/>
        </xdr:cNvPicPr>
      </xdr:nvPicPr>
      <xdr:blipFill>
        <a:blip xmlns:r="http://schemas.openxmlformats.org/officeDocument/2006/relationships" r:embed="rId11"/>
        <a:stretch>
          <a:fillRect/>
        </a:stretch>
      </xdr:blipFill>
      <xdr:spPr>
        <a:xfrm>
          <a:off x="8718177" y="4594412"/>
          <a:ext cx="7087589" cy="5506218"/>
        </a:xfrm>
        <a:prstGeom prst="rect">
          <a:avLst/>
        </a:prstGeom>
      </xdr:spPr>
    </xdr:pic>
    <xdr:clientData/>
  </xdr:twoCellAnchor>
  <xdr:twoCellAnchor editAs="oneCell">
    <xdr:from>
      <xdr:col>12</xdr:col>
      <xdr:colOff>369154</xdr:colOff>
      <xdr:row>168</xdr:row>
      <xdr:rowOff>76915</xdr:rowOff>
    </xdr:from>
    <xdr:to>
      <xdr:col>16</xdr:col>
      <xdr:colOff>494896</xdr:colOff>
      <xdr:row>180</xdr:row>
      <xdr:rowOff>129667</xdr:rowOff>
    </xdr:to>
    <xdr:pic>
      <xdr:nvPicPr>
        <xdr:cNvPr id="63" name="Picture 62">
          <a:extLst>
            <a:ext uri="{FF2B5EF4-FFF2-40B4-BE49-F238E27FC236}">
              <a16:creationId xmlns:a16="http://schemas.microsoft.com/office/drawing/2014/main" id="{88CBAB16-7CC9-45BB-9397-BF61483C279C}"/>
            </a:ext>
          </a:extLst>
        </xdr:cNvPr>
        <xdr:cNvPicPr>
          <a:picLocks noChangeAspect="1"/>
        </xdr:cNvPicPr>
      </xdr:nvPicPr>
      <xdr:blipFill>
        <a:blip xmlns:r="http://schemas.openxmlformats.org/officeDocument/2006/relationships" r:embed="rId12"/>
        <a:stretch>
          <a:fillRect/>
        </a:stretch>
      </xdr:blipFill>
      <xdr:spPr>
        <a:xfrm>
          <a:off x="10275154" y="25054827"/>
          <a:ext cx="3353036" cy="2473222"/>
        </a:xfrm>
        <a:prstGeom prst="rect">
          <a:avLst/>
        </a:prstGeom>
      </xdr:spPr>
    </xdr:pic>
    <xdr:clientData/>
  </xdr:twoCellAnchor>
  <xdr:twoCellAnchor editAs="oneCell">
    <xdr:from>
      <xdr:col>14</xdr:col>
      <xdr:colOff>87086</xdr:colOff>
      <xdr:row>162</xdr:row>
      <xdr:rowOff>155363</xdr:rowOff>
    </xdr:from>
    <xdr:to>
      <xdr:col>17</xdr:col>
      <xdr:colOff>125902</xdr:colOff>
      <xdr:row>171</xdr:row>
      <xdr:rowOff>146173</xdr:rowOff>
    </xdr:to>
    <xdr:pic>
      <xdr:nvPicPr>
        <xdr:cNvPr id="64" name="Picture 63">
          <a:extLst>
            <a:ext uri="{FF2B5EF4-FFF2-40B4-BE49-F238E27FC236}">
              <a16:creationId xmlns:a16="http://schemas.microsoft.com/office/drawing/2014/main" id="{5EC58997-1F59-4B28-A327-FFF8CB0A1894}"/>
            </a:ext>
          </a:extLst>
        </xdr:cNvPr>
        <xdr:cNvPicPr>
          <a:picLocks noChangeAspect="1"/>
        </xdr:cNvPicPr>
      </xdr:nvPicPr>
      <xdr:blipFill>
        <a:blip xmlns:r="http://schemas.openxmlformats.org/officeDocument/2006/relationships" r:embed="rId13"/>
        <a:stretch>
          <a:fillRect/>
        </a:stretch>
      </xdr:blipFill>
      <xdr:spPr>
        <a:xfrm>
          <a:off x="11629145" y="23923039"/>
          <a:ext cx="2235169" cy="1806163"/>
        </a:xfrm>
        <a:prstGeom prst="rect">
          <a:avLst/>
        </a:prstGeom>
      </xdr:spPr>
    </xdr:pic>
    <xdr:clientData/>
  </xdr:twoCellAnchor>
  <xdr:twoCellAnchor editAs="oneCell">
    <xdr:from>
      <xdr:col>15</xdr:col>
      <xdr:colOff>694777</xdr:colOff>
      <xdr:row>150</xdr:row>
      <xdr:rowOff>303200</xdr:rowOff>
    </xdr:from>
    <xdr:to>
      <xdr:col>20</xdr:col>
      <xdr:colOff>507628</xdr:colOff>
      <xdr:row>162</xdr:row>
      <xdr:rowOff>8120</xdr:rowOff>
    </xdr:to>
    <xdr:pic>
      <xdr:nvPicPr>
        <xdr:cNvPr id="65" name="Picture 64">
          <a:extLst>
            <a:ext uri="{FF2B5EF4-FFF2-40B4-BE49-F238E27FC236}">
              <a16:creationId xmlns:a16="http://schemas.microsoft.com/office/drawing/2014/main" id="{302D0F43-B091-4E06-B883-0CBFBB7C97DC}"/>
            </a:ext>
          </a:extLst>
        </xdr:cNvPr>
        <xdr:cNvPicPr>
          <a:picLocks noChangeAspect="1"/>
        </xdr:cNvPicPr>
      </xdr:nvPicPr>
      <xdr:blipFill>
        <a:blip xmlns:r="http://schemas.openxmlformats.org/officeDocument/2006/relationships" r:embed="rId14"/>
        <a:stretch>
          <a:fillRect/>
        </a:stretch>
      </xdr:blipFill>
      <xdr:spPr>
        <a:xfrm>
          <a:off x="13025322" y="21777745"/>
          <a:ext cx="3241851" cy="2597057"/>
        </a:xfrm>
        <a:prstGeom prst="rect">
          <a:avLst/>
        </a:prstGeom>
      </xdr:spPr>
    </xdr:pic>
    <xdr:clientData/>
  </xdr:twoCellAnchor>
  <xdr:twoCellAnchor editAs="oneCell">
    <xdr:from>
      <xdr:col>20</xdr:col>
      <xdr:colOff>513452</xdr:colOff>
      <xdr:row>161</xdr:row>
      <xdr:rowOff>186624</xdr:rowOff>
    </xdr:from>
    <xdr:to>
      <xdr:col>24</xdr:col>
      <xdr:colOff>455075</xdr:colOff>
      <xdr:row>178</xdr:row>
      <xdr:rowOff>160191</xdr:rowOff>
    </xdr:to>
    <xdr:pic>
      <xdr:nvPicPr>
        <xdr:cNvPr id="66" name="Picture 65">
          <a:extLst>
            <a:ext uri="{FF2B5EF4-FFF2-40B4-BE49-F238E27FC236}">
              <a16:creationId xmlns:a16="http://schemas.microsoft.com/office/drawing/2014/main" id="{842D19E8-4F25-4222-8845-7B453BCC93A8}"/>
            </a:ext>
          </a:extLst>
        </xdr:cNvPr>
        <xdr:cNvPicPr>
          <a:picLocks noChangeAspect="1"/>
        </xdr:cNvPicPr>
      </xdr:nvPicPr>
      <xdr:blipFill>
        <a:blip xmlns:r="http://schemas.openxmlformats.org/officeDocument/2006/relationships" r:embed="rId15"/>
        <a:stretch>
          <a:fillRect/>
        </a:stretch>
      </xdr:blipFill>
      <xdr:spPr>
        <a:xfrm>
          <a:off x="16272997" y="24345488"/>
          <a:ext cx="2366169" cy="3506476"/>
        </a:xfrm>
        <a:prstGeom prst="rect">
          <a:avLst/>
        </a:prstGeom>
      </xdr:spPr>
    </xdr:pic>
    <xdr:clientData/>
  </xdr:twoCellAnchor>
  <xdr:twoCellAnchor>
    <xdr:from>
      <xdr:col>0</xdr:col>
      <xdr:colOff>370594</xdr:colOff>
      <xdr:row>302</xdr:row>
      <xdr:rowOff>89645</xdr:rowOff>
    </xdr:from>
    <xdr:to>
      <xdr:col>7</xdr:col>
      <xdr:colOff>391405</xdr:colOff>
      <xdr:row>321</xdr:row>
      <xdr:rowOff>129009</xdr:rowOff>
    </xdr:to>
    <xdr:grpSp>
      <xdr:nvGrpSpPr>
        <xdr:cNvPr id="80" name="Group 79"/>
        <xdr:cNvGrpSpPr/>
      </xdr:nvGrpSpPr>
      <xdr:grpSpPr>
        <a:xfrm>
          <a:off x="370594" y="51524645"/>
          <a:ext cx="5601340" cy="3871776"/>
          <a:chOff x="370594" y="51659116"/>
          <a:chExt cx="5601340" cy="3871776"/>
        </a:xfrm>
      </xdr:grpSpPr>
      <xdr:grpSp>
        <xdr:nvGrpSpPr>
          <xdr:cNvPr id="35" name="Group 34">
            <a:extLst>
              <a:ext uri="{FF2B5EF4-FFF2-40B4-BE49-F238E27FC236}">
                <a16:creationId xmlns:a16="http://schemas.microsoft.com/office/drawing/2014/main" id="{D43A87DD-DB3A-4510-9115-9371247E89BC}"/>
              </a:ext>
            </a:extLst>
          </xdr:cNvPr>
          <xdr:cNvGrpSpPr/>
        </xdr:nvGrpSpPr>
        <xdr:grpSpPr>
          <a:xfrm>
            <a:off x="370594" y="51659116"/>
            <a:ext cx="5601340" cy="3871776"/>
            <a:chOff x="857250" y="2167263"/>
            <a:chExt cx="4953000" cy="2979440"/>
          </a:xfrm>
        </xdr:grpSpPr>
        <xdr:pic>
          <xdr:nvPicPr>
            <xdr:cNvPr id="36" name="Picture 35">
              <a:extLst>
                <a:ext uri="{FF2B5EF4-FFF2-40B4-BE49-F238E27FC236}">
                  <a16:creationId xmlns:a16="http://schemas.microsoft.com/office/drawing/2014/main" id="{411BBDDF-4C51-47F0-A6DF-463805E9FD42}"/>
                </a:ext>
              </a:extLst>
            </xdr:cNvPr>
            <xdr:cNvPicPr>
              <a:picLocks noChangeAspect="1"/>
            </xdr:cNvPicPr>
          </xdr:nvPicPr>
          <xdr:blipFill rotWithShape="1">
            <a:blip xmlns:r="http://schemas.openxmlformats.org/officeDocument/2006/relationships" r:embed="rId16" cstate="screen">
              <a:extLst>
                <a:ext uri="{28A0092B-C50C-407E-A947-70E740481C1C}">
                  <a14:useLocalDpi xmlns:a14="http://schemas.microsoft.com/office/drawing/2010/main"/>
                </a:ext>
              </a:extLst>
            </a:blip>
            <a:srcRect/>
            <a:stretch/>
          </xdr:blipFill>
          <xdr:spPr>
            <a:xfrm>
              <a:off x="857250" y="2168497"/>
              <a:ext cx="4953000" cy="2978206"/>
            </a:xfrm>
            <a:prstGeom prst="rect">
              <a:avLst/>
            </a:prstGeom>
            <a:ln>
              <a:solidFill>
                <a:schemeClr val="tx1"/>
              </a:solidFill>
            </a:ln>
          </xdr:spPr>
        </xdr:pic>
        <xdr:sp macro="" textlink="">
          <xdr:nvSpPr>
            <xdr:cNvPr id="37" name="Rectangle 36">
              <a:extLst>
                <a:ext uri="{FF2B5EF4-FFF2-40B4-BE49-F238E27FC236}">
                  <a16:creationId xmlns:a16="http://schemas.microsoft.com/office/drawing/2014/main" id="{F10002FA-9AEB-406A-BB57-C515FF87D9A4}"/>
                </a:ext>
              </a:extLst>
            </xdr:cNvPr>
            <xdr:cNvSpPr/>
          </xdr:nvSpPr>
          <xdr:spPr>
            <a:xfrm rot="887723">
              <a:off x="3676650" y="2905125"/>
              <a:ext cx="333375" cy="457200"/>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8" name="TextBox 10">
              <a:extLst>
                <a:ext uri="{FF2B5EF4-FFF2-40B4-BE49-F238E27FC236}">
                  <a16:creationId xmlns:a16="http://schemas.microsoft.com/office/drawing/2014/main" id="{8736C22A-D850-4CF3-B9C1-F1E765D4E0FB}"/>
                </a:ext>
              </a:extLst>
            </xdr:cNvPr>
            <xdr:cNvSpPr txBox="1"/>
          </xdr:nvSpPr>
          <xdr:spPr>
            <a:xfrm rot="610836">
              <a:off x="2841579" y="3322885"/>
              <a:ext cx="1342287" cy="47960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b="1">
                  <a:solidFill>
                    <a:srgbClr val="FFFF00"/>
                  </a:solidFill>
                  <a:latin typeface="Times New Roman" panose="02020603050405020304" pitchFamily="18" charset="0"/>
                  <a:cs typeface="Times New Roman" panose="02020603050405020304" pitchFamily="18" charset="0"/>
                </a:rPr>
                <a:t>Siddha Sky</a:t>
              </a:r>
              <a:r>
                <a:rPr lang="en-US" b="1" baseline="0">
                  <a:solidFill>
                    <a:srgbClr val="FFFF00"/>
                  </a:solidFill>
                  <a:latin typeface="Times New Roman" panose="02020603050405020304" pitchFamily="18" charset="0"/>
                  <a:cs typeface="Times New Roman" panose="02020603050405020304" pitchFamily="18" charset="0"/>
                </a:rPr>
                <a:t> </a:t>
              </a:r>
            </a:p>
            <a:p>
              <a:pPr algn="ctr"/>
              <a:r>
                <a:rPr lang="en-US" b="1">
                  <a:solidFill>
                    <a:srgbClr val="FFFF00"/>
                  </a:solidFill>
                  <a:latin typeface="Times New Roman" panose="02020603050405020304" pitchFamily="18" charset="0"/>
                  <a:cs typeface="Times New Roman" panose="02020603050405020304" pitchFamily="18" charset="0"/>
                </a:rPr>
                <a:t>Phase V</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39" name="Rectangle 38">
              <a:extLst>
                <a:ext uri="{FF2B5EF4-FFF2-40B4-BE49-F238E27FC236}">
                  <a16:creationId xmlns:a16="http://schemas.microsoft.com/office/drawing/2014/main" id="{347C446E-77E7-4FE4-8EE2-B27B34193ABB}"/>
                </a:ext>
              </a:extLst>
            </xdr:cNvPr>
            <xdr:cNvSpPr/>
          </xdr:nvSpPr>
          <xdr:spPr>
            <a:xfrm>
              <a:off x="4162425" y="2676525"/>
              <a:ext cx="210973" cy="19361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xnSp macro="">
          <xdr:nvCxnSpPr>
            <xdr:cNvPr id="40" name="Straight Connector 39">
              <a:extLst>
                <a:ext uri="{FF2B5EF4-FFF2-40B4-BE49-F238E27FC236}">
                  <a16:creationId xmlns:a16="http://schemas.microsoft.com/office/drawing/2014/main" id="{7F4CD933-D7A4-4744-B588-23FAFA8BE3AE}"/>
                </a:ext>
              </a:extLst>
            </xdr:cNvPr>
            <xdr:cNvCxnSpPr>
              <a:cxnSpLocks/>
            </xdr:cNvCxnSpPr>
          </xdr:nvCxnSpPr>
          <xdr:spPr>
            <a:xfrm flipH="1">
              <a:off x="3611198" y="2762268"/>
              <a:ext cx="653984" cy="2354145"/>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42" name="Rectangle 41">
              <a:extLst>
                <a:ext uri="{FF2B5EF4-FFF2-40B4-BE49-F238E27FC236}">
                  <a16:creationId xmlns:a16="http://schemas.microsoft.com/office/drawing/2014/main" id="{CE3CFEC8-6ADA-4D6D-B557-7A406F18EF2F}"/>
                </a:ext>
              </a:extLst>
            </xdr:cNvPr>
            <xdr:cNvSpPr/>
          </xdr:nvSpPr>
          <xdr:spPr>
            <a:xfrm>
              <a:off x="4427967" y="2682938"/>
              <a:ext cx="210973" cy="19361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xnSp macro="">
          <xdr:nvCxnSpPr>
            <xdr:cNvPr id="44" name="Straight Connector 43">
              <a:extLst>
                <a:ext uri="{FF2B5EF4-FFF2-40B4-BE49-F238E27FC236}">
                  <a16:creationId xmlns:a16="http://schemas.microsoft.com/office/drawing/2014/main" id="{ADE8A86C-57C6-4780-9003-C5462232E49E}"/>
                </a:ext>
              </a:extLst>
            </xdr:cNvPr>
            <xdr:cNvCxnSpPr>
              <a:cxnSpLocks/>
            </xdr:cNvCxnSpPr>
          </xdr:nvCxnSpPr>
          <xdr:spPr>
            <a:xfrm flipH="1">
              <a:off x="3789557" y="2779515"/>
              <a:ext cx="723346" cy="2345521"/>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Straight Connector 44">
              <a:extLst>
                <a:ext uri="{FF2B5EF4-FFF2-40B4-BE49-F238E27FC236}">
                  <a16:creationId xmlns:a16="http://schemas.microsoft.com/office/drawing/2014/main" id="{245DF866-6F5A-431C-90DD-0184CFB5CA5A}"/>
                </a:ext>
              </a:extLst>
            </xdr:cNvPr>
            <xdr:cNvCxnSpPr>
              <a:cxnSpLocks/>
            </xdr:cNvCxnSpPr>
          </xdr:nvCxnSpPr>
          <xdr:spPr>
            <a:xfrm flipV="1">
              <a:off x="1434608" y="2495741"/>
              <a:ext cx="4375642" cy="180785"/>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Straight Connector 45">
              <a:extLst>
                <a:ext uri="{FF2B5EF4-FFF2-40B4-BE49-F238E27FC236}">
                  <a16:creationId xmlns:a16="http://schemas.microsoft.com/office/drawing/2014/main" id="{24088FCE-0AF8-4A45-AE28-1B57833B0B97}"/>
                </a:ext>
              </a:extLst>
            </xdr:cNvPr>
            <xdr:cNvCxnSpPr>
              <a:cxnSpLocks/>
            </xdr:cNvCxnSpPr>
          </xdr:nvCxnSpPr>
          <xdr:spPr>
            <a:xfrm flipV="1">
              <a:off x="1434608" y="2733488"/>
              <a:ext cx="4375641" cy="143063"/>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a:extLst>
                <a:ext uri="{FF2B5EF4-FFF2-40B4-BE49-F238E27FC236}">
                  <a16:creationId xmlns:a16="http://schemas.microsoft.com/office/drawing/2014/main" id="{E200AEDD-BB75-4D02-9915-65C0423EF3C2}"/>
                </a:ext>
              </a:extLst>
            </xdr:cNvPr>
            <xdr:cNvCxnSpPr>
              <a:cxnSpLocks/>
            </xdr:cNvCxnSpPr>
          </xdr:nvCxnSpPr>
          <xdr:spPr>
            <a:xfrm flipV="1">
              <a:off x="857250" y="2676526"/>
              <a:ext cx="623609" cy="847725"/>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cxnSp macro="">
          <xdr:nvCxnSpPr>
            <xdr:cNvPr id="48" name="Straight Connector 47">
              <a:extLst>
                <a:ext uri="{FF2B5EF4-FFF2-40B4-BE49-F238E27FC236}">
                  <a16:creationId xmlns:a16="http://schemas.microsoft.com/office/drawing/2014/main" id="{2A0425D4-1311-4BC9-8184-0F82EA146C37}"/>
                </a:ext>
              </a:extLst>
            </xdr:cNvPr>
            <xdr:cNvCxnSpPr>
              <a:cxnSpLocks/>
            </xdr:cNvCxnSpPr>
          </xdr:nvCxnSpPr>
          <xdr:spPr>
            <a:xfrm flipV="1">
              <a:off x="921152" y="2879663"/>
              <a:ext cx="559707" cy="825373"/>
            </a:xfrm>
            <a:prstGeom prst="line">
              <a:avLst/>
            </a:prstGeom>
            <a:ln w="19050">
              <a:solidFill>
                <a:srgbClr val="FFC000"/>
              </a:solidFill>
            </a:ln>
          </xdr:spPr>
          <xdr:style>
            <a:lnRef idx="1">
              <a:schemeClr val="accent1"/>
            </a:lnRef>
            <a:fillRef idx="0">
              <a:schemeClr val="accent1"/>
            </a:fillRef>
            <a:effectRef idx="0">
              <a:schemeClr val="accent1"/>
            </a:effectRef>
            <a:fontRef idx="minor">
              <a:schemeClr val="tx1"/>
            </a:fontRef>
          </xdr:style>
        </xdr:cxnSp>
        <xdr:sp macro="" textlink="">
          <xdr:nvSpPr>
            <xdr:cNvPr id="49" name="TextBox 33">
              <a:extLst>
                <a:ext uri="{FF2B5EF4-FFF2-40B4-BE49-F238E27FC236}">
                  <a16:creationId xmlns:a16="http://schemas.microsoft.com/office/drawing/2014/main" id="{0CEE8B43-2C71-4DFD-8E64-FFD2B0764BC5}"/>
                </a:ext>
              </a:extLst>
            </xdr:cNvPr>
            <xdr:cNvSpPr txBox="1"/>
          </xdr:nvSpPr>
          <xdr:spPr>
            <a:xfrm>
              <a:off x="2228294" y="2347984"/>
              <a:ext cx="2017069" cy="27532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FFC000"/>
                  </a:solidFill>
                  <a:latin typeface="Times New Roman" panose="02020603050405020304" pitchFamily="18" charset="0"/>
                  <a:cs typeface="Times New Roman" panose="02020603050405020304" pitchFamily="18" charset="0"/>
                </a:rPr>
                <a:t>Monorail Tracks</a:t>
              </a:r>
              <a:endParaRPr lang="en-IN" sz="1800" b="1">
                <a:solidFill>
                  <a:srgbClr val="FFC000"/>
                </a:solidFill>
                <a:latin typeface="Times New Roman" panose="02020603050405020304" pitchFamily="18" charset="0"/>
                <a:cs typeface="Times New Roman" panose="02020603050405020304" pitchFamily="18" charset="0"/>
              </a:endParaRPr>
            </a:p>
          </xdr:txBody>
        </xdr:sp>
        <xdr:cxnSp macro="">
          <xdr:nvCxnSpPr>
            <xdr:cNvPr id="74" name="Straight Connector 73">
              <a:extLst>
                <a:ext uri="{FF2B5EF4-FFF2-40B4-BE49-F238E27FC236}">
                  <a16:creationId xmlns:a16="http://schemas.microsoft.com/office/drawing/2014/main" id="{ADE8A86C-57C6-4780-9003-C5462232E49E}"/>
                </a:ext>
              </a:extLst>
            </xdr:cNvPr>
            <xdr:cNvCxnSpPr>
              <a:cxnSpLocks/>
            </xdr:cNvCxnSpPr>
          </xdr:nvCxnSpPr>
          <xdr:spPr>
            <a:xfrm>
              <a:off x="3977824" y="2167263"/>
              <a:ext cx="525169" cy="612251"/>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7" name="Straight Connector 76">
              <a:extLst>
                <a:ext uri="{FF2B5EF4-FFF2-40B4-BE49-F238E27FC236}">
                  <a16:creationId xmlns:a16="http://schemas.microsoft.com/office/drawing/2014/main" id="{ADE8A86C-57C6-4780-9003-C5462232E49E}"/>
                </a:ext>
              </a:extLst>
            </xdr:cNvPr>
            <xdr:cNvCxnSpPr>
              <a:cxnSpLocks/>
            </xdr:cNvCxnSpPr>
          </xdr:nvCxnSpPr>
          <xdr:spPr>
            <a:xfrm>
              <a:off x="3670649" y="2184510"/>
              <a:ext cx="564805" cy="603628"/>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67" name="TextBox 90">
            <a:extLst>
              <a:ext uri="{FF2B5EF4-FFF2-40B4-BE49-F238E27FC236}">
                <a16:creationId xmlns:a16="http://schemas.microsoft.com/office/drawing/2014/main" id="{10218179-FBEB-494C-A736-888A85D011A7}"/>
              </a:ext>
            </a:extLst>
          </xdr:cNvPr>
          <xdr:cNvSpPr txBox="1"/>
        </xdr:nvSpPr>
        <xdr:spPr>
          <a:xfrm rot="5966153">
            <a:off x="3599156" y="53461196"/>
            <a:ext cx="1577961" cy="427892"/>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400" b="1">
                <a:solidFill>
                  <a:srgbClr val="FF0000"/>
                </a:solidFill>
                <a:latin typeface="Times New Roman" panose="02020603050405020304" pitchFamily="18" charset="0"/>
                <a:cs typeface="Times New Roman" panose="02020603050405020304" pitchFamily="18" charset="0"/>
              </a:rPr>
              <a:t>HT Lines</a:t>
            </a:r>
            <a:endParaRPr lang="en-IN" sz="2400" b="1">
              <a:solidFill>
                <a:srgbClr val="FF0000"/>
              </a:solidFill>
              <a:latin typeface="Times New Roman" panose="02020603050405020304" pitchFamily="18" charset="0"/>
              <a:cs typeface="Times New Roman" panose="02020603050405020304" pitchFamily="18" charset="0"/>
            </a:endParaRPr>
          </a:p>
        </xdr:txBody>
      </xdr:sp>
    </xdr:grpSp>
    <xdr:clientData/>
  </xdr:twoCellAnchor>
  <xdr:twoCellAnchor editAs="oneCell">
    <xdr:from>
      <xdr:col>12</xdr:col>
      <xdr:colOff>144876</xdr:colOff>
      <xdr:row>179</xdr:row>
      <xdr:rowOff>108056</xdr:rowOff>
    </xdr:from>
    <xdr:to>
      <xdr:col>20</xdr:col>
      <xdr:colOff>495052</xdr:colOff>
      <xdr:row>183</xdr:row>
      <xdr:rowOff>3779</xdr:rowOff>
    </xdr:to>
    <xdr:pic>
      <xdr:nvPicPr>
        <xdr:cNvPr id="81" name="Picture 80"/>
        <xdr:cNvPicPr>
          <a:picLocks noChangeAspect="1"/>
        </xdr:cNvPicPr>
      </xdr:nvPicPr>
      <xdr:blipFill>
        <a:blip xmlns:r="http://schemas.openxmlformats.org/officeDocument/2006/relationships" r:embed="rId17"/>
        <a:stretch>
          <a:fillRect/>
        </a:stretch>
      </xdr:blipFill>
      <xdr:spPr>
        <a:xfrm>
          <a:off x="10050876" y="27635306"/>
          <a:ext cx="6242069" cy="712152"/>
        </a:xfrm>
        <a:prstGeom prst="rect">
          <a:avLst/>
        </a:prstGeom>
      </xdr:spPr>
    </xdr:pic>
    <xdr:clientData/>
  </xdr:twoCellAnchor>
  <xdr:twoCellAnchor editAs="oneCell">
    <xdr:from>
      <xdr:col>10</xdr:col>
      <xdr:colOff>624326</xdr:colOff>
      <xdr:row>186</xdr:row>
      <xdr:rowOff>176893</xdr:rowOff>
    </xdr:from>
    <xdr:to>
      <xdr:col>19</xdr:col>
      <xdr:colOff>133273</xdr:colOff>
      <xdr:row>190</xdr:row>
      <xdr:rowOff>150479</xdr:rowOff>
    </xdr:to>
    <xdr:pic>
      <xdr:nvPicPr>
        <xdr:cNvPr id="82" name="Picture 81"/>
        <xdr:cNvPicPr>
          <a:picLocks noChangeAspect="1"/>
        </xdr:cNvPicPr>
      </xdr:nvPicPr>
      <xdr:blipFill>
        <a:blip xmlns:r="http://schemas.openxmlformats.org/officeDocument/2006/relationships" r:embed="rId18"/>
        <a:stretch>
          <a:fillRect/>
        </a:stretch>
      </xdr:blipFill>
      <xdr:spPr>
        <a:xfrm>
          <a:off x="8856647" y="29037643"/>
          <a:ext cx="6353340" cy="585907"/>
        </a:xfrm>
        <a:prstGeom prst="rect">
          <a:avLst/>
        </a:prstGeom>
      </xdr:spPr>
    </xdr:pic>
    <xdr:clientData/>
  </xdr:twoCellAnchor>
  <xdr:twoCellAnchor editAs="oneCell">
    <xdr:from>
      <xdr:col>12</xdr:col>
      <xdr:colOff>226520</xdr:colOff>
      <xdr:row>183</xdr:row>
      <xdr:rowOff>71236</xdr:rowOff>
    </xdr:from>
    <xdr:to>
      <xdr:col>21</xdr:col>
      <xdr:colOff>82849</xdr:colOff>
      <xdr:row>186</xdr:row>
      <xdr:rowOff>36020</xdr:rowOff>
    </xdr:to>
    <xdr:pic>
      <xdr:nvPicPr>
        <xdr:cNvPr id="83" name="Picture 82"/>
        <xdr:cNvPicPr>
          <a:picLocks noChangeAspect="1"/>
        </xdr:cNvPicPr>
      </xdr:nvPicPr>
      <xdr:blipFill>
        <a:blip xmlns:r="http://schemas.openxmlformats.org/officeDocument/2006/relationships" r:embed="rId18"/>
        <a:stretch>
          <a:fillRect/>
        </a:stretch>
      </xdr:blipFill>
      <xdr:spPr>
        <a:xfrm>
          <a:off x="10132520" y="28319665"/>
          <a:ext cx="6360543" cy="577105"/>
        </a:xfrm>
        <a:prstGeom prst="rect">
          <a:avLst/>
        </a:prstGeom>
      </xdr:spPr>
    </xdr:pic>
    <xdr:clientData/>
  </xdr:twoCellAnchor>
  <xdr:twoCellAnchor editAs="oneCell">
    <xdr:from>
      <xdr:col>13</xdr:col>
      <xdr:colOff>830037</xdr:colOff>
      <xdr:row>191</xdr:row>
      <xdr:rowOff>136071</xdr:rowOff>
    </xdr:from>
    <xdr:to>
      <xdr:col>23</xdr:col>
      <xdr:colOff>158719</xdr:colOff>
      <xdr:row>196</xdr:row>
      <xdr:rowOff>299436</xdr:rowOff>
    </xdr:to>
    <xdr:pic>
      <xdr:nvPicPr>
        <xdr:cNvPr id="84" name="Picture 83"/>
        <xdr:cNvPicPr>
          <a:picLocks noChangeAspect="1"/>
        </xdr:cNvPicPr>
      </xdr:nvPicPr>
      <xdr:blipFill>
        <a:blip xmlns:r="http://schemas.openxmlformats.org/officeDocument/2006/relationships" r:embed="rId19"/>
        <a:stretch>
          <a:fillRect/>
        </a:stretch>
      </xdr:blipFill>
      <xdr:spPr>
        <a:xfrm>
          <a:off x="11525251" y="29813250"/>
          <a:ext cx="6268325" cy="1401615"/>
        </a:xfrm>
        <a:prstGeom prst="rect">
          <a:avLst/>
        </a:prstGeom>
      </xdr:spPr>
    </xdr:pic>
    <xdr:clientData/>
  </xdr:twoCellAnchor>
  <xdr:twoCellAnchor editAs="oneCell">
    <xdr:from>
      <xdr:col>16</xdr:col>
      <xdr:colOff>116059</xdr:colOff>
      <xdr:row>185</xdr:row>
      <xdr:rowOff>185698</xdr:rowOff>
    </xdr:from>
    <xdr:to>
      <xdr:col>21</xdr:col>
      <xdr:colOff>325698</xdr:colOff>
      <xdr:row>203</xdr:row>
      <xdr:rowOff>134897</xdr:rowOff>
    </xdr:to>
    <xdr:pic>
      <xdr:nvPicPr>
        <xdr:cNvPr id="85" name="Picture 84"/>
        <xdr:cNvPicPr>
          <a:picLocks noChangeAspect="1"/>
        </xdr:cNvPicPr>
      </xdr:nvPicPr>
      <xdr:blipFill>
        <a:blip xmlns:r="http://schemas.openxmlformats.org/officeDocument/2006/relationships" r:embed="rId20"/>
        <a:stretch>
          <a:fillRect/>
        </a:stretch>
      </xdr:blipFill>
      <xdr:spPr>
        <a:xfrm>
          <a:off x="13246952" y="28842341"/>
          <a:ext cx="3488960" cy="3051627"/>
        </a:xfrm>
        <a:prstGeom prst="rect">
          <a:avLst/>
        </a:prstGeom>
      </xdr:spPr>
    </xdr:pic>
    <xdr:clientData/>
  </xdr:twoCellAnchor>
  <xdr:twoCellAnchor editAs="oneCell">
    <xdr:from>
      <xdr:col>18</xdr:col>
      <xdr:colOff>511120</xdr:colOff>
      <xdr:row>167</xdr:row>
      <xdr:rowOff>73349</xdr:rowOff>
    </xdr:from>
    <xdr:to>
      <xdr:col>22</xdr:col>
      <xdr:colOff>545594</xdr:colOff>
      <xdr:row>177</xdr:row>
      <xdr:rowOff>61386</xdr:rowOff>
    </xdr:to>
    <xdr:pic>
      <xdr:nvPicPr>
        <xdr:cNvPr id="43" name="Picture 42"/>
        <xdr:cNvPicPr>
          <a:picLocks noChangeAspect="1"/>
        </xdr:cNvPicPr>
      </xdr:nvPicPr>
      <xdr:blipFill>
        <a:blip xmlns:r="http://schemas.openxmlformats.org/officeDocument/2006/relationships" r:embed="rId21"/>
        <a:stretch>
          <a:fillRect/>
        </a:stretch>
      </xdr:blipFill>
      <xdr:spPr>
        <a:xfrm>
          <a:off x="14854649" y="24849555"/>
          <a:ext cx="2690269" cy="2005096"/>
        </a:xfrm>
        <a:prstGeom prst="rect">
          <a:avLst/>
        </a:prstGeom>
      </xdr:spPr>
    </xdr:pic>
    <xdr:clientData/>
  </xdr:twoCellAnchor>
  <xdr:twoCellAnchor editAs="oneCell">
    <xdr:from>
      <xdr:col>12</xdr:col>
      <xdr:colOff>231322</xdr:colOff>
      <xdr:row>128</xdr:row>
      <xdr:rowOff>149678</xdr:rowOff>
    </xdr:from>
    <xdr:to>
      <xdr:col>22</xdr:col>
      <xdr:colOff>364323</xdr:colOff>
      <xdr:row>161</xdr:row>
      <xdr:rowOff>163884</xdr:rowOff>
    </xdr:to>
    <xdr:pic>
      <xdr:nvPicPr>
        <xdr:cNvPr id="54" name="Picture 53"/>
        <xdr:cNvPicPr>
          <a:picLocks noChangeAspect="1"/>
        </xdr:cNvPicPr>
      </xdr:nvPicPr>
      <xdr:blipFill>
        <a:blip xmlns:r="http://schemas.openxmlformats.org/officeDocument/2006/relationships" r:embed="rId22"/>
        <a:stretch>
          <a:fillRect/>
        </a:stretch>
      </xdr:blipFill>
      <xdr:spPr>
        <a:xfrm>
          <a:off x="10137322" y="19635107"/>
          <a:ext cx="7249537" cy="4286848"/>
        </a:xfrm>
        <a:prstGeom prst="rect">
          <a:avLst/>
        </a:prstGeom>
      </xdr:spPr>
    </xdr:pic>
    <xdr:clientData/>
  </xdr:twoCellAnchor>
  <xdr:twoCellAnchor>
    <xdr:from>
      <xdr:col>0</xdr:col>
      <xdr:colOff>112568</xdr:colOff>
      <xdr:row>214</xdr:row>
      <xdr:rowOff>78796</xdr:rowOff>
    </xdr:from>
    <xdr:to>
      <xdr:col>7</xdr:col>
      <xdr:colOff>566059</xdr:colOff>
      <xdr:row>246</xdr:row>
      <xdr:rowOff>12989</xdr:rowOff>
    </xdr:to>
    <xdr:grpSp>
      <xdr:nvGrpSpPr>
        <xdr:cNvPr id="60" name="Group 59"/>
        <xdr:cNvGrpSpPr/>
      </xdr:nvGrpSpPr>
      <xdr:grpSpPr>
        <a:xfrm>
          <a:off x="112568" y="33763678"/>
          <a:ext cx="6034020" cy="6388782"/>
          <a:chOff x="112568" y="33435346"/>
          <a:chExt cx="6035141" cy="6334993"/>
        </a:xfrm>
      </xdr:grpSpPr>
      <xdr:grpSp>
        <xdr:nvGrpSpPr>
          <xdr:cNvPr id="68" name="Group 67"/>
          <xdr:cNvGrpSpPr/>
        </xdr:nvGrpSpPr>
        <xdr:grpSpPr>
          <a:xfrm>
            <a:off x="112568" y="33435346"/>
            <a:ext cx="6035141" cy="6334993"/>
            <a:chOff x="256592" y="2495255"/>
            <a:chExt cx="6352253" cy="6239335"/>
          </a:xfrm>
        </xdr:grpSpPr>
        <xdr:pic>
          <xdr:nvPicPr>
            <xdr:cNvPr id="69" name="Picture 68" descr="https://vsjcllp.vsjadon.com/upload/insp-242416-1525.jpg"/>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5108966" y="6754237"/>
              <a:ext cx="1483718" cy="198035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0" name="Picture 69" descr="https://vsjcllp.vsjadon.com/upload/insp-242416-843.jpg"/>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70200" y="2495255"/>
              <a:ext cx="3112103" cy="4153797"/>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1" name="Picture 70" descr="https://vsjcllp.vsjadon.com/upload/insp-242416-849.jpg"/>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496741" y="6754237"/>
              <a:ext cx="1483718" cy="198035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2" name="Picture 71" descr="https://vsjcllp.vsjadon.com/upload/insp-242416-861.jpg"/>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56592" y="6754237"/>
              <a:ext cx="1483718" cy="198035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3" name="Picture 72" descr="https://vsjcllp.vsjadon.com/upload/insp-242416-871.jpg"/>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496742" y="2495255"/>
              <a:ext cx="3112103" cy="4153797"/>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5" name="Picture 74" descr="https://vsjcllp.vsjadon.com/upload/insp-242416-1512.jpg"/>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866788" y="6754237"/>
              <a:ext cx="1483718" cy="198035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xnSp macro="">
        <xdr:nvCxnSpPr>
          <xdr:cNvPr id="56" name="Straight Connector 55"/>
          <xdr:cNvCxnSpPr/>
        </xdr:nvCxnSpPr>
        <xdr:spPr>
          <a:xfrm>
            <a:off x="3200400" y="33670875"/>
            <a:ext cx="2552700" cy="6572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6" name="Straight Connector 85"/>
          <xdr:cNvCxnSpPr/>
        </xdr:nvCxnSpPr>
        <xdr:spPr>
          <a:xfrm>
            <a:off x="3181350" y="33480375"/>
            <a:ext cx="2552700" cy="6572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7" name="Straight Connector 86"/>
          <xdr:cNvCxnSpPr/>
        </xdr:nvCxnSpPr>
        <xdr:spPr>
          <a:xfrm>
            <a:off x="3190875" y="33899475"/>
            <a:ext cx="2552700" cy="6572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8" name="Straight Connector 87"/>
          <xdr:cNvCxnSpPr/>
        </xdr:nvCxnSpPr>
        <xdr:spPr>
          <a:xfrm>
            <a:off x="3190875" y="33813750"/>
            <a:ext cx="2552700" cy="6572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9" name="Straight Connector 88"/>
          <xdr:cNvCxnSpPr/>
        </xdr:nvCxnSpPr>
        <xdr:spPr>
          <a:xfrm>
            <a:off x="3171825" y="33575625"/>
            <a:ext cx="2552700" cy="6572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59" name="TextBox 58"/>
          <xdr:cNvSpPr txBox="1"/>
        </xdr:nvSpPr>
        <xdr:spPr>
          <a:xfrm rot="775167">
            <a:off x="4248149" y="33585150"/>
            <a:ext cx="1238250"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600" b="1">
                <a:solidFill>
                  <a:srgbClr val="FF0000"/>
                </a:solidFill>
                <a:latin typeface="Times New Roman" panose="02020603050405020304" pitchFamily="18" charset="0"/>
                <a:cs typeface="Times New Roman" panose="02020603050405020304" pitchFamily="18" charset="0"/>
              </a:rPr>
              <a:t>HT</a:t>
            </a:r>
            <a:r>
              <a:rPr lang="en-IN" sz="1600" b="1" baseline="0">
                <a:solidFill>
                  <a:srgbClr val="FF0000"/>
                </a:solidFill>
                <a:latin typeface="Times New Roman" panose="02020603050405020304" pitchFamily="18" charset="0"/>
                <a:cs typeface="Times New Roman" panose="02020603050405020304" pitchFamily="18" charset="0"/>
              </a:rPr>
              <a:t> Line</a:t>
            </a:r>
            <a:endParaRPr lang="en-IN" sz="1600" b="1">
              <a:solidFill>
                <a:srgbClr val="FF0000"/>
              </a:solidFill>
              <a:latin typeface="Times New Roman" panose="02020603050405020304" pitchFamily="18" charset="0"/>
              <a:cs typeface="Times New Roman" panose="02020603050405020304" pitchFamily="18" charset="0"/>
            </a:endParaRPr>
          </a:p>
        </xdr:txBody>
      </xdr:sp>
    </xdr:grpSp>
    <xdr:clientData/>
  </xdr:twoCellAnchor>
  <xdr:twoCellAnchor editAs="oneCell">
    <xdr:from>
      <xdr:col>0</xdr:col>
      <xdr:colOff>584388</xdr:colOff>
      <xdr:row>322</xdr:row>
      <xdr:rowOff>78438</xdr:rowOff>
    </xdr:from>
    <xdr:to>
      <xdr:col>7</xdr:col>
      <xdr:colOff>173807</xdr:colOff>
      <xdr:row>341</xdr:row>
      <xdr:rowOff>78441</xdr:rowOff>
    </xdr:to>
    <xdr:pic>
      <xdr:nvPicPr>
        <xdr:cNvPr id="41" name="Picture 40"/>
        <xdr:cNvPicPr>
          <a:picLocks noChangeAspect="1"/>
        </xdr:cNvPicPr>
      </xdr:nvPicPr>
      <xdr:blipFill>
        <a:blip xmlns:r="http://schemas.openxmlformats.org/officeDocument/2006/relationships" r:embed="rId29"/>
        <a:stretch>
          <a:fillRect/>
        </a:stretch>
      </xdr:blipFill>
      <xdr:spPr>
        <a:xfrm>
          <a:off x="584388" y="55547556"/>
          <a:ext cx="5169948" cy="3832414"/>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siddhasky.in/?cstm_ppc_channel=GoogleSearch&amp;cstm_ppc_campaign=Brand&amp;cstm_ppc_medium=CPC&amp;cstm_ppc_keyword=Sky%20siddha&amp;cstm_ppc_placement=&amp;cstm_ppc_device=c&amp;utm_source=GoogleSearch&amp;utm_medium=cpc&amp;utm_campaign=Brand&amp;srd=685508f0735daf3bb3929308&amp;gad_source=1&amp;gad_campaignid=22578929511&amp;gbraid=0AAAAA_tUN-zaiU90wjEkrjPhpysLe5C0M&amp;gclid=CjwKCAjwy7HEBhBJEiwA5hQNom5NFFLFS5GUuw7GpKUPV6NKgEraW7KJjQ2a4er1NsZbuLbXYahnphoCxycQAvD_BwE" TargetMode="External"/><Relationship Id="rId7" Type="http://schemas.openxmlformats.org/officeDocument/2006/relationships/drawing" Target="../drawings/drawing1.xml"/><Relationship Id="rId2" Type="http://schemas.openxmlformats.org/officeDocument/2006/relationships/hyperlink" Target="https://maps.app.goo.gl/5sRN6Fn6iVePyRQV8" TargetMode="External"/><Relationship Id="rId1" Type="http://schemas.openxmlformats.org/officeDocument/2006/relationships/hyperlink" Target="https://dms.sra.gov.in/SRAPUBLIC/FilesViewer.aspx?Id=397647" TargetMode="External"/><Relationship Id="rId6" Type="http://schemas.openxmlformats.org/officeDocument/2006/relationships/printerSettings" Target="../printerSettings/printerSettings1.bin"/><Relationship Id="rId5" Type="http://schemas.openxmlformats.org/officeDocument/2006/relationships/hyperlink" Target="https://www.siddhagroup.com/projects/siddha-sky-mumbai/aerial-view-tour/" TargetMode="External"/><Relationship Id="rId10" Type="http://schemas.openxmlformats.org/officeDocument/2006/relationships/comments" Target="../comments1.xml"/><Relationship Id="rId4" Type="http://schemas.openxmlformats.org/officeDocument/2006/relationships/hyperlink" Target="https://dms.sra.gov.in/SRAPUBLIC/FilesViewer.aspx?Id=397953" TargetMode="External"/><Relationship Id="rId9"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Z302"/>
  <sheetViews>
    <sheetView tabSelected="1" view="pageBreakPreview" topLeftCell="A165" zoomScale="85" zoomScaleNormal="100" zoomScaleSheetLayoutView="85" zoomScalePageLayoutView="85" workbookViewId="0">
      <selection activeCell="J180" sqref="J180"/>
    </sheetView>
  </sheetViews>
  <sheetFormatPr defaultColWidth="9.140625" defaultRowHeight="15.75" x14ac:dyDescent="0.25"/>
  <cols>
    <col min="1" max="1" width="11.42578125" style="40" customWidth="1"/>
    <col min="2" max="2" width="12" style="40" customWidth="1"/>
    <col min="3" max="3" width="12.7109375" style="40" customWidth="1"/>
    <col min="4" max="4" width="13.7109375" style="40" customWidth="1"/>
    <col min="5" max="5" width="11.7109375" style="40" customWidth="1"/>
    <col min="6" max="6" width="11.140625" style="40" customWidth="1"/>
    <col min="7" max="8" width="11" style="40" customWidth="1"/>
    <col min="9" max="9" width="17.42578125" style="21" customWidth="1"/>
    <col min="10" max="10" width="11.42578125" style="21" customWidth="1"/>
    <col min="11" max="11" width="11.28515625" style="21" bestFit="1" customWidth="1"/>
    <col min="12" max="12" width="13.85546875" style="21" bestFit="1" customWidth="1"/>
    <col min="13" max="13" width="11.85546875" style="21" customWidth="1"/>
    <col min="14" max="14" width="12.5703125" style="21" customWidth="1"/>
    <col min="15" max="15" width="12.140625" style="21" customWidth="1"/>
    <col min="16" max="16" width="11.7109375" style="21" customWidth="1"/>
    <col min="17" max="18" width="9.140625" style="21"/>
    <col min="19" max="19" width="10.85546875" style="21" bestFit="1" customWidth="1"/>
    <col min="20" max="20" width="10.7109375" style="21" customWidth="1"/>
    <col min="21" max="247" width="9.140625" style="21"/>
    <col min="248" max="248" width="8.7109375" style="21" customWidth="1"/>
    <col min="249" max="249" width="9.85546875" style="21" customWidth="1"/>
    <col min="250" max="250" width="14.42578125" style="21" customWidth="1"/>
    <col min="251" max="251" width="7.28515625" style="21" customWidth="1"/>
    <col min="252" max="252" width="5.5703125" style="21" customWidth="1"/>
    <col min="253" max="253" width="9" style="21" customWidth="1"/>
    <col min="254" max="255" width="9.85546875" style="21" customWidth="1"/>
    <col min="256" max="256" width="11.140625" style="21" customWidth="1"/>
    <col min="257" max="257" width="2.85546875" style="21" customWidth="1"/>
    <col min="258" max="258" width="3.5703125" style="21" customWidth="1"/>
    <col min="259" max="503" width="9.140625" style="21"/>
    <col min="504" max="504" width="8.7109375" style="21" customWidth="1"/>
    <col min="505" max="505" width="9.85546875" style="21" customWidth="1"/>
    <col min="506" max="506" width="14.42578125" style="21" customWidth="1"/>
    <col min="507" max="507" width="7.28515625" style="21" customWidth="1"/>
    <col min="508" max="508" width="5.5703125" style="21" customWidth="1"/>
    <col min="509" max="509" width="9" style="21" customWidth="1"/>
    <col min="510" max="511" width="9.85546875" style="21" customWidth="1"/>
    <col min="512" max="512" width="11.140625" style="21" customWidth="1"/>
    <col min="513" max="513" width="2.85546875" style="21" customWidth="1"/>
    <col min="514" max="514" width="3.5703125" style="21" customWidth="1"/>
    <col min="515" max="759" width="9.140625" style="21"/>
    <col min="760" max="760" width="8.7109375" style="21" customWidth="1"/>
    <col min="761" max="761" width="9.85546875" style="21" customWidth="1"/>
    <col min="762" max="762" width="14.42578125" style="21" customWidth="1"/>
    <col min="763" max="763" width="7.28515625" style="21" customWidth="1"/>
    <col min="764" max="764" width="5.5703125" style="21" customWidth="1"/>
    <col min="765" max="765" width="9" style="21" customWidth="1"/>
    <col min="766" max="767" width="9.85546875" style="21" customWidth="1"/>
    <col min="768" max="768" width="11.140625" style="21" customWidth="1"/>
    <col min="769" max="769" width="2.85546875" style="21" customWidth="1"/>
    <col min="770" max="770" width="3.5703125" style="21" customWidth="1"/>
    <col min="771" max="1015" width="9.140625" style="21"/>
    <col min="1016" max="1016" width="8.7109375" style="21" customWidth="1"/>
    <col min="1017" max="1017" width="9.85546875" style="21" customWidth="1"/>
    <col min="1018" max="1018" width="14.42578125" style="21" customWidth="1"/>
    <col min="1019" max="1019" width="7.28515625" style="21" customWidth="1"/>
    <col min="1020" max="1020" width="5.5703125" style="21" customWidth="1"/>
    <col min="1021" max="1021" width="9" style="21" customWidth="1"/>
    <col min="1022" max="1023" width="9.85546875" style="21" customWidth="1"/>
    <col min="1024" max="1024" width="11.140625" style="21" customWidth="1"/>
    <col min="1025" max="1025" width="2.85546875" style="21" customWidth="1"/>
    <col min="1026" max="1026" width="3.5703125" style="21" customWidth="1"/>
    <col min="1027" max="1271" width="9.140625" style="21"/>
    <col min="1272" max="1272" width="8.7109375" style="21" customWidth="1"/>
    <col min="1273" max="1273" width="9.85546875" style="21" customWidth="1"/>
    <col min="1274" max="1274" width="14.42578125" style="21" customWidth="1"/>
    <col min="1275" max="1275" width="7.28515625" style="21" customWidth="1"/>
    <col min="1276" max="1276" width="5.5703125" style="21" customWidth="1"/>
    <col min="1277" max="1277" width="9" style="21" customWidth="1"/>
    <col min="1278" max="1279" width="9.85546875" style="21" customWidth="1"/>
    <col min="1280" max="1280" width="11.140625" style="21" customWidth="1"/>
    <col min="1281" max="1281" width="2.85546875" style="21" customWidth="1"/>
    <col min="1282" max="1282" width="3.5703125" style="21" customWidth="1"/>
    <col min="1283" max="1527" width="9.140625" style="21"/>
    <col min="1528" max="1528" width="8.7109375" style="21" customWidth="1"/>
    <col min="1529" max="1529" width="9.85546875" style="21" customWidth="1"/>
    <col min="1530" max="1530" width="14.42578125" style="21" customWidth="1"/>
    <col min="1531" max="1531" width="7.28515625" style="21" customWidth="1"/>
    <col min="1532" max="1532" width="5.5703125" style="21" customWidth="1"/>
    <col min="1533" max="1533" width="9" style="21" customWidth="1"/>
    <col min="1534" max="1535" width="9.85546875" style="21" customWidth="1"/>
    <col min="1536" max="1536" width="11.140625" style="21" customWidth="1"/>
    <col min="1537" max="1537" width="2.85546875" style="21" customWidth="1"/>
    <col min="1538" max="1538" width="3.5703125" style="21" customWidth="1"/>
    <col min="1539" max="1783" width="9.140625" style="21"/>
    <col min="1784" max="1784" width="8.7109375" style="21" customWidth="1"/>
    <col min="1785" max="1785" width="9.85546875" style="21" customWidth="1"/>
    <col min="1786" max="1786" width="14.42578125" style="21" customWidth="1"/>
    <col min="1787" max="1787" width="7.28515625" style="21" customWidth="1"/>
    <col min="1788" max="1788" width="5.5703125" style="21" customWidth="1"/>
    <col min="1789" max="1789" width="9" style="21" customWidth="1"/>
    <col min="1790" max="1791" width="9.85546875" style="21" customWidth="1"/>
    <col min="1792" max="1792" width="11.140625" style="21" customWidth="1"/>
    <col min="1793" max="1793" width="2.85546875" style="21" customWidth="1"/>
    <col min="1794" max="1794" width="3.5703125" style="21" customWidth="1"/>
    <col min="1795" max="2039" width="9.140625" style="21"/>
    <col min="2040" max="2040" width="8.7109375" style="21" customWidth="1"/>
    <col min="2041" max="2041" width="9.85546875" style="21" customWidth="1"/>
    <col min="2042" max="2042" width="14.42578125" style="21" customWidth="1"/>
    <col min="2043" max="2043" width="7.28515625" style="21" customWidth="1"/>
    <col min="2044" max="2044" width="5.5703125" style="21" customWidth="1"/>
    <col min="2045" max="2045" width="9" style="21" customWidth="1"/>
    <col min="2046" max="2047" width="9.85546875" style="21" customWidth="1"/>
    <col min="2048" max="2048" width="11.140625" style="21" customWidth="1"/>
    <col min="2049" max="2049" width="2.85546875" style="21" customWidth="1"/>
    <col min="2050" max="2050" width="3.5703125" style="21" customWidth="1"/>
    <col min="2051" max="2295" width="9.140625" style="21"/>
    <col min="2296" max="2296" width="8.7109375" style="21" customWidth="1"/>
    <col min="2297" max="2297" width="9.85546875" style="21" customWidth="1"/>
    <col min="2298" max="2298" width="14.42578125" style="21" customWidth="1"/>
    <col min="2299" max="2299" width="7.28515625" style="21" customWidth="1"/>
    <col min="2300" max="2300" width="5.5703125" style="21" customWidth="1"/>
    <col min="2301" max="2301" width="9" style="21" customWidth="1"/>
    <col min="2302" max="2303" width="9.85546875" style="21" customWidth="1"/>
    <col min="2304" max="2304" width="11.140625" style="21" customWidth="1"/>
    <col min="2305" max="2305" width="2.85546875" style="21" customWidth="1"/>
    <col min="2306" max="2306" width="3.5703125" style="21" customWidth="1"/>
    <col min="2307" max="2551" width="9.140625" style="21"/>
    <col min="2552" max="2552" width="8.7109375" style="21" customWidth="1"/>
    <col min="2553" max="2553" width="9.85546875" style="21" customWidth="1"/>
    <col min="2554" max="2554" width="14.42578125" style="21" customWidth="1"/>
    <col min="2555" max="2555" width="7.28515625" style="21" customWidth="1"/>
    <col min="2556" max="2556" width="5.5703125" style="21" customWidth="1"/>
    <col min="2557" max="2557" width="9" style="21" customWidth="1"/>
    <col min="2558" max="2559" width="9.85546875" style="21" customWidth="1"/>
    <col min="2560" max="2560" width="11.140625" style="21" customWidth="1"/>
    <col min="2561" max="2561" width="2.85546875" style="21" customWidth="1"/>
    <col min="2562" max="2562" width="3.5703125" style="21" customWidth="1"/>
    <col min="2563" max="2807" width="9.140625" style="21"/>
    <col min="2808" max="2808" width="8.7109375" style="21" customWidth="1"/>
    <col min="2809" max="2809" width="9.85546875" style="21" customWidth="1"/>
    <col min="2810" max="2810" width="14.42578125" style="21" customWidth="1"/>
    <col min="2811" max="2811" width="7.28515625" style="21" customWidth="1"/>
    <col min="2812" max="2812" width="5.5703125" style="21" customWidth="1"/>
    <col min="2813" max="2813" width="9" style="21" customWidth="1"/>
    <col min="2814" max="2815" width="9.85546875" style="21" customWidth="1"/>
    <col min="2816" max="2816" width="11.140625" style="21" customWidth="1"/>
    <col min="2817" max="2817" width="2.85546875" style="21" customWidth="1"/>
    <col min="2818" max="2818" width="3.5703125" style="21" customWidth="1"/>
    <col min="2819" max="3063" width="9.140625" style="21"/>
    <col min="3064" max="3064" width="8.7109375" style="21" customWidth="1"/>
    <col min="3065" max="3065" width="9.85546875" style="21" customWidth="1"/>
    <col min="3066" max="3066" width="14.42578125" style="21" customWidth="1"/>
    <col min="3067" max="3067" width="7.28515625" style="21" customWidth="1"/>
    <col min="3068" max="3068" width="5.5703125" style="21" customWidth="1"/>
    <col min="3069" max="3069" width="9" style="21" customWidth="1"/>
    <col min="3070" max="3071" width="9.85546875" style="21" customWidth="1"/>
    <col min="3072" max="3072" width="11.140625" style="21" customWidth="1"/>
    <col min="3073" max="3073" width="2.85546875" style="21" customWidth="1"/>
    <col min="3074" max="3074" width="3.5703125" style="21" customWidth="1"/>
    <col min="3075" max="3319" width="9.140625" style="21"/>
    <col min="3320" max="3320" width="8.7109375" style="21" customWidth="1"/>
    <col min="3321" max="3321" width="9.85546875" style="21" customWidth="1"/>
    <col min="3322" max="3322" width="14.42578125" style="21" customWidth="1"/>
    <col min="3323" max="3323" width="7.28515625" style="21" customWidth="1"/>
    <col min="3324" max="3324" width="5.5703125" style="21" customWidth="1"/>
    <col min="3325" max="3325" width="9" style="21" customWidth="1"/>
    <col min="3326" max="3327" width="9.85546875" style="21" customWidth="1"/>
    <col min="3328" max="3328" width="11.140625" style="21" customWidth="1"/>
    <col min="3329" max="3329" width="2.85546875" style="21" customWidth="1"/>
    <col min="3330" max="3330" width="3.5703125" style="21" customWidth="1"/>
    <col min="3331" max="3575" width="9.140625" style="21"/>
    <col min="3576" max="3576" width="8.7109375" style="21" customWidth="1"/>
    <col min="3577" max="3577" width="9.85546875" style="21" customWidth="1"/>
    <col min="3578" max="3578" width="14.42578125" style="21" customWidth="1"/>
    <col min="3579" max="3579" width="7.28515625" style="21" customWidth="1"/>
    <col min="3580" max="3580" width="5.5703125" style="21" customWidth="1"/>
    <col min="3581" max="3581" width="9" style="21" customWidth="1"/>
    <col min="3582" max="3583" width="9.85546875" style="21" customWidth="1"/>
    <col min="3584" max="3584" width="11.140625" style="21" customWidth="1"/>
    <col min="3585" max="3585" width="2.85546875" style="21" customWidth="1"/>
    <col min="3586" max="3586" width="3.5703125" style="21" customWidth="1"/>
    <col min="3587" max="3831" width="9.140625" style="21"/>
    <col min="3832" max="3832" width="8.7109375" style="21" customWidth="1"/>
    <col min="3833" max="3833" width="9.85546875" style="21" customWidth="1"/>
    <col min="3834" max="3834" width="14.42578125" style="21" customWidth="1"/>
    <col min="3835" max="3835" width="7.28515625" style="21" customWidth="1"/>
    <col min="3836" max="3836" width="5.5703125" style="21" customWidth="1"/>
    <col min="3837" max="3837" width="9" style="21" customWidth="1"/>
    <col min="3838" max="3839" width="9.85546875" style="21" customWidth="1"/>
    <col min="3840" max="3840" width="11.140625" style="21" customWidth="1"/>
    <col min="3841" max="3841" width="2.85546875" style="21" customWidth="1"/>
    <col min="3842" max="3842" width="3.5703125" style="21" customWidth="1"/>
    <col min="3843" max="4087" width="9.140625" style="21"/>
    <col min="4088" max="4088" width="8.7109375" style="21" customWidth="1"/>
    <col min="4089" max="4089" width="9.85546875" style="21" customWidth="1"/>
    <col min="4090" max="4090" width="14.42578125" style="21" customWidth="1"/>
    <col min="4091" max="4091" width="7.28515625" style="21" customWidth="1"/>
    <col min="4092" max="4092" width="5.5703125" style="21" customWidth="1"/>
    <col min="4093" max="4093" width="9" style="21" customWidth="1"/>
    <col min="4094" max="4095" width="9.85546875" style="21" customWidth="1"/>
    <col min="4096" max="4096" width="11.140625" style="21" customWidth="1"/>
    <col min="4097" max="4097" width="2.85546875" style="21" customWidth="1"/>
    <col min="4098" max="4098" width="3.5703125" style="21" customWidth="1"/>
    <col min="4099" max="4343" width="9.140625" style="21"/>
    <col min="4344" max="4344" width="8.7109375" style="21" customWidth="1"/>
    <col min="4345" max="4345" width="9.85546875" style="21" customWidth="1"/>
    <col min="4346" max="4346" width="14.42578125" style="21" customWidth="1"/>
    <col min="4347" max="4347" width="7.28515625" style="21" customWidth="1"/>
    <col min="4348" max="4348" width="5.5703125" style="21" customWidth="1"/>
    <col min="4349" max="4349" width="9" style="21" customWidth="1"/>
    <col min="4350" max="4351" width="9.85546875" style="21" customWidth="1"/>
    <col min="4352" max="4352" width="11.140625" style="21" customWidth="1"/>
    <col min="4353" max="4353" width="2.85546875" style="21" customWidth="1"/>
    <col min="4354" max="4354" width="3.5703125" style="21" customWidth="1"/>
    <col min="4355" max="4599" width="9.140625" style="21"/>
    <col min="4600" max="4600" width="8.7109375" style="21" customWidth="1"/>
    <col min="4601" max="4601" width="9.85546875" style="21" customWidth="1"/>
    <col min="4602" max="4602" width="14.42578125" style="21" customWidth="1"/>
    <col min="4603" max="4603" width="7.28515625" style="21" customWidth="1"/>
    <col min="4604" max="4604" width="5.5703125" style="21" customWidth="1"/>
    <col min="4605" max="4605" width="9" style="21" customWidth="1"/>
    <col min="4606" max="4607" width="9.85546875" style="21" customWidth="1"/>
    <col min="4608" max="4608" width="11.140625" style="21" customWidth="1"/>
    <col min="4609" max="4609" width="2.85546875" style="21" customWidth="1"/>
    <col min="4610" max="4610" width="3.5703125" style="21" customWidth="1"/>
    <col min="4611" max="4855" width="9.140625" style="21"/>
    <col min="4856" max="4856" width="8.7109375" style="21" customWidth="1"/>
    <col min="4857" max="4857" width="9.85546875" style="21" customWidth="1"/>
    <col min="4858" max="4858" width="14.42578125" style="21" customWidth="1"/>
    <col min="4859" max="4859" width="7.28515625" style="21" customWidth="1"/>
    <col min="4860" max="4860" width="5.5703125" style="21" customWidth="1"/>
    <col min="4861" max="4861" width="9" style="21" customWidth="1"/>
    <col min="4862" max="4863" width="9.85546875" style="21" customWidth="1"/>
    <col min="4864" max="4864" width="11.140625" style="21" customWidth="1"/>
    <col min="4865" max="4865" width="2.85546875" style="21" customWidth="1"/>
    <col min="4866" max="4866" width="3.5703125" style="21" customWidth="1"/>
    <col min="4867" max="5111" width="9.140625" style="21"/>
    <col min="5112" max="5112" width="8.7109375" style="21" customWidth="1"/>
    <col min="5113" max="5113" width="9.85546875" style="21" customWidth="1"/>
    <col min="5114" max="5114" width="14.42578125" style="21" customWidth="1"/>
    <col min="5115" max="5115" width="7.28515625" style="21" customWidth="1"/>
    <col min="5116" max="5116" width="5.5703125" style="21" customWidth="1"/>
    <col min="5117" max="5117" width="9" style="21" customWidth="1"/>
    <col min="5118" max="5119" width="9.85546875" style="21" customWidth="1"/>
    <col min="5120" max="5120" width="11.140625" style="21" customWidth="1"/>
    <col min="5121" max="5121" width="2.85546875" style="21" customWidth="1"/>
    <col min="5122" max="5122" width="3.5703125" style="21" customWidth="1"/>
    <col min="5123" max="5367" width="9.140625" style="21"/>
    <col min="5368" max="5368" width="8.7109375" style="21" customWidth="1"/>
    <col min="5369" max="5369" width="9.85546875" style="21" customWidth="1"/>
    <col min="5370" max="5370" width="14.42578125" style="21" customWidth="1"/>
    <col min="5371" max="5371" width="7.28515625" style="21" customWidth="1"/>
    <col min="5372" max="5372" width="5.5703125" style="21" customWidth="1"/>
    <col min="5373" max="5373" width="9" style="21" customWidth="1"/>
    <col min="5374" max="5375" width="9.85546875" style="21" customWidth="1"/>
    <col min="5376" max="5376" width="11.140625" style="21" customWidth="1"/>
    <col min="5377" max="5377" width="2.85546875" style="21" customWidth="1"/>
    <col min="5378" max="5378" width="3.5703125" style="21" customWidth="1"/>
    <col min="5379" max="5623" width="9.140625" style="21"/>
    <col min="5624" max="5624" width="8.7109375" style="21" customWidth="1"/>
    <col min="5625" max="5625" width="9.85546875" style="21" customWidth="1"/>
    <col min="5626" max="5626" width="14.42578125" style="21" customWidth="1"/>
    <col min="5627" max="5627" width="7.28515625" style="21" customWidth="1"/>
    <col min="5628" max="5628" width="5.5703125" style="21" customWidth="1"/>
    <col min="5629" max="5629" width="9" style="21" customWidth="1"/>
    <col min="5630" max="5631" width="9.85546875" style="21" customWidth="1"/>
    <col min="5632" max="5632" width="11.140625" style="21" customWidth="1"/>
    <col min="5633" max="5633" width="2.85546875" style="21" customWidth="1"/>
    <col min="5634" max="5634" width="3.5703125" style="21" customWidth="1"/>
    <col min="5635" max="5879" width="9.140625" style="21"/>
    <col min="5880" max="5880" width="8.7109375" style="21" customWidth="1"/>
    <col min="5881" max="5881" width="9.85546875" style="21" customWidth="1"/>
    <col min="5882" max="5882" width="14.42578125" style="21" customWidth="1"/>
    <col min="5883" max="5883" width="7.28515625" style="21" customWidth="1"/>
    <col min="5884" max="5884" width="5.5703125" style="21" customWidth="1"/>
    <col min="5885" max="5885" width="9" style="21" customWidth="1"/>
    <col min="5886" max="5887" width="9.85546875" style="21" customWidth="1"/>
    <col min="5888" max="5888" width="11.140625" style="21" customWidth="1"/>
    <col min="5889" max="5889" width="2.85546875" style="21" customWidth="1"/>
    <col min="5890" max="5890" width="3.5703125" style="21" customWidth="1"/>
    <col min="5891" max="6135" width="9.140625" style="21"/>
    <col min="6136" max="6136" width="8.7109375" style="21" customWidth="1"/>
    <col min="6137" max="6137" width="9.85546875" style="21" customWidth="1"/>
    <col min="6138" max="6138" width="14.42578125" style="21" customWidth="1"/>
    <col min="6139" max="6139" width="7.28515625" style="21" customWidth="1"/>
    <col min="6140" max="6140" width="5.5703125" style="21" customWidth="1"/>
    <col min="6141" max="6141" width="9" style="21" customWidth="1"/>
    <col min="6142" max="6143" width="9.85546875" style="21" customWidth="1"/>
    <col min="6144" max="6144" width="11.140625" style="21" customWidth="1"/>
    <col min="6145" max="6145" width="2.85546875" style="21" customWidth="1"/>
    <col min="6146" max="6146" width="3.5703125" style="21" customWidth="1"/>
    <col min="6147" max="6391" width="9.140625" style="21"/>
    <col min="6392" max="6392" width="8.7109375" style="21" customWidth="1"/>
    <col min="6393" max="6393" width="9.85546875" style="21" customWidth="1"/>
    <col min="6394" max="6394" width="14.42578125" style="21" customWidth="1"/>
    <col min="6395" max="6395" width="7.28515625" style="21" customWidth="1"/>
    <col min="6396" max="6396" width="5.5703125" style="21" customWidth="1"/>
    <col min="6397" max="6397" width="9" style="21" customWidth="1"/>
    <col min="6398" max="6399" width="9.85546875" style="21" customWidth="1"/>
    <col min="6400" max="6400" width="11.140625" style="21" customWidth="1"/>
    <col min="6401" max="6401" width="2.85546875" style="21" customWidth="1"/>
    <col min="6402" max="6402" width="3.5703125" style="21" customWidth="1"/>
    <col min="6403" max="6647" width="9.140625" style="21"/>
    <col min="6648" max="6648" width="8.7109375" style="21" customWidth="1"/>
    <col min="6649" max="6649" width="9.85546875" style="21" customWidth="1"/>
    <col min="6650" max="6650" width="14.42578125" style="21" customWidth="1"/>
    <col min="6651" max="6651" width="7.28515625" style="21" customWidth="1"/>
    <col min="6652" max="6652" width="5.5703125" style="21" customWidth="1"/>
    <col min="6653" max="6653" width="9" style="21" customWidth="1"/>
    <col min="6654" max="6655" width="9.85546875" style="21" customWidth="1"/>
    <col min="6656" max="6656" width="11.140625" style="21" customWidth="1"/>
    <col min="6657" max="6657" width="2.85546875" style="21" customWidth="1"/>
    <col min="6658" max="6658" width="3.5703125" style="21" customWidth="1"/>
    <col min="6659" max="6903" width="9.140625" style="21"/>
    <col min="6904" max="6904" width="8.7109375" style="21" customWidth="1"/>
    <col min="6905" max="6905" width="9.85546875" style="21" customWidth="1"/>
    <col min="6906" max="6906" width="14.42578125" style="21" customWidth="1"/>
    <col min="6907" max="6907" width="7.28515625" style="21" customWidth="1"/>
    <col min="6908" max="6908" width="5.5703125" style="21" customWidth="1"/>
    <col min="6909" max="6909" width="9" style="21" customWidth="1"/>
    <col min="6910" max="6911" width="9.85546875" style="21" customWidth="1"/>
    <col min="6912" max="6912" width="11.140625" style="21" customWidth="1"/>
    <col min="6913" max="6913" width="2.85546875" style="21" customWidth="1"/>
    <col min="6914" max="6914" width="3.5703125" style="21" customWidth="1"/>
    <col min="6915" max="7159" width="9.140625" style="21"/>
    <col min="7160" max="7160" width="8.7109375" style="21" customWidth="1"/>
    <col min="7161" max="7161" width="9.85546875" style="21" customWidth="1"/>
    <col min="7162" max="7162" width="14.42578125" style="21" customWidth="1"/>
    <col min="7163" max="7163" width="7.28515625" style="21" customWidth="1"/>
    <col min="7164" max="7164" width="5.5703125" style="21" customWidth="1"/>
    <col min="7165" max="7165" width="9" style="21" customWidth="1"/>
    <col min="7166" max="7167" width="9.85546875" style="21" customWidth="1"/>
    <col min="7168" max="7168" width="11.140625" style="21" customWidth="1"/>
    <col min="7169" max="7169" width="2.85546875" style="21" customWidth="1"/>
    <col min="7170" max="7170" width="3.5703125" style="21" customWidth="1"/>
    <col min="7171" max="7415" width="9.140625" style="21"/>
    <col min="7416" max="7416" width="8.7109375" style="21" customWidth="1"/>
    <col min="7417" max="7417" width="9.85546875" style="21" customWidth="1"/>
    <col min="7418" max="7418" width="14.42578125" style="21" customWidth="1"/>
    <col min="7419" max="7419" width="7.28515625" style="21" customWidth="1"/>
    <col min="7420" max="7420" width="5.5703125" style="21" customWidth="1"/>
    <col min="7421" max="7421" width="9" style="21" customWidth="1"/>
    <col min="7422" max="7423" width="9.85546875" style="21" customWidth="1"/>
    <col min="7424" max="7424" width="11.140625" style="21" customWidth="1"/>
    <col min="7425" max="7425" width="2.85546875" style="21" customWidth="1"/>
    <col min="7426" max="7426" width="3.5703125" style="21" customWidth="1"/>
    <col min="7427" max="7671" width="9.140625" style="21"/>
    <col min="7672" max="7672" width="8.7109375" style="21" customWidth="1"/>
    <col min="7673" max="7673" width="9.85546875" style="21" customWidth="1"/>
    <col min="7674" max="7674" width="14.42578125" style="21" customWidth="1"/>
    <col min="7675" max="7675" width="7.28515625" style="21" customWidth="1"/>
    <col min="7676" max="7676" width="5.5703125" style="21" customWidth="1"/>
    <col min="7677" max="7677" width="9" style="21" customWidth="1"/>
    <col min="7678" max="7679" width="9.85546875" style="21" customWidth="1"/>
    <col min="7680" max="7680" width="11.140625" style="21" customWidth="1"/>
    <col min="7681" max="7681" width="2.85546875" style="21" customWidth="1"/>
    <col min="7682" max="7682" width="3.5703125" style="21" customWidth="1"/>
    <col min="7683" max="7927" width="9.140625" style="21"/>
    <col min="7928" max="7928" width="8.7109375" style="21" customWidth="1"/>
    <col min="7929" max="7929" width="9.85546875" style="21" customWidth="1"/>
    <col min="7930" max="7930" width="14.42578125" style="21" customWidth="1"/>
    <col min="7931" max="7931" width="7.28515625" style="21" customWidth="1"/>
    <col min="7932" max="7932" width="5.5703125" style="21" customWidth="1"/>
    <col min="7933" max="7933" width="9" style="21" customWidth="1"/>
    <col min="7934" max="7935" width="9.85546875" style="21" customWidth="1"/>
    <col min="7936" max="7936" width="11.140625" style="21" customWidth="1"/>
    <col min="7937" max="7937" width="2.85546875" style="21" customWidth="1"/>
    <col min="7938" max="7938" width="3.5703125" style="21" customWidth="1"/>
    <col min="7939" max="8183" width="9.140625" style="21"/>
    <col min="8184" max="8184" width="8.7109375" style="21" customWidth="1"/>
    <col min="8185" max="8185" width="9.85546875" style="21" customWidth="1"/>
    <col min="8186" max="8186" width="14.42578125" style="21" customWidth="1"/>
    <col min="8187" max="8187" width="7.28515625" style="21" customWidth="1"/>
    <col min="8188" max="8188" width="5.5703125" style="21" customWidth="1"/>
    <col min="8189" max="8189" width="9" style="21" customWidth="1"/>
    <col min="8190" max="8191" width="9.85546875" style="21" customWidth="1"/>
    <col min="8192" max="8192" width="11.140625" style="21" customWidth="1"/>
    <col min="8193" max="8193" width="2.85546875" style="21" customWidth="1"/>
    <col min="8194" max="8194" width="3.5703125" style="21" customWidth="1"/>
    <col min="8195" max="8439" width="9.140625" style="21"/>
    <col min="8440" max="8440" width="8.7109375" style="21" customWidth="1"/>
    <col min="8441" max="8441" width="9.85546875" style="21" customWidth="1"/>
    <col min="8442" max="8442" width="14.42578125" style="21" customWidth="1"/>
    <col min="8443" max="8443" width="7.28515625" style="21" customWidth="1"/>
    <col min="8444" max="8444" width="5.5703125" style="21" customWidth="1"/>
    <col min="8445" max="8445" width="9" style="21" customWidth="1"/>
    <col min="8446" max="8447" width="9.85546875" style="21" customWidth="1"/>
    <col min="8448" max="8448" width="11.140625" style="21" customWidth="1"/>
    <col min="8449" max="8449" width="2.85546875" style="21" customWidth="1"/>
    <col min="8450" max="8450" width="3.5703125" style="21" customWidth="1"/>
    <col min="8451" max="8695" width="9.140625" style="21"/>
    <col min="8696" max="8696" width="8.7109375" style="21" customWidth="1"/>
    <col min="8697" max="8697" width="9.85546875" style="21" customWidth="1"/>
    <col min="8698" max="8698" width="14.42578125" style="21" customWidth="1"/>
    <col min="8699" max="8699" width="7.28515625" style="21" customWidth="1"/>
    <col min="8700" max="8700" width="5.5703125" style="21" customWidth="1"/>
    <col min="8701" max="8701" width="9" style="21" customWidth="1"/>
    <col min="8702" max="8703" width="9.85546875" style="21" customWidth="1"/>
    <col min="8704" max="8704" width="11.140625" style="21" customWidth="1"/>
    <col min="8705" max="8705" width="2.85546875" style="21" customWidth="1"/>
    <col min="8706" max="8706" width="3.5703125" style="21" customWidth="1"/>
    <col min="8707" max="8951" width="9.140625" style="21"/>
    <col min="8952" max="8952" width="8.7109375" style="21" customWidth="1"/>
    <col min="8953" max="8953" width="9.85546875" style="21" customWidth="1"/>
    <col min="8954" max="8954" width="14.42578125" style="21" customWidth="1"/>
    <col min="8955" max="8955" width="7.28515625" style="21" customWidth="1"/>
    <col min="8956" max="8956" width="5.5703125" style="21" customWidth="1"/>
    <col min="8957" max="8957" width="9" style="21" customWidth="1"/>
    <col min="8958" max="8959" width="9.85546875" style="21" customWidth="1"/>
    <col min="8960" max="8960" width="11.140625" style="21" customWidth="1"/>
    <col min="8961" max="8961" width="2.85546875" style="21" customWidth="1"/>
    <col min="8962" max="8962" width="3.5703125" style="21" customWidth="1"/>
    <col min="8963" max="9207" width="9.140625" style="21"/>
    <col min="9208" max="9208" width="8.7109375" style="21" customWidth="1"/>
    <col min="9209" max="9209" width="9.85546875" style="21" customWidth="1"/>
    <col min="9210" max="9210" width="14.42578125" style="21" customWidth="1"/>
    <col min="9211" max="9211" width="7.28515625" style="21" customWidth="1"/>
    <col min="9212" max="9212" width="5.5703125" style="21" customWidth="1"/>
    <col min="9213" max="9213" width="9" style="21" customWidth="1"/>
    <col min="9214" max="9215" width="9.85546875" style="21" customWidth="1"/>
    <col min="9216" max="9216" width="11.140625" style="21" customWidth="1"/>
    <col min="9217" max="9217" width="2.85546875" style="21" customWidth="1"/>
    <col min="9218" max="9218" width="3.5703125" style="21" customWidth="1"/>
    <col min="9219" max="9463" width="9.140625" style="21"/>
    <col min="9464" max="9464" width="8.7109375" style="21" customWidth="1"/>
    <col min="9465" max="9465" width="9.85546875" style="21" customWidth="1"/>
    <col min="9466" max="9466" width="14.42578125" style="21" customWidth="1"/>
    <col min="9467" max="9467" width="7.28515625" style="21" customWidth="1"/>
    <col min="9468" max="9468" width="5.5703125" style="21" customWidth="1"/>
    <col min="9469" max="9469" width="9" style="21" customWidth="1"/>
    <col min="9470" max="9471" width="9.85546875" style="21" customWidth="1"/>
    <col min="9472" max="9472" width="11.140625" style="21" customWidth="1"/>
    <col min="9473" max="9473" width="2.85546875" style="21" customWidth="1"/>
    <col min="9474" max="9474" width="3.5703125" style="21" customWidth="1"/>
    <col min="9475" max="9719" width="9.140625" style="21"/>
    <col min="9720" max="9720" width="8.7109375" style="21" customWidth="1"/>
    <col min="9721" max="9721" width="9.85546875" style="21" customWidth="1"/>
    <col min="9722" max="9722" width="14.42578125" style="21" customWidth="1"/>
    <col min="9723" max="9723" width="7.28515625" style="21" customWidth="1"/>
    <col min="9724" max="9724" width="5.5703125" style="21" customWidth="1"/>
    <col min="9725" max="9725" width="9" style="21" customWidth="1"/>
    <col min="9726" max="9727" width="9.85546875" style="21" customWidth="1"/>
    <col min="9728" max="9728" width="11.140625" style="21" customWidth="1"/>
    <col min="9729" max="9729" width="2.85546875" style="21" customWidth="1"/>
    <col min="9730" max="9730" width="3.5703125" style="21" customWidth="1"/>
    <col min="9731" max="9975" width="9.140625" style="21"/>
    <col min="9976" max="9976" width="8.7109375" style="21" customWidth="1"/>
    <col min="9977" max="9977" width="9.85546875" style="21" customWidth="1"/>
    <col min="9978" max="9978" width="14.42578125" style="21" customWidth="1"/>
    <col min="9979" max="9979" width="7.28515625" style="21" customWidth="1"/>
    <col min="9980" max="9980" width="5.5703125" style="21" customWidth="1"/>
    <col min="9981" max="9981" width="9" style="21" customWidth="1"/>
    <col min="9982" max="9983" width="9.85546875" style="21" customWidth="1"/>
    <col min="9984" max="9984" width="11.140625" style="21" customWidth="1"/>
    <col min="9985" max="9985" width="2.85546875" style="21" customWidth="1"/>
    <col min="9986" max="9986" width="3.5703125" style="21" customWidth="1"/>
    <col min="9987" max="10231" width="9.140625" style="21"/>
    <col min="10232" max="10232" width="8.7109375" style="21" customWidth="1"/>
    <col min="10233" max="10233" width="9.85546875" style="21" customWidth="1"/>
    <col min="10234" max="10234" width="14.42578125" style="21" customWidth="1"/>
    <col min="10235" max="10235" width="7.28515625" style="21" customWidth="1"/>
    <col min="10236" max="10236" width="5.5703125" style="21" customWidth="1"/>
    <col min="10237" max="10237" width="9" style="21" customWidth="1"/>
    <col min="10238" max="10239" width="9.85546875" style="21" customWidth="1"/>
    <col min="10240" max="10240" width="11.140625" style="21" customWidth="1"/>
    <col min="10241" max="10241" width="2.85546875" style="21" customWidth="1"/>
    <col min="10242" max="10242" width="3.5703125" style="21" customWidth="1"/>
    <col min="10243" max="10487" width="9.140625" style="21"/>
    <col min="10488" max="10488" width="8.7109375" style="21" customWidth="1"/>
    <col min="10489" max="10489" width="9.85546875" style="21" customWidth="1"/>
    <col min="10490" max="10490" width="14.42578125" style="21" customWidth="1"/>
    <col min="10491" max="10491" width="7.28515625" style="21" customWidth="1"/>
    <col min="10492" max="10492" width="5.5703125" style="21" customWidth="1"/>
    <col min="10493" max="10493" width="9" style="21" customWidth="1"/>
    <col min="10494" max="10495" width="9.85546875" style="21" customWidth="1"/>
    <col min="10496" max="10496" width="11.140625" style="21" customWidth="1"/>
    <col min="10497" max="10497" width="2.85546875" style="21" customWidth="1"/>
    <col min="10498" max="10498" width="3.5703125" style="21" customWidth="1"/>
    <col min="10499" max="10743" width="9.140625" style="21"/>
    <col min="10744" max="10744" width="8.7109375" style="21" customWidth="1"/>
    <col min="10745" max="10745" width="9.85546875" style="21" customWidth="1"/>
    <col min="10746" max="10746" width="14.42578125" style="21" customWidth="1"/>
    <col min="10747" max="10747" width="7.28515625" style="21" customWidth="1"/>
    <col min="10748" max="10748" width="5.5703125" style="21" customWidth="1"/>
    <col min="10749" max="10749" width="9" style="21" customWidth="1"/>
    <col min="10750" max="10751" width="9.85546875" style="21" customWidth="1"/>
    <col min="10752" max="10752" width="11.140625" style="21" customWidth="1"/>
    <col min="10753" max="10753" width="2.85546875" style="21" customWidth="1"/>
    <col min="10754" max="10754" width="3.5703125" style="21" customWidth="1"/>
    <col min="10755" max="10999" width="9.140625" style="21"/>
    <col min="11000" max="11000" width="8.7109375" style="21" customWidth="1"/>
    <col min="11001" max="11001" width="9.85546875" style="21" customWidth="1"/>
    <col min="11002" max="11002" width="14.42578125" style="21" customWidth="1"/>
    <col min="11003" max="11003" width="7.28515625" style="21" customWidth="1"/>
    <col min="11004" max="11004" width="5.5703125" style="21" customWidth="1"/>
    <col min="11005" max="11005" width="9" style="21" customWidth="1"/>
    <col min="11006" max="11007" width="9.85546875" style="21" customWidth="1"/>
    <col min="11008" max="11008" width="11.140625" style="21" customWidth="1"/>
    <col min="11009" max="11009" width="2.85546875" style="21" customWidth="1"/>
    <col min="11010" max="11010" width="3.5703125" style="21" customWidth="1"/>
    <col min="11011" max="11255" width="9.140625" style="21"/>
    <col min="11256" max="11256" width="8.7109375" style="21" customWidth="1"/>
    <col min="11257" max="11257" width="9.85546875" style="21" customWidth="1"/>
    <col min="11258" max="11258" width="14.42578125" style="21" customWidth="1"/>
    <col min="11259" max="11259" width="7.28515625" style="21" customWidth="1"/>
    <col min="11260" max="11260" width="5.5703125" style="21" customWidth="1"/>
    <col min="11261" max="11261" width="9" style="21" customWidth="1"/>
    <col min="11262" max="11263" width="9.85546875" style="21" customWidth="1"/>
    <col min="11264" max="11264" width="11.140625" style="21" customWidth="1"/>
    <col min="11265" max="11265" width="2.85546875" style="21" customWidth="1"/>
    <col min="11266" max="11266" width="3.5703125" style="21" customWidth="1"/>
    <col min="11267" max="11511" width="9.140625" style="21"/>
    <col min="11512" max="11512" width="8.7109375" style="21" customWidth="1"/>
    <col min="11513" max="11513" width="9.85546875" style="21" customWidth="1"/>
    <col min="11514" max="11514" width="14.42578125" style="21" customWidth="1"/>
    <col min="11515" max="11515" width="7.28515625" style="21" customWidth="1"/>
    <col min="11516" max="11516" width="5.5703125" style="21" customWidth="1"/>
    <col min="11517" max="11517" width="9" style="21" customWidth="1"/>
    <col min="11518" max="11519" width="9.85546875" style="21" customWidth="1"/>
    <col min="11520" max="11520" width="11.140625" style="21" customWidth="1"/>
    <col min="11521" max="11521" width="2.85546875" style="21" customWidth="1"/>
    <col min="11522" max="11522" width="3.5703125" style="21" customWidth="1"/>
    <col min="11523" max="11767" width="9.140625" style="21"/>
    <col min="11768" max="11768" width="8.7109375" style="21" customWidth="1"/>
    <col min="11769" max="11769" width="9.85546875" style="21" customWidth="1"/>
    <col min="11770" max="11770" width="14.42578125" style="21" customWidth="1"/>
    <col min="11771" max="11771" width="7.28515625" style="21" customWidth="1"/>
    <col min="11772" max="11772" width="5.5703125" style="21" customWidth="1"/>
    <col min="11773" max="11773" width="9" style="21" customWidth="1"/>
    <col min="11774" max="11775" width="9.85546875" style="21" customWidth="1"/>
    <col min="11776" max="11776" width="11.140625" style="21" customWidth="1"/>
    <col min="11777" max="11777" width="2.85546875" style="21" customWidth="1"/>
    <col min="11778" max="11778" width="3.5703125" style="21" customWidth="1"/>
    <col min="11779" max="12023" width="9.140625" style="21"/>
    <col min="12024" max="12024" width="8.7109375" style="21" customWidth="1"/>
    <col min="12025" max="12025" width="9.85546875" style="21" customWidth="1"/>
    <col min="12026" max="12026" width="14.42578125" style="21" customWidth="1"/>
    <col min="12027" max="12027" width="7.28515625" style="21" customWidth="1"/>
    <col min="12028" max="12028" width="5.5703125" style="21" customWidth="1"/>
    <col min="12029" max="12029" width="9" style="21" customWidth="1"/>
    <col min="12030" max="12031" width="9.85546875" style="21" customWidth="1"/>
    <col min="12032" max="12032" width="11.140625" style="21" customWidth="1"/>
    <col min="12033" max="12033" width="2.85546875" style="21" customWidth="1"/>
    <col min="12034" max="12034" width="3.5703125" style="21" customWidth="1"/>
    <col min="12035" max="12279" width="9.140625" style="21"/>
    <col min="12280" max="12280" width="8.7109375" style="21" customWidth="1"/>
    <col min="12281" max="12281" width="9.85546875" style="21" customWidth="1"/>
    <col min="12282" max="12282" width="14.42578125" style="21" customWidth="1"/>
    <col min="12283" max="12283" width="7.28515625" style="21" customWidth="1"/>
    <col min="12284" max="12284" width="5.5703125" style="21" customWidth="1"/>
    <col min="12285" max="12285" width="9" style="21" customWidth="1"/>
    <col min="12286" max="12287" width="9.85546875" style="21" customWidth="1"/>
    <col min="12288" max="12288" width="11.140625" style="21" customWidth="1"/>
    <col min="12289" max="12289" width="2.85546875" style="21" customWidth="1"/>
    <col min="12290" max="12290" width="3.5703125" style="21" customWidth="1"/>
    <col min="12291" max="12535" width="9.140625" style="21"/>
    <col min="12536" max="12536" width="8.7109375" style="21" customWidth="1"/>
    <col min="12537" max="12537" width="9.85546875" style="21" customWidth="1"/>
    <col min="12538" max="12538" width="14.42578125" style="21" customWidth="1"/>
    <col min="12539" max="12539" width="7.28515625" style="21" customWidth="1"/>
    <col min="12540" max="12540" width="5.5703125" style="21" customWidth="1"/>
    <col min="12541" max="12541" width="9" style="21" customWidth="1"/>
    <col min="12542" max="12543" width="9.85546875" style="21" customWidth="1"/>
    <col min="12544" max="12544" width="11.140625" style="21" customWidth="1"/>
    <col min="12545" max="12545" width="2.85546875" style="21" customWidth="1"/>
    <col min="12546" max="12546" width="3.5703125" style="21" customWidth="1"/>
    <col min="12547" max="12791" width="9.140625" style="21"/>
    <col min="12792" max="12792" width="8.7109375" style="21" customWidth="1"/>
    <col min="12793" max="12793" width="9.85546875" style="21" customWidth="1"/>
    <col min="12794" max="12794" width="14.42578125" style="21" customWidth="1"/>
    <col min="12795" max="12795" width="7.28515625" style="21" customWidth="1"/>
    <col min="12796" max="12796" width="5.5703125" style="21" customWidth="1"/>
    <col min="12797" max="12797" width="9" style="21" customWidth="1"/>
    <col min="12798" max="12799" width="9.85546875" style="21" customWidth="1"/>
    <col min="12800" max="12800" width="11.140625" style="21" customWidth="1"/>
    <col min="12801" max="12801" width="2.85546875" style="21" customWidth="1"/>
    <col min="12802" max="12802" width="3.5703125" style="21" customWidth="1"/>
    <col min="12803" max="13047" width="9.140625" style="21"/>
    <col min="13048" max="13048" width="8.7109375" style="21" customWidth="1"/>
    <col min="13049" max="13049" width="9.85546875" style="21" customWidth="1"/>
    <col min="13050" max="13050" width="14.42578125" style="21" customWidth="1"/>
    <col min="13051" max="13051" width="7.28515625" style="21" customWidth="1"/>
    <col min="13052" max="13052" width="5.5703125" style="21" customWidth="1"/>
    <col min="13053" max="13053" width="9" style="21" customWidth="1"/>
    <col min="13054" max="13055" width="9.85546875" style="21" customWidth="1"/>
    <col min="13056" max="13056" width="11.140625" style="21" customWidth="1"/>
    <col min="13057" max="13057" width="2.85546875" style="21" customWidth="1"/>
    <col min="13058" max="13058" width="3.5703125" style="21" customWidth="1"/>
    <col min="13059" max="13303" width="9.140625" style="21"/>
    <col min="13304" max="13304" width="8.7109375" style="21" customWidth="1"/>
    <col min="13305" max="13305" width="9.85546875" style="21" customWidth="1"/>
    <col min="13306" max="13306" width="14.42578125" style="21" customWidth="1"/>
    <col min="13307" max="13307" width="7.28515625" style="21" customWidth="1"/>
    <col min="13308" max="13308" width="5.5703125" style="21" customWidth="1"/>
    <col min="13309" max="13309" width="9" style="21" customWidth="1"/>
    <col min="13310" max="13311" width="9.85546875" style="21" customWidth="1"/>
    <col min="13312" max="13312" width="11.140625" style="21" customWidth="1"/>
    <col min="13313" max="13313" width="2.85546875" style="21" customWidth="1"/>
    <col min="13314" max="13314" width="3.5703125" style="21" customWidth="1"/>
    <col min="13315" max="13559" width="9.140625" style="21"/>
    <col min="13560" max="13560" width="8.7109375" style="21" customWidth="1"/>
    <col min="13561" max="13561" width="9.85546875" style="21" customWidth="1"/>
    <col min="13562" max="13562" width="14.42578125" style="21" customWidth="1"/>
    <col min="13563" max="13563" width="7.28515625" style="21" customWidth="1"/>
    <col min="13564" max="13564" width="5.5703125" style="21" customWidth="1"/>
    <col min="13565" max="13565" width="9" style="21" customWidth="1"/>
    <col min="13566" max="13567" width="9.85546875" style="21" customWidth="1"/>
    <col min="13568" max="13568" width="11.140625" style="21" customWidth="1"/>
    <col min="13569" max="13569" width="2.85546875" style="21" customWidth="1"/>
    <col min="13570" max="13570" width="3.5703125" style="21" customWidth="1"/>
    <col min="13571" max="13815" width="9.140625" style="21"/>
    <col min="13816" max="13816" width="8.7109375" style="21" customWidth="1"/>
    <col min="13817" max="13817" width="9.85546875" style="21" customWidth="1"/>
    <col min="13818" max="13818" width="14.42578125" style="21" customWidth="1"/>
    <col min="13819" max="13819" width="7.28515625" style="21" customWidth="1"/>
    <col min="13820" max="13820" width="5.5703125" style="21" customWidth="1"/>
    <col min="13821" max="13821" width="9" style="21" customWidth="1"/>
    <col min="13822" max="13823" width="9.85546875" style="21" customWidth="1"/>
    <col min="13824" max="13824" width="11.140625" style="21" customWidth="1"/>
    <col min="13825" max="13825" width="2.85546875" style="21" customWidth="1"/>
    <col min="13826" max="13826" width="3.5703125" style="21" customWidth="1"/>
    <col min="13827" max="14071" width="9.140625" style="21"/>
    <col min="14072" max="14072" width="8.7109375" style="21" customWidth="1"/>
    <col min="14073" max="14073" width="9.85546875" style="21" customWidth="1"/>
    <col min="14074" max="14074" width="14.42578125" style="21" customWidth="1"/>
    <col min="14075" max="14075" width="7.28515625" style="21" customWidth="1"/>
    <col min="14076" max="14076" width="5.5703125" style="21" customWidth="1"/>
    <col min="14077" max="14077" width="9" style="21" customWidth="1"/>
    <col min="14078" max="14079" width="9.85546875" style="21" customWidth="1"/>
    <col min="14080" max="14080" width="11.140625" style="21" customWidth="1"/>
    <col min="14081" max="14081" width="2.85546875" style="21" customWidth="1"/>
    <col min="14082" max="14082" width="3.5703125" style="21" customWidth="1"/>
    <col min="14083" max="14327" width="9.140625" style="21"/>
    <col min="14328" max="14328" width="8.7109375" style="21" customWidth="1"/>
    <col min="14329" max="14329" width="9.85546875" style="21" customWidth="1"/>
    <col min="14330" max="14330" width="14.42578125" style="21" customWidth="1"/>
    <col min="14331" max="14331" width="7.28515625" style="21" customWidth="1"/>
    <col min="14332" max="14332" width="5.5703125" style="21" customWidth="1"/>
    <col min="14333" max="14333" width="9" style="21" customWidth="1"/>
    <col min="14334" max="14335" width="9.85546875" style="21" customWidth="1"/>
    <col min="14336" max="14336" width="11.140625" style="21" customWidth="1"/>
    <col min="14337" max="14337" width="2.85546875" style="21" customWidth="1"/>
    <col min="14338" max="14338" width="3.5703125" style="21" customWidth="1"/>
    <col min="14339" max="14583" width="9.140625" style="21"/>
    <col min="14584" max="14584" width="8.7109375" style="21" customWidth="1"/>
    <col min="14585" max="14585" width="9.85546875" style="21" customWidth="1"/>
    <col min="14586" max="14586" width="14.42578125" style="21" customWidth="1"/>
    <col min="14587" max="14587" width="7.28515625" style="21" customWidth="1"/>
    <col min="14588" max="14588" width="5.5703125" style="21" customWidth="1"/>
    <col min="14589" max="14589" width="9" style="21" customWidth="1"/>
    <col min="14590" max="14591" width="9.85546875" style="21" customWidth="1"/>
    <col min="14592" max="14592" width="11.140625" style="21" customWidth="1"/>
    <col min="14593" max="14593" width="2.85546875" style="21" customWidth="1"/>
    <col min="14594" max="14594" width="3.5703125" style="21" customWidth="1"/>
    <col min="14595" max="14839" width="9.140625" style="21"/>
    <col min="14840" max="14840" width="8.7109375" style="21" customWidth="1"/>
    <col min="14841" max="14841" width="9.85546875" style="21" customWidth="1"/>
    <col min="14842" max="14842" width="14.42578125" style="21" customWidth="1"/>
    <col min="14843" max="14843" width="7.28515625" style="21" customWidth="1"/>
    <col min="14844" max="14844" width="5.5703125" style="21" customWidth="1"/>
    <col min="14845" max="14845" width="9" style="21" customWidth="1"/>
    <col min="14846" max="14847" width="9.85546875" style="21" customWidth="1"/>
    <col min="14848" max="14848" width="11.140625" style="21" customWidth="1"/>
    <col min="14849" max="14849" width="2.85546875" style="21" customWidth="1"/>
    <col min="14850" max="14850" width="3.5703125" style="21" customWidth="1"/>
    <col min="14851" max="15095" width="9.140625" style="21"/>
    <col min="15096" max="15096" width="8.7109375" style="21" customWidth="1"/>
    <col min="15097" max="15097" width="9.85546875" style="21" customWidth="1"/>
    <col min="15098" max="15098" width="14.42578125" style="21" customWidth="1"/>
    <col min="15099" max="15099" width="7.28515625" style="21" customWidth="1"/>
    <col min="15100" max="15100" width="5.5703125" style="21" customWidth="1"/>
    <col min="15101" max="15101" width="9" style="21" customWidth="1"/>
    <col min="15102" max="15103" width="9.85546875" style="21" customWidth="1"/>
    <col min="15104" max="15104" width="11.140625" style="21" customWidth="1"/>
    <col min="15105" max="15105" width="2.85546875" style="21" customWidth="1"/>
    <col min="15106" max="15106" width="3.5703125" style="21" customWidth="1"/>
    <col min="15107" max="15351" width="9.140625" style="21"/>
    <col min="15352" max="15352" width="8.7109375" style="21" customWidth="1"/>
    <col min="15353" max="15353" width="9.85546875" style="21" customWidth="1"/>
    <col min="15354" max="15354" width="14.42578125" style="21" customWidth="1"/>
    <col min="15355" max="15355" width="7.28515625" style="21" customWidth="1"/>
    <col min="15356" max="15356" width="5.5703125" style="21" customWidth="1"/>
    <col min="15357" max="15357" width="9" style="21" customWidth="1"/>
    <col min="15358" max="15359" width="9.85546875" style="21" customWidth="1"/>
    <col min="15360" max="15360" width="11.140625" style="21" customWidth="1"/>
    <col min="15361" max="15361" width="2.85546875" style="21" customWidth="1"/>
    <col min="15362" max="15362" width="3.5703125" style="21" customWidth="1"/>
    <col min="15363" max="15607" width="9.140625" style="21"/>
    <col min="15608" max="15608" width="8.7109375" style="21" customWidth="1"/>
    <col min="15609" max="15609" width="9.85546875" style="21" customWidth="1"/>
    <col min="15610" max="15610" width="14.42578125" style="21" customWidth="1"/>
    <col min="15611" max="15611" width="7.28515625" style="21" customWidth="1"/>
    <col min="15612" max="15612" width="5.5703125" style="21" customWidth="1"/>
    <col min="15613" max="15613" width="9" style="21" customWidth="1"/>
    <col min="15614" max="15615" width="9.85546875" style="21" customWidth="1"/>
    <col min="15616" max="15616" width="11.140625" style="21" customWidth="1"/>
    <col min="15617" max="15617" width="2.85546875" style="21" customWidth="1"/>
    <col min="15618" max="15618" width="3.5703125" style="21" customWidth="1"/>
    <col min="15619" max="15863" width="9.140625" style="21"/>
    <col min="15864" max="15864" width="8.7109375" style="21" customWidth="1"/>
    <col min="15865" max="15865" width="9.85546875" style="21" customWidth="1"/>
    <col min="15866" max="15866" width="14.42578125" style="21" customWidth="1"/>
    <col min="15867" max="15867" width="7.28515625" style="21" customWidth="1"/>
    <col min="15868" max="15868" width="5.5703125" style="21" customWidth="1"/>
    <col min="15869" max="15869" width="9" style="21" customWidth="1"/>
    <col min="15870" max="15871" width="9.85546875" style="21" customWidth="1"/>
    <col min="15872" max="15872" width="11.140625" style="21" customWidth="1"/>
    <col min="15873" max="15873" width="2.85546875" style="21" customWidth="1"/>
    <col min="15874" max="15874" width="3.5703125" style="21" customWidth="1"/>
    <col min="15875" max="16119" width="9.140625" style="21"/>
    <col min="16120" max="16120" width="8.7109375" style="21" customWidth="1"/>
    <col min="16121" max="16121" width="9.85546875" style="21" customWidth="1"/>
    <col min="16122" max="16122" width="14.42578125" style="21" customWidth="1"/>
    <col min="16123" max="16123" width="7.28515625" style="21" customWidth="1"/>
    <col min="16124" max="16124" width="5.5703125" style="21" customWidth="1"/>
    <col min="16125" max="16125" width="9" style="21" customWidth="1"/>
    <col min="16126" max="16127" width="9.85546875" style="21" customWidth="1"/>
    <col min="16128" max="16128" width="11.140625" style="21" customWidth="1"/>
    <col min="16129" max="16129" width="2.85546875" style="21" customWidth="1"/>
    <col min="16130" max="16130" width="3.5703125" style="21" customWidth="1"/>
    <col min="16131" max="16384" width="9.140625" style="21"/>
  </cols>
  <sheetData>
    <row r="1" spans="1:26" ht="46.5" customHeight="1" x14ac:dyDescent="0.25">
      <c r="A1" s="214" t="s">
        <v>374</v>
      </c>
      <c r="B1" s="214"/>
      <c r="C1" s="214"/>
      <c r="D1" s="214"/>
      <c r="E1" s="214"/>
      <c r="F1" s="214"/>
      <c r="G1" s="214"/>
      <c r="H1" s="214"/>
    </row>
    <row r="2" spans="1:26" ht="16.5" customHeight="1" x14ac:dyDescent="0.25">
      <c r="A2" s="198" t="s">
        <v>0</v>
      </c>
      <c r="B2" s="198"/>
      <c r="C2" s="198"/>
      <c r="D2" s="198"/>
      <c r="E2" s="198"/>
      <c r="F2" s="198"/>
      <c r="G2" s="198"/>
      <c r="H2" s="198"/>
    </row>
    <row r="3" spans="1:26" x14ac:dyDescent="0.25">
      <c r="A3" s="161" t="s">
        <v>1</v>
      </c>
      <c r="B3" s="161"/>
      <c r="C3" s="161"/>
      <c r="D3" s="161"/>
      <c r="E3" s="161" t="str">
        <f ca="1">TEXT(TODAY(),"DD/MM/YYYY")</f>
        <v>04/08/2025</v>
      </c>
      <c r="F3" s="161"/>
      <c r="G3" s="161"/>
      <c r="H3" s="161"/>
      <c r="K3" s="56" t="s">
        <v>231</v>
      </c>
      <c r="L3" s="54" t="s">
        <v>229</v>
      </c>
      <c r="M3" s="54" t="s">
        <v>234</v>
      </c>
      <c r="N3" s="54" t="s">
        <v>232</v>
      </c>
      <c r="O3" s="54" t="s">
        <v>351</v>
      </c>
      <c r="P3" s="54" t="s">
        <v>377</v>
      </c>
    </row>
    <row r="4" spans="1:26" ht="15" customHeight="1" x14ac:dyDescent="0.25">
      <c r="A4" s="161" t="s">
        <v>228</v>
      </c>
      <c r="B4" s="161"/>
      <c r="C4" s="161"/>
      <c r="D4" s="161"/>
      <c r="E4" s="212" t="s">
        <v>377</v>
      </c>
      <c r="F4" s="212"/>
      <c r="G4" s="212"/>
      <c r="H4" s="212"/>
      <c r="K4" s="53" t="s">
        <v>230</v>
      </c>
      <c r="L4" s="54" t="s">
        <v>167</v>
      </c>
      <c r="M4" s="54" t="s">
        <v>239</v>
      </c>
      <c r="N4" s="54" t="s">
        <v>241</v>
      </c>
      <c r="O4" s="54" t="s">
        <v>337</v>
      </c>
      <c r="P4" s="54" t="s">
        <v>378</v>
      </c>
    </row>
    <row r="5" spans="1:26" ht="15" customHeight="1" x14ac:dyDescent="0.25">
      <c r="A5" s="161" t="s">
        <v>2</v>
      </c>
      <c r="B5" s="161"/>
      <c r="C5" s="161"/>
      <c r="D5" s="161"/>
      <c r="E5" s="212" t="s">
        <v>378</v>
      </c>
      <c r="F5" s="212"/>
      <c r="G5" s="212"/>
      <c r="H5" s="212"/>
      <c r="K5" s="53"/>
      <c r="L5" s="54" t="s">
        <v>236</v>
      </c>
      <c r="M5" s="54" t="s">
        <v>240</v>
      </c>
      <c r="N5" s="54" t="s">
        <v>242</v>
      </c>
      <c r="O5" s="54" t="s">
        <v>338</v>
      </c>
      <c r="P5" s="54"/>
    </row>
    <row r="6" spans="1:26" x14ac:dyDescent="0.25">
      <c r="A6" s="161" t="s">
        <v>3</v>
      </c>
      <c r="B6" s="161"/>
      <c r="C6" s="161"/>
      <c r="D6" s="161"/>
      <c r="E6" s="215">
        <v>45873</v>
      </c>
      <c r="F6" s="216"/>
      <c r="G6" s="216"/>
      <c r="H6" s="216"/>
      <c r="K6" s="53"/>
      <c r="L6" s="54" t="s">
        <v>237</v>
      </c>
      <c r="M6" s="54" t="s">
        <v>349</v>
      </c>
      <c r="N6" s="54"/>
      <c r="O6" s="54" t="s">
        <v>339</v>
      </c>
      <c r="P6" s="54"/>
    </row>
    <row r="7" spans="1:26" ht="16.5" customHeight="1" x14ac:dyDescent="0.25">
      <c r="A7" s="161" t="s">
        <v>4</v>
      </c>
      <c r="B7" s="161"/>
      <c r="C7" s="161"/>
      <c r="D7" s="161"/>
      <c r="E7" s="161" t="s">
        <v>379</v>
      </c>
      <c r="F7" s="161"/>
      <c r="G7" s="161"/>
      <c r="H7" s="161"/>
      <c r="K7" s="53"/>
      <c r="L7" s="54" t="s">
        <v>238</v>
      </c>
      <c r="M7" s="54"/>
      <c r="N7" s="54"/>
      <c r="O7" s="54" t="s">
        <v>339</v>
      </c>
      <c r="P7" s="54"/>
    </row>
    <row r="8" spans="1:26" ht="15" customHeight="1" x14ac:dyDescent="0.25">
      <c r="A8" s="161" t="s">
        <v>5</v>
      </c>
      <c r="B8" s="161"/>
      <c r="C8" s="161"/>
      <c r="D8" s="161"/>
      <c r="E8" s="161" t="str">
        <f>E7</f>
        <v>Sejal Shakti Realtors LLP</v>
      </c>
      <c r="F8" s="161"/>
      <c r="G8" s="161"/>
      <c r="H8" s="161"/>
      <c r="K8" s="53"/>
      <c r="L8" s="54"/>
      <c r="M8" s="54"/>
      <c r="N8" s="54"/>
      <c r="O8" s="54" t="s">
        <v>340</v>
      </c>
      <c r="P8" s="54"/>
    </row>
    <row r="9" spans="1:26" x14ac:dyDescent="0.25">
      <c r="A9" s="161" t="s">
        <v>6</v>
      </c>
      <c r="B9" s="161"/>
      <c r="C9" s="161"/>
      <c r="D9" s="161"/>
      <c r="E9" s="207" t="s">
        <v>380</v>
      </c>
      <c r="F9" s="207"/>
      <c r="G9" s="207"/>
      <c r="H9" s="207"/>
      <c r="I9" s="113" t="s">
        <v>419</v>
      </c>
      <c r="K9" s="53"/>
      <c r="L9" s="54"/>
      <c r="M9" s="54"/>
      <c r="N9" s="54"/>
      <c r="O9" s="54" t="s">
        <v>341</v>
      </c>
      <c r="P9" s="54"/>
    </row>
    <row r="10" spans="1:26" x14ac:dyDescent="0.25">
      <c r="A10" s="161" t="s">
        <v>163</v>
      </c>
      <c r="B10" s="161"/>
      <c r="C10" s="161"/>
      <c r="D10" s="161"/>
      <c r="E10" s="161" t="s">
        <v>421</v>
      </c>
      <c r="F10" s="161"/>
      <c r="G10" s="161"/>
      <c r="H10" s="161"/>
      <c r="K10" s="53"/>
      <c r="L10" s="54"/>
      <c r="M10" s="54"/>
      <c r="N10" s="54"/>
      <c r="O10" s="54" t="s">
        <v>342</v>
      </c>
      <c r="P10" s="54"/>
    </row>
    <row r="11" spans="1:26" x14ac:dyDescent="0.25">
      <c r="A11" s="161" t="s">
        <v>164</v>
      </c>
      <c r="B11" s="161"/>
      <c r="C11" s="161"/>
      <c r="D11" s="161"/>
      <c r="E11" s="161" t="s">
        <v>421</v>
      </c>
      <c r="F11" s="161"/>
      <c r="G11" s="161"/>
      <c r="H11" s="161"/>
      <c r="O11" s="54" t="s">
        <v>343</v>
      </c>
    </row>
    <row r="12" spans="1:26" x14ac:dyDescent="0.25">
      <c r="A12" s="161" t="s">
        <v>7</v>
      </c>
      <c r="B12" s="161"/>
      <c r="C12" s="161"/>
      <c r="D12" s="161"/>
      <c r="E12" s="161" t="s">
        <v>423</v>
      </c>
      <c r="F12" s="161"/>
      <c r="G12" s="161"/>
      <c r="H12" s="161"/>
    </row>
    <row r="13" spans="1:26" x14ac:dyDescent="0.25">
      <c r="A13" s="212" t="s">
        <v>168</v>
      </c>
      <c r="B13" s="212"/>
      <c r="C13" s="212"/>
      <c r="D13" s="212"/>
      <c r="E13" s="161" t="s">
        <v>28</v>
      </c>
      <c r="F13" s="161"/>
      <c r="G13" s="161"/>
      <c r="H13" s="161"/>
      <c r="S13" s="54" t="s">
        <v>175</v>
      </c>
      <c r="T13" s="54" t="s">
        <v>184</v>
      </c>
      <c r="U13" s="54" t="s">
        <v>169</v>
      </c>
      <c r="V13" s="54" t="s">
        <v>189</v>
      </c>
      <c r="W13" s="54" t="s">
        <v>207</v>
      </c>
      <c r="X13"/>
      <c r="Y13" t="s">
        <v>189</v>
      </c>
      <c r="Z13" t="e">
        <f ca="1">OFFSET($S$13,1,MATCH($G20,$S$13:$W$13,0)-1,15,1)</f>
        <v>#VALUE!</v>
      </c>
    </row>
    <row r="14" spans="1:26" x14ac:dyDescent="0.25">
      <c r="A14" s="165" t="s">
        <v>274</v>
      </c>
      <c r="B14" s="165"/>
      <c r="C14" s="165"/>
      <c r="D14" s="165"/>
      <c r="E14" s="213" t="s">
        <v>382</v>
      </c>
      <c r="F14" s="213"/>
      <c r="G14" s="213"/>
      <c r="H14" s="213"/>
      <c r="S14" s="54" t="s">
        <v>175</v>
      </c>
      <c r="T14" s="54" t="s">
        <v>182</v>
      </c>
      <c r="U14" s="54" t="s">
        <v>204</v>
      </c>
      <c r="V14" s="54" t="s">
        <v>190</v>
      </c>
      <c r="W14" s="54" t="s">
        <v>208</v>
      </c>
      <c r="X14"/>
      <c r="Y14"/>
      <c r="Z14"/>
    </row>
    <row r="15" spans="1:26" x14ac:dyDescent="0.25">
      <c r="A15" s="165" t="s">
        <v>8</v>
      </c>
      <c r="B15" s="165"/>
      <c r="C15" s="165"/>
      <c r="D15" s="165"/>
      <c r="E15" s="213" t="s">
        <v>416</v>
      </c>
      <c r="F15" s="212"/>
      <c r="G15" s="212"/>
      <c r="H15" s="212"/>
      <c r="I15" s="156" t="e">
        <f ca="1">OFFSET($D$5,1,MATCH($J13,$D$5:$H$5,0)-1,15,1)</f>
        <v>#N/A</v>
      </c>
      <c r="J15" s="157"/>
      <c r="K15" s="157"/>
      <c r="L15" s="157"/>
      <c r="M15" s="157"/>
      <c r="N15" s="157"/>
      <c r="O15" s="157"/>
      <c r="P15" s="157"/>
      <c r="S15" s="54" t="s">
        <v>176</v>
      </c>
      <c r="T15" s="54" t="s">
        <v>183</v>
      </c>
      <c r="U15" s="54" t="s">
        <v>205</v>
      </c>
      <c r="V15" s="54" t="s">
        <v>191</v>
      </c>
      <c r="W15" s="54" t="s">
        <v>221</v>
      </c>
      <c r="X15"/>
      <c r="Y15"/>
      <c r="Z15"/>
    </row>
    <row r="16" spans="1:26" ht="66.75" customHeight="1" x14ac:dyDescent="0.25">
      <c r="A16" s="168" t="s">
        <v>9</v>
      </c>
      <c r="B16" s="168"/>
      <c r="C16" s="168" t="str">
        <f>CONCATENATE((IF(OR(E9="",E9="NA"),"",E9)),", ",(IF(OR(A17="",A17="NA"),"",A17)),".",(IF(OR(C17="",C17="NA"),"",C17)),", near ",(IF(OR(C22="",C22="NA"),"",C22)),", ",(IF(OR(C19="",C19="NA"),"",C19)),", ",(IF(OR(C18="",C18="NA"),"",C18)),", ",(IF(OR(G19="",G19="NA"),"",G19)),", ",(IF(OR(C20="",C20="NA"),"",C20)),", ",(IF(OR(C21="",C21="NA"),"",C21)),", ",(IF(OR(G20="",G20="NA"),"",G20))," - ",(IF(OR(G21="",G21="NA"),"",G21)),".")</f>
        <v>Siddha Sky Phase V, C.S No.6(PT), 16(PT) to 21(PT) of Salt Plan Division &amp; 12(PT) of Sion Division For " Nirmal Nagar CHS ", near GTB Nagar Monorail Station, Truck Terminal Road, Nirmal Nagar, Sion , GTB Nagar East, Mumbai, Mumbai - 400037.</v>
      </c>
      <c r="D16" s="168"/>
      <c r="E16" s="168"/>
      <c r="F16" s="168"/>
      <c r="G16" s="168"/>
      <c r="H16" s="168"/>
      <c r="J16" s="101" t="s">
        <v>384</v>
      </c>
      <c r="K16" s="102" t="s">
        <v>383</v>
      </c>
      <c r="S16" s="54" t="s">
        <v>177</v>
      </c>
      <c r="T16" s="54" t="s">
        <v>185</v>
      </c>
      <c r="U16" s="54" t="s">
        <v>206</v>
      </c>
      <c r="V16" s="54" t="s">
        <v>192</v>
      </c>
      <c r="W16" s="54" t="s">
        <v>209</v>
      </c>
      <c r="X16"/>
      <c r="Y16"/>
      <c r="Z16"/>
    </row>
    <row r="17" spans="1:26" ht="33.75" customHeight="1" x14ac:dyDescent="0.25">
      <c r="A17" s="213" t="s">
        <v>427</v>
      </c>
      <c r="B17" s="213"/>
      <c r="C17" s="213" t="s">
        <v>422</v>
      </c>
      <c r="D17" s="213"/>
      <c r="E17" s="213"/>
      <c r="F17" s="213"/>
      <c r="G17" s="213"/>
      <c r="H17" s="213"/>
      <c r="J17" s="21" t="s">
        <v>395</v>
      </c>
      <c r="K17" s="100" t="s">
        <v>394</v>
      </c>
      <c r="S17" s="54" t="s">
        <v>178</v>
      </c>
      <c r="T17" s="54" t="s">
        <v>186</v>
      </c>
      <c r="U17" s="54" t="s">
        <v>169</v>
      </c>
      <c r="V17" s="54" t="s">
        <v>193</v>
      </c>
      <c r="W17" s="54" t="s">
        <v>210</v>
      </c>
      <c r="X17"/>
      <c r="Y17"/>
      <c r="Z17"/>
    </row>
    <row r="18" spans="1:26" ht="15.75" customHeight="1" x14ac:dyDescent="0.25">
      <c r="A18" s="217" t="s">
        <v>159</v>
      </c>
      <c r="B18" s="217"/>
      <c r="C18" s="217" t="s">
        <v>426</v>
      </c>
      <c r="D18" s="217"/>
      <c r="E18" s="217"/>
      <c r="F18" s="217"/>
      <c r="G18" s="217"/>
      <c r="H18" s="217"/>
      <c r="S18" s="54" t="s">
        <v>179</v>
      </c>
      <c r="T18" s="54" t="s">
        <v>184</v>
      </c>
      <c r="U18" s="54"/>
      <c r="V18" s="54" t="s">
        <v>194</v>
      </c>
      <c r="W18" s="54" t="s">
        <v>211</v>
      </c>
      <c r="X18"/>
      <c r="Y18"/>
      <c r="Z18"/>
    </row>
    <row r="19" spans="1:26" x14ac:dyDescent="0.25">
      <c r="A19" s="168" t="s">
        <v>10</v>
      </c>
      <c r="B19" s="168"/>
      <c r="C19" s="161" t="s">
        <v>385</v>
      </c>
      <c r="D19" s="161"/>
      <c r="E19" s="168" t="s">
        <v>69</v>
      </c>
      <c r="F19" s="168"/>
      <c r="G19" s="217" t="s">
        <v>425</v>
      </c>
      <c r="H19" s="217"/>
      <c r="S19" s="54" t="s">
        <v>180</v>
      </c>
      <c r="T19" s="54" t="s">
        <v>187</v>
      </c>
      <c r="U19" s="54"/>
      <c r="V19" s="54" t="s">
        <v>195</v>
      </c>
      <c r="W19" s="54" t="s">
        <v>212</v>
      </c>
      <c r="X19"/>
      <c r="Y19"/>
      <c r="Z19"/>
    </row>
    <row r="20" spans="1:26" x14ac:dyDescent="0.25">
      <c r="A20" s="165" t="s">
        <v>12</v>
      </c>
      <c r="B20" s="165"/>
      <c r="C20" s="217" t="s">
        <v>428</v>
      </c>
      <c r="D20" s="217"/>
      <c r="E20" s="168" t="s">
        <v>11</v>
      </c>
      <c r="F20" s="168"/>
      <c r="G20" s="218" t="s">
        <v>169</v>
      </c>
      <c r="H20" s="218"/>
      <c r="S20" s="54" t="s">
        <v>181</v>
      </c>
      <c r="T20" s="54" t="s">
        <v>188</v>
      </c>
      <c r="U20" s="54"/>
      <c r="V20" s="54" t="s">
        <v>196</v>
      </c>
      <c r="W20" s="54" t="s">
        <v>213</v>
      </c>
      <c r="X20"/>
      <c r="Y20"/>
      <c r="Z20"/>
    </row>
    <row r="21" spans="1:26" x14ac:dyDescent="0.25">
      <c r="A21" s="165" t="s">
        <v>70</v>
      </c>
      <c r="B21" s="165"/>
      <c r="C21" s="213" t="s">
        <v>169</v>
      </c>
      <c r="D21" s="213"/>
      <c r="E21" s="217" t="s">
        <v>13</v>
      </c>
      <c r="F21" s="217"/>
      <c r="G21" s="217">
        <v>400037</v>
      </c>
      <c r="H21" s="217"/>
      <c r="S21" s="54"/>
      <c r="T21" s="54"/>
      <c r="U21" s="54"/>
      <c r="V21" s="54" t="s">
        <v>197</v>
      </c>
      <c r="W21" s="54" t="s">
        <v>214</v>
      </c>
      <c r="X21"/>
      <c r="Y21"/>
      <c r="Z21"/>
    </row>
    <row r="22" spans="1:26" ht="32.25" customHeight="1" x14ac:dyDescent="0.25">
      <c r="A22" s="165" t="s">
        <v>118</v>
      </c>
      <c r="B22" s="165"/>
      <c r="C22" s="217" t="s">
        <v>445</v>
      </c>
      <c r="D22" s="217"/>
      <c r="E22" s="217" t="s">
        <v>14</v>
      </c>
      <c r="F22" s="217"/>
      <c r="G22" s="217" t="s">
        <v>446</v>
      </c>
      <c r="H22" s="217"/>
      <c r="S22" s="54"/>
      <c r="T22" s="54"/>
      <c r="U22" s="54"/>
      <c r="V22" s="54" t="s">
        <v>198</v>
      </c>
      <c r="W22" s="54" t="s">
        <v>215</v>
      </c>
      <c r="X22"/>
      <c r="Y22"/>
      <c r="Z22"/>
    </row>
    <row r="23" spans="1:26" ht="15" customHeight="1" x14ac:dyDescent="0.25">
      <c r="A23" s="168" t="s">
        <v>72</v>
      </c>
      <c r="B23" s="168"/>
      <c r="C23" s="168"/>
      <c r="D23" s="168"/>
      <c r="E23" s="161" t="s">
        <v>15</v>
      </c>
      <c r="F23" s="161"/>
      <c r="G23" s="161"/>
      <c r="H23" s="161"/>
      <c r="S23" s="54"/>
      <c r="T23" s="54"/>
      <c r="U23" s="54"/>
      <c r="V23" s="54" t="s">
        <v>199</v>
      </c>
      <c r="W23" s="54" t="s">
        <v>216</v>
      </c>
      <c r="X23"/>
      <c r="Y23"/>
      <c r="Z23"/>
    </row>
    <row r="24" spans="1:26" ht="18.75" customHeight="1" x14ac:dyDescent="0.25">
      <c r="A24" s="168"/>
      <c r="B24" s="168"/>
      <c r="C24" s="168"/>
      <c r="D24" s="168"/>
      <c r="E24" s="161"/>
      <c r="F24" s="161"/>
      <c r="G24" s="161"/>
      <c r="H24" s="161"/>
      <c r="S24" s="54"/>
      <c r="T24" s="54"/>
      <c r="U24" s="54"/>
      <c r="V24" s="54" t="s">
        <v>200</v>
      </c>
      <c r="W24" s="54" t="s">
        <v>217</v>
      </c>
      <c r="X24"/>
      <c r="Y24"/>
      <c r="Z24"/>
    </row>
    <row r="25" spans="1:26" ht="15" customHeight="1" x14ac:dyDescent="0.25">
      <c r="A25" s="168" t="s">
        <v>16</v>
      </c>
      <c r="B25" s="168"/>
      <c r="C25" s="168"/>
      <c r="D25" s="168"/>
      <c r="E25" s="217" t="s">
        <v>17</v>
      </c>
      <c r="F25" s="217"/>
      <c r="G25" s="217"/>
      <c r="H25" s="217"/>
      <c r="S25" s="54"/>
      <c r="T25" s="54"/>
      <c r="U25" s="54"/>
      <c r="V25" s="54" t="s">
        <v>201</v>
      </c>
      <c r="W25" s="54" t="s">
        <v>218</v>
      </c>
      <c r="X25"/>
      <c r="Y25"/>
      <c r="Z25"/>
    </row>
    <row r="26" spans="1:26" ht="15" customHeight="1" x14ac:dyDescent="0.25">
      <c r="A26" s="165" t="s">
        <v>18</v>
      </c>
      <c r="B26" s="165"/>
      <c r="C26" s="165"/>
      <c r="D26" s="165"/>
      <c r="E26" s="217" t="str">
        <f>IF(AND(G20="Mumbai"),"Upper Class","Middle Class")</f>
        <v>Upper Class</v>
      </c>
      <c r="F26" s="217"/>
      <c r="G26" s="217"/>
      <c r="H26" s="217"/>
      <c r="S26" s="54"/>
      <c r="T26" s="54"/>
      <c r="U26" s="54"/>
      <c r="V26" s="54" t="s">
        <v>202</v>
      </c>
      <c r="W26" s="54" t="s">
        <v>219</v>
      </c>
      <c r="X26"/>
      <c r="Y26"/>
      <c r="Z26"/>
    </row>
    <row r="27" spans="1:26" x14ac:dyDescent="0.25">
      <c r="A27" s="165" t="s">
        <v>19</v>
      </c>
      <c r="B27" s="165"/>
      <c r="C27" s="165"/>
      <c r="D27" s="165"/>
      <c r="E27" s="217" t="s">
        <v>20</v>
      </c>
      <c r="F27" s="217"/>
      <c r="G27" s="217"/>
      <c r="H27" s="217"/>
      <c r="S27" s="54"/>
      <c r="T27" s="54"/>
      <c r="U27" s="54"/>
      <c r="V27" s="54" t="s">
        <v>203</v>
      </c>
      <c r="W27" s="54" t="s">
        <v>220</v>
      </c>
      <c r="X27"/>
      <c r="Y27"/>
      <c r="Z27"/>
    </row>
    <row r="28" spans="1:26" ht="15.75" customHeight="1" x14ac:dyDescent="0.25">
      <c r="A28" s="165" t="s">
        <v>21</v>
      </c>
      <c r="B28" s="165"/>
      <c r="C28" s="165"/>
      <c r="D28" s="165"/>
      <c r="E28" s="217" t="str">
        <f>IF(AND(G20="Mumbai"),"Developed","Developing")</f>
        <v>Developed</v>
      </c>
      <c r="F28" s="217"/>
      <c r="G28" s="217"/>
      <c r="H28" s="217"/>
    </row>
    <row r="29" spans="1:26" x14ac:dyDescent="0.25">
      <c r="A29" s="165" t="s">
        <v>22</v>
      </c>
      <c r="B29" s="165"/>
      <c r="C29" s="165"/>
      <c r="D29" s="165"/>
      <c r="E29" s="217" t="s">
        <v>23</v>
      </c>
      <c r="F29" s="217"/>
      <c r="G29" s="217"/>
      <c r="H29" s="217"/>
    </row>
    <row r="30" spans="1:26" ht="15.75" customHeight="1" x14ac:dyDescent="0.25">
      <c r="A30" s="165" t="s">
        <v>77</v>
      </c>
      <c r="B30" s="165"/>
      <c r="C30" s="165"/>
      <c r="D30" s="165"/>
      <c r="E30" s="217" t="s">
        <v>78</v>
      </c>
      <c r="F30" s="217"/>
      <c r="G30" s="217"/>
      <c r="H30" s="217"/>
    </row>
    <row r="31" spans="1:26" ht="15" customHeight="1" x14ac:dyDescent="0.25">
      <c r="A31" s="165" t="s">
        <v>30</v>
      </c>
      <c r="B31" s="165"/>
      <c r="C31" s="165"/>
      <c r="D31" s="165"/>
      <c r="E31" s="217" t="str">
        <f>IF(AND(ISNUMBER(SEARCH("Flat",D64)),ISNUMBER(SEARCH("Shop",D64)),ISNUMBER(SEARCH("Office",D64))),"Residential + Commercial",IF(AND(ISNUMBER(SEARCH("Flat",D64)),ISNUMBER(SEARCH("Shop",D64))),"Residential + Commercial",IF(AND(ISNUMBER(SEARCH("Flat",D64)),ISNUMBER(SEARCH("Office",D64))),"Residential + Commercial",IF(AND(ISNUMBER(SEARCH("Shop",D64)),ISNUMBER(SEARCH("Office",D64))),"Commercial",IF(ISNUMBER(SEARCH("Shop",D64)),"Commercial",IF(ISNUMBER(SEARCH("Office",D64)),"Commercial",IF(ISNUMBER(SEARCH("Flat",D64)),"Residential")))))))</f>
        <v>Residential</v>
      </c>
      <c r="F31" s="217"/>
      <c r="G31" s="217"/>
      <c r="H31" s="217"/>
    </row>
    <row r="32" spans="1:26" ht="15.75" customHeight="1" x14ac:dyDescent="0.25">
      <c r="A32" s="165" t="s">
        <v>88</v>
      </c>
      <c r="B32" s="165"/>
      <c r="C32" s="165"/>
      <c r="D32" s="165"/>
      <c r="E32" s="217" t="s">
        <v>31</v>
      </c>
      <c r="F32" s="217"/>
      <c r="G32" s="217"/>
      <c r="H32" s="217"/>
    </row>
    <row r="33" spans="1:19" s="22" customFormat="1" x14ac:dyDescent="0.25">
      <c r="A33" s="227" t="s">
        <v>89</v>
      </c>
      <c r="B33" s="227"/>
      <c r="C33" s="224" t="s">
        <v>170</v>
      </c>
      <c r="D33" s="225"/>
      <c r="E33" s="226"/>
      <c r="F33" s="224" t="s">
        <v>29</v>
      </c>
      <c r="G33" s="225"/>
      <c r="H33" s="226"/>
      <c r="S33" s="22" t="e">
        <f ca="1">OFFSET($S$13,1,MATCH($G20,$S$13:$W$13,0)-1,15,1)</f>
        <v>#VALUE!</v>
      </c>
    </row>
    <row r="34" spans="1:19" s="22" customFormat="1" x14ac:dyDescent="0.25">
      <c r="A34" s="219" t="s">
        <v>24</v>
      </c>
      <c r="B34" s="219" t="s">
        <v>28</v>
      </c>
      <c r="C34" s="220" t="s">
        <v>429</v>
      </c>
      <c r="D34" s="221"/>
      <c r="E34" s="222"/>
      <c r="F34" s="220" t="s">
        <v>430</v>
      </c>
      <c r="G34" s="221"/>
      <c r="H34" s="222"/>
    </row>
    <row r="35" spans="1:19" x14ac:dyDescent="0.25">
      <c r="A35" s="219" t="s">
        <v>25</v>
      </c>
      <c r="B35" s="219" t="s">
        <v>28</v>
      </c>
      <c r="C35" s="228" t="s">
        <v>413</v>
      </c>
      <c r="D35" s="229"/>
      <c r="E35" s="230"/>
      <c r="F35" s="220" t="s">
        <v>396</v>
      </c>
      <c r="G35" s="221"/>
      <c r="H35" s="222"/>
    </row>
    <row r="36" spans="1:19" s="22" customFormat="1" x14ac:dyDescent="0.25">
      <c r="A36" s="219" t="s">
        <v>27</v>
      </c>
      <c r="B36" s="219" t="s">
        <v>28</v>
      </c>
      <c r="C36" s="220" t="s">
        <v>410</v>
      </c>
      <c r="D36" s="221"/>
      <c r="E36" s="222"/>
      <c r="F36" s="220" t="s">
        <v>412</v>
      </c>
      <c r="G36" s="221"/>
      <c r="H36" s="222"/>
    </row>
    <row r="37" spans="1:19" x14ac:dyDescent="0.25">
      <c r="A37" s="219" t="s">
        <v>26</v>
      </c>
      <c r="B37" s="219" t="s">
        <v>28</v>
      </c>
      <c r="C37" s="220" t="s">
        <v>411</v>
      </c>
      <c r="D37" s="221"/>
      <c r="E37" s="222"/>
      <c r="F37" s="220" t="s">
        <v>412</v>
      </c>
      <c r="G37" s="221"/>
      <c r="H37" s="222"/>
    </row>
    <row r="38" spans="1:19" x14ac:dyDescent="0.25">
      <c r="A38" s="165" t="s">
        <v>275</v>
      </c>
      <c r="B38" s="165"/>
      <c r="C38" s="165"/>
      <c r="D38" s="165"/>
      <c r="E38" s="165"/>
      <c r="F38" s="165"/>
      <c r="G38" s="165"/>
      <c r="H38" s="165"/>
    </row>
    <row r="39" spans="1:19" ht="15.75" customHeight="1" x14ac:dyDescent="0.25">
      <c r="A39" s="165" t="s">
        <v>161</v>
      </c>
      <c r="B39" s="165"/>
      <c r="C39" s="223" t="s">
        <v>424</v>
      </c>
      <c r="D39" s="223"/>
      <c r="E39" s="223"/>
      <c r="F39" s="223"/>
      <c r="G39" s="223"/>
      <c r="H39" s="223"/>
      <c r="I39" s="100" t="s">
        <v>418</v>
      </c>
    </row>
    <row r="40" spans="1:19" x14ac:dyDescent="0.25">
      <c r="A40" s="165" t="s">
        <v>158</v>
      </c>
      <c r="B40" s="165"/>
      <c r="C40" s="294" t="s">
        <v>386</v>
      </c>
      <c r="D40" s="217"/>
      <c r="E40" s="217"/>
      <c r="F40" s="217"/>
      <c r="G40" s="217"/>
      <c r="H40" s="217"/>
    </row>
    <row r="41" spans="1:19" x14ac:dyDescent="0.25">
      <c r="A41" s="223" t="s">
        <v>32</v>
      </c>
      <c r="B41" s="223"/>
      <c r="C41" s="223"/>
      <c r="D41" s="223"/>
      <c r="E41" s="223"/>
      <c r="F41" s="223"/>
      <c r="G41" s="223"/>
      <c r="H41" s="223"/>
    </row>
    <row r="42" spans="1:19" x14ac:dyDescent="0.25">
      <c r="A42" s="165" t="s">
        <v>33</v>
      </c>
      <c r="B42" s="165"/>
      <c r="C42" s="165"/>
      <c r="D42" s="165"/>
      <c r="E42" s="274">
        <v>25237.83</v>
      </c>
      <c r="F42" s="274"/>
      <c r="G42" s="274"/>
      <c r="H42" s="274"/>
    </row>
    <row r="43" spans="1:19" x14ac:dyDescent="0.25">
      <c r="A43" s="165" t="s">
        <v>34</v>
      </c>
      <c r="B43" s="165"/>
      <c r="C43" s="165"/>
      <c r="D43" s="165"/>
      <c r="E43" s="275">
        <v>1</v>
      </c>
      <c r="F43" s="275"/>
      <c r="G43" s="275"/>
      <c r="H43" s="275"/>
    </row>
    <row r="44" spans="1:19" x14ac:dyDescent="0.25">
      <c r="A44" s="165" t="s">
        <v>35</v>
      </c>
      <c r="B44" s="165"/>
      <c r="C44" s="165"/>
      <c r="D44" s="165"/>
      <c r="E44" s="275">
        <f>E46/E42-E43</f>
        <v>4.9942395998388136</v>
      </c>
      <c r="F44" s="275"/>
      <c r="G44" s="275"/>
      <c r="H44" s="275"/>
    </row>
    <row r="45" spans="1:19" x14ac:dyDescent="0.25">
      <c r="A45" s="165" t="s">
        <v>36</v>
      </c>
      <c r="B45" s="165"/>
      <c r="C45" s="165"/>
      <c r="D45" s="165"/>
      <c r="E45" s="275">
        <f>E43+E44</f>
        <v>5.9942395998388136</v>
      </c>
      <c r="F45" s="275"/>
      <c r="G45" s="275"/>
      <c r="H45" s="275"/>
    </row>
    <row r="46" spans="1:19" x14ac:dyDescent="0.25">
      <c r="A46" s="165" t="s">
        <v>87</v>
      </c>
      <c r="B46" s="165"/>
      <c r="C46" s="165"/>
      <c r="D46" s="165"/>
      <c r="E46" s="304">
        <v>151281.60000000001</v>
      </c>
      <c r="F46" s="304"/>
      <c r="G46" s="304"/>
      <c r="H46" s="304"/>
    </row>
    <row r="47" spans="1:19" x14ac:dyDescent="0.25">
      <c r="A47" s="161" t="s">
        <v>37</v>
      </c>
      <c r="B47" s="161"/>
      <c r="C47" s="161"/>
      <c r="D47" s="161"/>
      <c r="E47" s="212" t="s">
        <v>431</v>
      </c>
      <c r="F47" s="212"/>
      <c r="G47" s="212"/>
      <c r="H47" s="212"/>
    </row>
    <row r="48" spans="1:19" x14ac:dyDescent="0.25">
      <c r="A48" s="223" t="s">
        <v>38</v>
      </c>
      <c r="B48" s="223"/>
      <c r="C48" s="223"/>
      <c r="D48" s="223"/>
      <c r="E48" s="223"/>
      <c r="F48" s="223"/>
      <c r="G48" s="223"/>
      <c r="H48" s="223"/>
    </row>
    <row r="49" spans="1:24" ht="33.75" customHeight="1" x14ac:dyDescent="0.25">
      <c r="A49" s="175" t="s">
        <v>147</v>
      </c>
      <c r="B49" s="176"/>
      <c r="C49" s="246" t="s">
        <v>249</v>
      </c>
      <c r="D49" s="247"/>
      <c r="E49" s="247"/>
      <c r="F49" s="247"/>
      <c r="G49" s="247"/>
      <c r="H49" s="248"/>
      <c r="R49" t="s">
        <v>248</v>
      </c>
      <c r="S49" s="57" t="s">
        <v>169</v>
      </c>
      <c r="T49" s="57" t="s">
        <v>175</v>
      </c>
      <c r="U49" s="57" t="s">
        <v>189</v>
      </c>
      <c r="V49" s="57" t="s">
        <v>184</v>
      </c>
    </row>
    <row r="50" spans="1:24" ht="15.75" customHeight="1" x14ac:dyDescent="0.25">
      <c r="A50" s="175" t="s">
        <v>39</v>
      </c>
      <c r="B50" s="176"/>
      <c r="C50" s="175" t="s">
        <v>387</v>
      </c>
      <c r="D50" s="258"/>
      <c r="E50" s="176"/>
      <c r="F50" s="18" t="s">
        <v>40</v>
      </c>
      <c r="G50" s="265">
        <v>45372</v>
      </c>
      <c r="H50" s="266"/>
      <c r="R50"/>
      <c r="S50" s="57" t="s">
        <v>249</v>
      </c>
      <c r="T50" s="57" t="s">
        <v>254</v>
      </c>
      <c r="U50" s="57" t="s">
        <v>265</v>
      </c>
      <c r="V50" s="57" t="s">
        <v>270</v>
      </c>
    </row>
    <row r="51" spans="1:24" x14ac:dyDescent="0.25">
      <c r="A51" s="175" t="s">
        <v>41</v>
      </c>
      <c r="B51" s="176"/>
      <c r="C51" s="175" t="str">
        <f>C50</f>
        <v>FN/STGOVT/0064/20140719/AP/SB-2</v>
      </c>
      <c r="D51" s="258"/>
      <c r="E51" s="176"/>
      <c r="F51" s="18" t="s">
        <v>40</v>
      </c>
      <c r="G51" s="265">
        <f>G50</f>
        <v>45372</v>
      </c>
      <c r="H51" s="266"/>
      <c r="R51"/>
      <c r="S51" s="57" t="s">
        <v>250</v>
      </c>
      <c r="T51" s="57" t="s">
        <v>352</v>
      </c>
      <c r="U51" s="57" t="s">
        <v>263</v>
      </c>
      <c r="V51" s="57" t="s">
        <v>271</v>
      </c>
    </row>
    <row r="52" spans="1:24" s="23" customFormat="1" x14ac:dyDescent="0.25">
      <c r="A52" s="270" t="s">
        <v>151</v>
      </c>
      <c r="B52" s="271"/>
      <c r="C52" s="243" t="s">
        <v>387</v>
      </c>
      <c r="D52" s="244"/>
      <c r="E52" s="245"/>
      <c r="F52" s="116" t="s">
        <v>40</v>
      </c>
      <c r="G52" s="276">
        <v>45377</v>
      </c>
      <c r="H52" s="277"/>
      <c r="I52" s="22" t="str">
        <f ca="1">IF(G52&gt;EDATE(E3,-48),"NO REMARK","CC REMARK FOR CC")</f>
        <v>NO REMARK</v>
      </c>
      <c r="J52" s="79"/>
      <c r="R52"/>
      <c r="S52" s="57" t="s">
        <v>251</v>
      </c>
      <c r="T52" s="57" t="s">
        <v>256</v>
      </c>
      <c r="U52" s="57" t="s">
        <v>253</v>
      </c>
      <c r="V52" s="57" t="s">
        <v>272</v>
      </c>
    </row>
    <row r="53" spans="1:24" s="23" customFormat="1" ht="33.75" customHeight="1" x14ac:dyDescent="0.25">
      <c r="A53" s="272"/>
      <c r="B53" s="273"/>
      <c r="C53" s="299" t="s">
        <v>388</v>
      </c>
      <c r="D53" s="300"/>
      <c r="E53" s="300"/>
      <c r="F53" s="300"/>
      <c r="G53" s="300"/>
      <c r="H53" s="301"/>
      <c r="R53"/>
      <c r="S53" s="57"/>
      <c r="T53" s="57"/>
      <c r="U53" s="57"/>
      <c r="V53" s="75"/>
    </row>
    <row r="54" spans="1:24" s="23" customFormat="1" hidden="1" x14ac:dyDescent="0.25">
      <c r="A54" s="171" t="s">
        <v>276</v>
      </c>
      <c r="B54" s="172"/>
      <c r="C54" s="175" t="e">
        <f>#REF!</f>
        <v>#REF!</v>
      </c>
      <c r="D54" s="258"/>
      <c r="E54" s="176"/>
      <c r="F54" s="18" t="s">
        <v>40</v>
      </c>
      <c r="G54" s="265"/>
      <c r="H54" s="266"/>
      <c r="K54" s="80">
        <f>EDATE(G52,-48)</f>
        <v>43916</v>
      </c>
      <c r="L54" s="23" t="str">
        <f ca="1">IF(G52&gt;EDATE(E3,-48),"NO REMARK","CC REMARK FOR CC")</f>
        <v>NO REMARK</v>
      </c>
      <c r="R54"/>
      <c r="S54" s="57" t="s">
        <v>251</v>
      </c>
      <c r="T54" s="57" t="s">
        <v>256</v>
      </c>
      <c r="U54" s="57" t="s">
        <v>253</v>
      </c>
      <c r="V54" s="57" t="s">
        <v>272</v>
      </c>
    </row>
    <row r="55" spans="1:24" s="23" customFormat="1" ht="32.25" hidden="1" customHeight="1" x14ac:dyDescent="0.25">
      <c r="A55" s="173"/>
      <c r="B55" s="174"/>
      <c r="C55" s="267"/>
      <c r="D55" s="268"/>
      <c r="E55" s="268"/>
      <c r="F55" s="268"/>
      <c r="G55" s="268"/>
      <c r="H55" s="269"/>
      <c r="R55"/>
      <c r="S55" s="57" t="s">
        <v>253</v>
      </c>
      <c r="T55" s="57" t="s">
        <v>257</v>
      </c>
      <c r="U55" s="57" t="s">
        <v>267</v>
      </c>
      <c r="V55" s="76"/>
      <c r="W55" s="21"/>
      <c r="X55" s="21"/>
    </row>
    <row r="56" spans="1:24" s="23" customFormat="1" ht="34.5" hidden="1" customHeight="1" x14ac:dyDescent="0.25">
      <c r="A56" s="171" t="s">
        <v>277</v>
      </c>
      <c r="B56" s="172"/>
      <c r="C56" s="175">
        <f>C55</f>
        <v>0</v>
      </c>
      <c r="D56" s="258"/>
      <c r="E56" s="176"/>
      <c r="F56" s="18" t="s">
        <v>40</v>
      </c>
      <c r="G56" s="265">
        <f>G55</f>
        <v>0</v>
      </c>
      <c r="H56" s="266"/>
      <c r="R56"/>
      <c r="S56" s="76"/>
      <c r="T56" s="57" t="s">
        <v>258</v>
      </c>
      <c r="U56" s="57" t="s">
        <v>268</v>
      </c>
      <c r="V56" s="76"/>
      <c r="W56" s="21"/>
      <c r="X56" s="21"/>
    </row>
    <row r="57" spans="1:24" s="23" customFormat="1" ht="41.25" hidden="1" customHeight="1" x14ac:dyDescent="0.25">
      <c r="A57" s="173"/>
      <c r="B57" s="174"/>
      <c r="C57" s="175"/>
      <c r="D57" s="258"/>
      <c r="E57" s="258"/>
      <c r="F57" s="258"/>
      <c r="G57" s="258"/>
      <c r="H57" s="176"/>
      <c r="R57"/>
      <c r="S57" s="76"/>
      <c r="T57" s="57" t="s">
        <v>260</v>
      </c>
      <c r="U57" s="57" t="s">
        <v>269</v>
      </c>
      <c r="V57" s="76"/>
      <c r="W57" s="21"/>
      <c r="X57" s="21"/>
    </row>
    <row r="58" spans="1:24" s="23" customFormat="1" ht="15.75" hidden="1" customHeight="1" x14ac:dyDescent="0.25">
      <c r="A58" s="171" t="s">
        <v>347</v>
      </c>
      <c r="B58" s="172"/>
      <c r="C58" s="259"/>
      <c r="D58" s="260"/>
      <c r="E58" s="261"/>
      <c r="F58" s="18" t="s">
        <v>40</v>
      </c>
      <c r="G58" s="265"/>
      <c r="H58" s="266"/>
      <c r="R58"/>
      <c r="S58" s="76"/>
      <c r="T58" s="57" t="s">
        <v>261</v>
      </c>
      <c r="U58" s="76" t="s">
        <v>291</v>
      </c>
      <c r="V58" s="76"/>
      <c r="W58" s="21"/>
      <c r="X58" s="21"/>
    </row>
    <row r="59" spans="1:24" s="23" customFormat="1" ht="33.75" hidden="1" customHeight="1" x14ac:dyDescent="0.25">
      <c r="A59" s="256"/>
      <c r="B59" s="257"/>
      <c r="C59" s="262"/>
      <c r="D59" s="263"/>
      <c r="E59" s="264"/>
      <c r="F59" s="18" t="s">
        <v>348</v>
      </c>
      <c r="G59" s="265"/>
      <c r="H59" s="266"/>
      <c r="R59"/>
      <c r="S59" s="76"/>
      <c r="T59" s="57" t="s">
        <v>262</v>
      </c>
      <c r="U59" s="76"/>
      <c r="V59" s="76"/>
      <c r="W59" s="21"/>
      <c r="X59" s="21"/>
    </row>
    <row r="60" spans="1:24" s="23" customFormat="1" ht="33.75" hidden="1" customHeight="1" x14ac:dyDescent="0.25">
      <c r="A60" s="173"/>
      <c r="B60" s="174"/>
      <c r="C60" s="175" t="s">
        <v>370</v>
      </c>
      <c r="D60" s="258"/>
      <c r="E60" s="258"/>
      <c r="F60" s="258"/>
      <c r="G60" s="258"/>
      <c r="H60" s="176"/>
      <c r="R60"/>
      <c r="S60" s="76"/>
      <c r="T60" s="57"/>
      <c r="U60" s="76"/>
      <c r="V60" s="76"/>
      <c r="W60" s="21"/>
      <c r="X60" s="21"/>
    </row>
    <row r="61" spans="1:24" x14ac:dyDescent="0.25">
      <c r="A61" s="162" t="s">
        <v>42</v>
      </c>
      <c r="B61" s="163"/>
      <c r="C61" s="162" t="s">
        <v>101</v>
      </c>
      <c r="D61" s="164"/>
      <c r="E61" s="163"/>
      <c r="F61" s="45" t="s">
        <v>40</v>
      </c>
      <c r="G61" s="169" t="s">
        <v>28</v>
      </c>
      <c r="H61" s="170"/>
      <c r="R61"/>
      <c r="S61" s="76"/>
      <c r="T61" s="57" t="s">
        <v>264</v>
      </c>
      <c r="U61" s="76"/>
      <c r="V61" s="76"/>
    </row>
    <row r="62" spans="1:24" x14ac:dyDescent="0.25">
      <c r="A62" s="208" t="s">
        <v>44</v>
      </c>
      <c r="B62" s="208"/>
      <c r="C62" s="208"/>
      <c r="D62" s="208"/>
      <c r="E62" s="208"/>
      <c r="F62" s="208"/>
      <c r="G62" s="208"/>
      <c r="H62" s="208"/>
      <c r="S62" s="76"/>
      <c r="T62" s="57" t="s">
        <v>273</v>
      </c>
      <c r="U62" s="76"/>
      <c r="V62" s="76"/>
    </row>
    <row r="63" spans="1:24" x14ac:dyDescent="0.25">
      <c r="A63" s="168" t="s">
        <v>432</v>
      </c>
      <c r="B63" s="168"/>
      <c r="C63" s="168"/>
      <c r="D63" s="165">
        <v>20751.330000000002</v>
      </c>
      <c r="E63" s="165"/>
      <c r="F63" s="165"/>
      <c r="G63" s="165"/>
      <c r="H63" s="165"/>
      <c r="R63"/>
    </row>
    <row r="64" spans="1:24" x14ac:dyDescent="0.25">
      <c r="A64" s="217" t="s">
        <v>45</v>
      </c>
      <c r="B64" s="161"/>
      <c r="C64" s="161"/>
      <c r="D64" s="161" t="s">
        <v>407</v>
      </c>
      <c r="E64" s="161"/>
      <c r="F64" s="161"/>
      <c r="G64" s="161"/>
      <c r="H64" s="161"/>
      <c r="I64" s="24"/>
      <c r="R64"/>
    </row>
    <row r="65" spans="1:19" x14ac:dyDescent="0.25">
      <c r="A65" s="243" t="s">
        <v>46</v>
      </c>
      <c r="B65" s="244"/>
      <c r="C65" s="245"/>
      <c r="D65" s="240" t="s">
        <v>389</v>
      </c>
      <c r="E65" s="242"/>
      <c r="F65" s="242"/>
      <c r="G65" s="242"/>
      <c r="H65" s="242"/>
      <c r="R65"/>
    </row>
    <row r="66" spans="1:19" ht="15.75" customHeight="1" x14ac:dyDescent="0.25">
      <c r="A66" s="243" t="s">
        <v>85</v>
      </c>
      <c r="B66" s="244"/>
      <c r="C66" s="244"/>
      <c r="D66" s="217" t="s">
        <v>390</v>
      </c>
      <c r="E66" s="161"/>
      <c r="F66" s="161"/>
      <c r="G66" s="161"/>
      <c r="H66" s="161"/>
      <c r="R66"/>
    </row>
    <row r="67" spans="1:19" ht="15.75" hidden="1" customHeight="1" x14ac:dyDescent="0.25">
      <c r="A67" s="249"/>
      <c r="B67" s="250"/>
      <c r="C67" s="250"/>
      <c r="D67" s="253" t="s">
        <v>292</v>
      </c>
      <c r="E67" s="254"/>
      <c r="F67" s="254"/>
      <c r="G67" s="254"/>
      <c r="H67" s="255"/>
      <c r="R67"/>
    </row>
    <row r="68" spans="1:19" ht="15.75" hidden="1" customHeight="1" x14ac:dyDescent="0.25">
      <c r="A68" s="251"/>
      <c r="B68" s="252"/>
      <c r="C68" s="252"/>
      <c r="D68" s="177" t="s">
        <v>165</v>
      </c>
      <c r="E68" s="178"/>
      <c r="F68" s="178"/>
      <c r="G68" s="178"/>
      <c r="H68" s="179"/>
      <c r="S68"/>
    </row>
    <row r="69" spans="1:19" ht="15.75" customHeight="1" x14ac:dyDescent="0.25">
      <c r="A69" s="161" t="s">
        <v>43</v>
      </c>
      <c r="B69" s="161"/>
      <c r="C69" s="161"/>
      <c r="D69" s="302" t="s">
        <v>391</v>
      </c>
      <c r="E69" s="302"/>
      <c r="F69" s="302"/>
      <c r="G69" s="302"/>
      <c r="H69" s="302"/>
      <c r="J69" s="25"/>
      <c r="K69" s="24"/>
      <c r="N69" s="24"/>
      <c r="S69"/>
    </row>
    <row r="70" spans="1:19" ht="15.75" customHeight="1" x14ac:dyDescent="0.25">
      <c r="A70" s="165" t="s">
        <v>83</v>
      </c>
      <c r="B70" s="165"/>
      <c r="C70" s="165"/>
      <c r="D70" s="303" t="str">
        <f>(IF(G61="NA","60 Years After Completion",IF(G61&lt;&gt;"NA",""&amp;60-ROUNDDOWN((E3-G61)/360,0)&amp;" Years"," ")))</f>
        <v>60 Years After Completion</v>
      </c>
      <c r="E70" s="303"/>
      <c r="F70" s="303"/>
      <c r="G70" s="303"/>
      <c r="H70" s="303"/>
      <c r="N70" s="24"/>
      <c r="S70"/>
    </row>
    <row r="71" spans="1:19" ht="15.75" customHeight="1" x14ac:dyDescent="0.25">
      <c r="A71" s="165" t="s">
        <v>84</v>
      </c>
      <c r="B71" s="165"/>
      <c r="C71" s="165"/>
      <c r="D71" s="168" t="s">
        <v>23</v>
      </c>
      <c r="E71" s="168"/>
      <c r="F71" s="168"/>
      <c r="G71" s="168"/>
      <c r="H71" s="168"/>
      <c r="J71" s="26"/>
      <c r="K71" s="26"/>
      <c r="S71"/>
    </row>
    <row r="72" spans="1:19" ht="68.25" customHeight="1" x14ac:dyDescent="0.25">
      <c r="A72" s="212" t="s">
        <v>393</v>
      </c>
      <c r="B72" s="212"/>
      <c r="C72" s="212"/>
      <c r="D72" s="217" t="s">
        <v>417</v>
      </c>
      <c r="E72" s="168"/>
      <c r="F72" s="168"/>
      <c r="G72" s="168"/>
      <c r="H72" s="168"/>
      <c r="I72" s="100" t="s">
        <v>392</v>
      </c>
      <c r="S72"/>
    </row>
    <row r="73" spans="1:19" x14ac:dyDescent="0.25">
      <c r="A73" s="168" t="s">
        <v>144</v>
      </c>
      <c r="B73" s="168"/>
      <c r="C73" s="168"/>
      <c r="D73" s="168" t="s">
        <v>28</v>
      </c>
      <c r="E73" s="168"/>
      <c r="F73" s="168"/>
      <c r="G73" s="168"/>
      <c r="H73" s="168"/>
      <c r="I73" s="27"/>
      <c r="J73" s="27"/>
      <c r="K73" s="27"/>
      <c r="L73" s="27"/>
      <c r="M73" s="27"/>
      <c r="N73" s="27"/>
    </row>
    <row r="74" spans="1:19" ht="15.75" customHeight="1" x14ac:dyDescent="0.25">
      <c r="A74" s="241" t="s">
        <v>82</v>
      </c>
      <c r="B74" s="241"/>
      <c r="C74" s="241"/>
      <c r="D74" s="240" t="str">
        <f ca="1">(IF(G80&gt;95%,"Nothing",IF(G80&gt;0%,"Cement, Aggregate, Steel, etc",IF(G80=0%,"Work not yet Started"))))</f>
        <v>Cement, Aggregate, Steel, etc</v>
      </c>
      <c r="E74" s="240"/>
      <c r="F74" s="240"/>
      <c r="G74" s="240"/>
      <c r="H74" s="240"/>
      <c r="J74" s="26"/>
      <c r="S74"/>
    </row>
    <row r="75" spans="1:19" ht="33.75" customHeight="1" thickBot="1" x14ac:dyDescent="0.3">
      <c r="A75" s="239" t="s">
        <v>114</v>
      </c>
      <c r="B75" s="239"/>
      <c r="C75" s="239"/>
      <c r="D75" s="240" t="str">
        <f ca="1">(IF(D74="Nothing","Yes",IF(D74="Cement, Aggregate, Steel, etc","Under Construction",IF(D74="Work not yet Started","Work not yet Started"))))</f>
        <v>Under Construction</v>
      </c>
      <c r="E75" s="240"/>
      <c r="F75" s="240" t="str">
        <f ca="1">(IF(D74="Nothing","Yes",IF(D74="Cement, Aggregate, Steel, etc","Under Construction",IF(D74="Work not yet Started","Work not yet Started"))))</f>
        <v>Under Construction</v>
      </c>
      <c r="G75" s="240"/>
      <c r="H75" s="240"/>
      <c r="S75"/>
    </row>
    <row r="76" spans="1:19" ht="15.75" customHeight="1" x14ac:dyDescent="0.25">
      <c r="A76" s="232" t="s">
        <v>136</v>
      </c>
      <c r="B76" s="233"/>
      <c r="C76" s="234" t="str">
        <f>D66</f>
        <v>Tower 3 = 2B + G + 1st to 39th Floor</v>
      </c>
      <c r="D76" s="235"/>
      <c r="E76" s="235"/>
      <c r="F76" s="235"/>
      <c r="G76" s="235"/>
      <c r="H76" s="236"/>
      <c r="I76" s="49" t="str">
        <f ca="1">IF(D89=100%,"All work Completed. Possession granted to the Building.",IF(D88=100%,"All work Completed, Waiting for OC",I77&amp;""&amp;I78&amp;""&amp;J77&amp;""&amp;J76&amp;" "&amp;J78))</f>
        <v xml:space="preserve">Excavation, Plinth Completed </v>
      </c>
      <c r="J76" s="50" t="str">
        <f ca="1">(IF(C82=(D77+F77+H77),"",IF(C82&gt;0,", RCC upto "&amp;C82&amp;" Slab","")))&amp;(IF(C83=H77,"",IF(C83&gt;0,", Brickwork upto "&amp;C83&amp;" Floor","")))&amp;(IF(C84=H77,"",IF(C84&gt;0,", Internal Plaster upto "&amp;C84&amp;" Floor","")))&amp;(IF(C85=H77,"",IF(C85&gt;0,", External Plaster upto "&amp;C85&amp;" Floor","")))&amp;(IF(C86=H77,"",IF(C86&gt;0,", Flooring upto "&amp;C86&amp;" Floor","")))&amp;(IF(C87=H77,"",IF(C87&gt;0,", Painting upto "&amp;C87&amp;" Floor","")))&amp;(IF(C88=H77,"",IF(C88&gt;0,", Finishing upto "&amp;C88&amp;" Floor","")))&amp;(IF(C89=H77,"",IF(C89&gt;0,", Possession upto "&amp;C89&amp;" Floor","")))</f>
        <v/>
      </c>
      <c r="S76"/>
    </row>
    <row r="77" spans="1:19" x14ac:dyDescent="0.25">
      <c r="A77" s="16" t="s">
        <v>138</v>
      </c>
      <c r="B77" s="47">
        <f>IF(AND(ISNUMBER(SEARCH("1B",C76))),1,IF(AND(ISNUMBER(SEARCH("2B",C76))),2,IF(AND(ISNUMBER(SEARCH("3B",C76))),3,IF(AND(ISNUMBER(SEARCH("4B",C76))),4,IF(ISNUMBER(SEARCH("5B",C76)),5,0)))))</f>
        <v>2</v>
      </c>
      <c r="C77" s="47" t="s">
        <v>68</v>
      </c>
      <c r="D77" s="47">
        <v>1</v>
      </c>
      <c r="E77" s="47" t="s">
        <v>67</v>
      </c>
      <c r="F77" s="47">
        <v>0</v>
      </c>
      <c r="G77" s="47" t="s">
        <v>76</v>
      </c>
      <c r="H77" s="17">
        <f ca="1">--TRIM(RIGHT(SUBSTITUTE(LEFT(C76,_xlfn.AGGREGATE(16,6,FIND({0,1,2,3,4,5,6,7,8,9},C76,ROW(INDIRECT("1:"&amp;LEN(C76)))),1))," ",REPT(" ",LEN(C76))),LEN(C76)))</f>
        <v>39</v>
      </c>
      <c r="I77" s="51" t="str">
        <f ca="1">IF(D80=100%,"Excavation","")&amp;IF(D81=100%,", Plinth","")&amp;IF(D82=100%,", RCC Slab","")&amp;IF(D83=100%,", Brickwork","")&amp;IF(D84=100%,", Internal Plaster","")&amp;IF(D85=100%,", External Plaster","")&amp;IF(D86=100%,", Flooring","")&amp;IF(D87=100%,", Painting","")&amp;IF(D88=100%,", Building common Amenities","")</f>
        <v>Excavation, Plinth</v>
      </c>
      <c r="J77" s="52" t="str">
        <f ca="1">(IF(C80=0,"Work not yet Started.",IF(D80=25%,"Piling work in process",IF(D80=50%,"Excavation work in process",IF(D80=100%,"","0")))))&amp;(IF(C81=0%,"",IF(C81=J82,", Footing work is process",IF(C81=J83,", Footing work Completed",IF(C81=J84,", 1st Basement Completed",IF(C81=J85,", 1st &amp; 2nd Basement Completed",IF(C81=J86,", 1st to 3rd Basement Completed",IF(C81=J87,", 1st to 4th Basement Completed",IF(C81=J88,", Plinth work is process",IF(C81=J89,"","0"))))))))))</f>
        <v/>
      </c>
      <c r="S77"/>
    </row>
    <row r="78" spans="1:19" x14ac:dyDescent="0.25">
      <c r="A78" s="231" t="s">
        <v>86</v>
      </c>
      <c r="B78" s="207"/>
      <c r="C78" s="237" t="str">
        <f ca="1">I76</f>
        <v xml:space="preserve">Excavation, Plinth Completed </v>
      </c>
      <c r="D78" s="237"/>
      <c r="E78" s="237"/>
      <c r="F78" s="237"/>
      <c r="G78" s="237"/>
      <c r="H78" s="238"/>
      <c r="I78" s="51" t="str">
        <f ca="1">IF(I77&lt;&gt;""," Completed","")</f>
        <v xml:space="preserve"> Completed</v>
      </c>
      <c r="J78" s="52" t="str">
        <f ca="1">IF(J76&lt;&gt;"","Completed","")</f>
        <v/>
      </c>
      <c r="S78"/>
    </row>
    <row r="79" spans="1:19" ht="15.75" customHeight="1" x14ac:dyDescent="0.25">
      <c r="A79" s="150" t="s">
        <v>47</v>
      </c>
      <c r="B79" s="151"/>
      <c r="C79" s="124" t="s">
        <v>135</v>
      </c>
      <c r="D79" s="124" t="s">
        <v>79</v>
      </c>
      <c r="E79" s="151" t="s">
        <v>81</v>
      </c>
      <c r="F79" s="151"/>
      <c r="G79" s="151" t="s">
        <v>80</v>
      </c>
      <c r="H79" s="152"/>
      <c r="I79" s="13" t="s">
        <v>137</v>
      </c>
      <c r="J79" s="28">
        <f ca="1">H77*25%</f>
        <v>9.75</v>
      </c>
      <c r="S79"/>
    </row>
    <row r="80" spans="1:19" x14ac:dyDescent="0.25">
      <c r="A80" s="150" t="s">
        <v>124</v>
      </c>
      <c r="B80" s="151"/>
      <c r="C80" s="124">
        <f ca="1">J81</f>
        <v>39</v>
      </c>
      <c r="D80" s="125">
        <f ca="1">((100/H77)*C80)/100</f>
        <v>1.0000000000000002</v>
      </c>
      <c r="E80" s="314">
        <f ca="1">(((C81/H77*10)+(40/(D77+F77+H77)*C82)+(7.5/(H77)*C83)+(7.5/(H77)*C84)+(10/H77*C85)+(10/H77*C86)+(5/H77*C87)+(5/H77*C88)+(5/H77*C89))/100)</f>
        <v>0.1</v>
      </c>
      <c r="F80" s="315"/>
      <c r="G80" s="314">
        <f ca="1">((((C80/H77)*20)+((C81/H77)*25)+(30/(H77+F77+D77)*C82)+(5/H77*C83)+(5/H77*C84)+(5/H77*C85)+(5/H77*C86)+(0/H77*C87)+(0/H77*C88)+(5/H77*C89))/100)</f>
        <v>0.45</v>
      </c>
      <c r="H80" s="320"/>
      <c r="I80" s="13" t="s">
        <v>96</v>
      </c>
      <c r="J80" s="29">
        <f ca="1">H77*50%</f>
        <v>19.5</v>
      </c>
    </row>
    <row r="81" spans="1:19" x14ac:dyDescent="0.25">
      <c r="A81" s="150" t="s">
        <v>48</v>
      </c>
      <c r="B81" s="151"/>
      <c r="C81" s="126">
        <f ca="1">J89</f>
        <v>39</v>
      </c>
      <c r="D81" s="125">
        <f ca="1">((100/H77)*C81)/100</f>
        <v>1.0000000000000002</v>
      </c>
      <c r="E81" s="316"/>
      <c r="F81" s="317"/>
      <c r="G81" s="316"/>
      <c r="H81" s="321"/>
      <c r="I81" s="13" t="s">
        <v>97</v>
      </c>
      <c r="J81" s="29">
        <f ca="1">H77</f>
        <v>39</v>
      </c>
      <c r="L81" s="96"/>
      <c r="S81"/>
    </row>
    <row r="82" spans="1:19" ht="15.75" customHeight="1" x14ac:dyDescent="0.25">
      <c r="A82" s="150" t="s">
        <v>125</v>
      </c>
      <c r="B82" s="151"/>
      <c r="C82" s="124">
        <v>0</v>
      </c>
      <c r="D82" s="125">
        <f ca="1">((100/(D77+F77+H77))*C82)/100</f>
        <v>0</v>
      </c>
      <c r="E82" s="316"/>
      <c r="F82" s="317"/>
      <c r="G82" s="316"/>
      <c r="H82" s="321"/>
      <c r="I82" s="13" t="s">
        <v>98</v>
      </c>
      <c r="J82" s="30">
        <f ca="1">(IF(B77&gt;1,(H77/(B77+2)),H77/4))</f>
        <v>9.75</v>
      </c>
      <c r="S82"/>
    </row>
    <row r="83" spans="1:19" ht="15.75" customHeight="1" x14ac:dyDescent="0.25">
      <c r="A83" s="150" t="s">
        <v>132</v>
      </c>
      <c r="B83" s="151" t="s">
        <v>126</v>
      </c>
      <c r="C83" s="124">
        <v>0</v>
      </c>
      <c r="D83" s="125">
        <f ca="1">((100/H77)*C83)/100</f>
        <v>0</v>
      </c>
      <c r="E83" s="316"/>
      <c r="F83" s="317"/>
      <c r="G83" s="316"/>
      <c r="H83" s="321"/>
      <c r="I83" s="13" t="s">
        <v>99</v>
      </c>
      <c r="J83" s="30">
        <f ca="1">(IF(B77&gt;1,(H77/(B77+2)+J82),H77/4+J82))</f>
        <v>19.5</v>
      </c>
    </row>
    <row r="84" spans="1:19" ht="15.75" customHeight="1" x14ac:dyDescent="0.25">
      <c r="A84" s="150" t="s">
        <v>133</v>
      </c>
      <c r="B84" s="151" t="s">
        <v>126</v>
      </c>
      <c r="C84" s="124">
        <v>0</v>
      </c>
      <c r="D84" s="125">
        <f ca="1">((100/H77)*C84)/100</f>
        <v>0</v>
      </c>
      <c r="E84" s="316"/>
      <c r="F84" s="317"/>
      <c r="G84" s="316"/>
      <c r="H84" s="321"/>
      <c r="I84" s="13" t="s">
        <v>142</v>
      </c>
      <c r="J84" s="30">
        <f ca="1">(IF(B77&gt;1,(H77/(B77+2)+J83),0))</f>
        <v>29.25</v>
      </c>
    </row>
    <row r="85" spans="1:19" ht="15" customHeight="1" x14ac:dyDescent="0.25">
      <c r="A85" s="150" t="s">
        <v>131</v>
      </c>
      <c r="B85" s="151" t="s">
        <v>128</v>
      </c>
      <c r="C85" s="124">
        <v>0</v>
      </c>
      <c r="D85" s="125">
        <f ca="1">((100/(H77))*C85)/100</f>
        <v>0</v>
      </c>
      <c r="E85" s="316"/>
      <c r="F85" s="317"/>
      <c r="G85" s="316"/>
      <c r="H85" s="321"/>
      <c r="I85" s="13" t="s">
        <v>139</v>
      </c>
      <c r="J85" s="30">
        <f>(IF(B77&gt;2,(H77/(B77+2)+J84),0))</f>
        <v>0</v>
      </c>
    </row>
    <row r="86" spans="1:19" ht="15.75" customHeight="1" x14ac:dyDescent="0.25">
      <c r="A86" s="150" t="s">
        <v>127</v>
      </c>
      <c r="B86" s="151" t="s">
        <v>127</v>
      </c>
      <c r="C86" s="124">
        <v>0</v>
      </c>
      <c r="D86" s="125">
        <f ca="1">((100/H77)*C86)/100</f>
        <v>0</v>
      </c>
      <c r="E86" s="316"/>
      <c r="F86" s="317"/>
      <c r="G86" s="316"/>
      <c r="H86" s="321"/>
      <c r="I86" s="13" t="s">
        <v>140</v>
      </c>
      <c r="J86" s="31">
        <f>(IF(B77&gt;3,(H77/(B77+2)+J85),0))</f>
        <v>0</v>
      </c>
    </row>
    <row r="87" spans="1:19" ht="15.75" customHeight="1" x14ac:dyDescent="0.25">
      <c r="A87" s="150" t="s">
        <v>134</v>
      </c>
      <c r="B87" s="151"/>
      <c r="C87" s="124">
        <v>0</v>
      </c>
      <c r="D87" s="125">
        <f ca="1">((100/H77)*C87)/100</f>
        <v>0</v>
      </c>
      <c r="E87" s="316"/>
      <c r="F87" s="317"/>
      <c r="G87" s="316"/>
      <c r="H87" s="321"/>
      <c r="I87" s="13" t="s">
        <v>141</v>
      </c>
      <c r="J87" s="30">
        <f>(IF(B77&gt;4,(H77/(B77+2)+J86),0))</f>
        <v>0</v>
      </c>
    </row>
    <row r="88" spans="1:19" ht="15.75" customHeight="1" x14ac:dyDescent="0.25">
      <c r="A88" s="150" t="s">
        <v>129</v>
      </c>
      <c r="B88" s="151" t="s">
        <v>129</v>
      </c>
      <c r="C88" s="124">
        <v>0</v>
      </c>
      <c r="D88" s="125">
        <f ca="1">((100/(H77))*C88)/100</f>
        <v>0</v>
      </c>
      <c r="E88" s="316"/>
      <c r="F88" s="317"/>
      <c r="G88" s="316"/>
      <c r="H88" s="321"/>
      <c r="I88" s="13" t="s">
        <v>143</v>
      </c>
      <c r="J88" s="30">
        <f>(IF(B77=1,(H77/(B77+3)+J83),IF(B77=0,(H77/4+J83),IF(B77&gt;1,0))))</f>
        <v>0</v>
      </c>
    </row>
    <row r="89" spans="1:19" ht="16.5" thickBot="1" x14ac:dyDescent="0.3">
      <c r="A89" s="153" t="s">
        <v>130</v>
      </c>
      <c r="B89" s="154"/>
      <c r="C89" s="127">
        <v>0</v>
      </c>
      <c r="D89" s="128">
        <f ca="1">((100/(H77))*C89)/100</f>
        <v>0</v>
      </c>
      <c r="E89" s="318"/>
      <c r="F89" s="319"/>
      <c r="G89" s="318"/>
      <c r="H89" s="322"/>
      <c r="I89" s="15" t="s">
        <v>100</v>
      </c>
      <c r="J89" s="32">
        <f ca="1">(IF(B77&gt;1.5,(H77/(B77+2)+J83+MAX(0,J84-J83)+MAX(0,J85-J84)+MAX(0,J86-J85)+MAX(0,J87-J86)+MAX(0,J88-J87)),IF(B77=1,(H77/(B77+3)+J88),IF(B77=0,H77/4+J88))))</f>
        <v>39</v>
      </c>
    </row>
    <row r="90" spans="1:19" ht="15.75" hidden="1" customHeight="1" x14ac:dyDescent="0.25">
      <c r="A90" s="279" t="s">
        <v>136</v>
      </c>
      <c r="B90" s="280"/>
      <c r="C90" s="281" t="str">
        <f>D67</f>
        <v>B Wing = 1B + G + 1st to 19th Floor</v>
      </c>
      <c r="D90" s="282"/>
      <c r="E90" s="282"/>
      <c r="F90" s="282"/>
      <c r="G90" s="282"/>
      <c r="H90" s="283"/>
      <c r="I90" s="49" t="str">
        <f ca="1">IF(D103=100%,"All work Completed. Possession granted to the Building.",IF(D102=100%,"All work Completed, Waiting for OC",I91&amp;""&amp;I92&amp;""&amp;J91&amp;""&amp;J90&amp;" "&amp;J92))</f>
        <v xml:space="preserve">Excavation, Plinth Completed </v>
      </c>
      <c r="J90" s="50" t="str">
        <f ca="1">(IF(C96=(D91+F91+H91),"",IF(C96&gt;0,", RCC upto "&amp;C96&amp;" Slab","")))&amp;(IF(C97=H91,"",IF(C97&gt;0,", Brickwork upto "&amp;C97&amp;" Floor","")))&amp;(IF(C98=H91,"",IF(C98&gt;0,", Internal Plaster upto "&amp;C98&amp;" Floor","")))&amp;(IF(C99=H91,"",IF(C99&gt;0,", External Plaster upto "&amp;C99&amp;" Floor","")))&amp;(IF(C100=H91,"",IF(C100&gt;0,", Flooring upto "&amp;C100&amp;" Floor","")))&amp;(IF(C101=H91,"",IF(C101&gt;0,", Painting upto "&amp;C101&amp;" Floor","")))&amp;(IF(C102=H91,"",IF(C102&gt;0,", Finishing upto "&amp;C102&amp;" Floor","")))&amp;(IF(C103=H91,"",IF(C103&gt;0,", Possession upto "&amp;C103&amp;" Floor","")))</f>
        <v/>
      </c>
      <c r="S90"/>
    </row>
    <row r="91" spans="1:19" hidden="1" x14ac:dyDescent="0.25">
      <c r="A91" s="16" t="s">
        <v>138</v>
      </c>
      <c r="B91" s="47">
        <f>IF(AND(ISNUMBER(SEARCH("1B",C90))),1,IF(AND(ISNUMBER(SEARCH("2B",C90))),2,IF(AND(ISNUMBER(SEARCH("3B",C90))),3,IF(AND(ISNUMBER(SEARCH("4B",C90))),4,IF(ISNUMBER(SEARCH("5B",C90)),5,0)))))</f>
        <v>1</v>
      </c>
      <c r="C91" s="47" t="s">
        <v>68</v>
      </c>
      <c r="D91" s="47">
        <v>1</v>
      </c>
      <c r="E91" s="47" t="s">
        <v>67</v>
      </c>
      <c r="F91" s="14">
        <v>0</v>
      </c>
      <c r="G91" s="48" t="s">
        <v>76</v>
      </c>
      <c r="H91" s="17">
        <f ca="1">--TRIM(RIGHT(SUBSTITUTE(LEFT(C90,_xlfn.AGGREGATE(16,6,FIND({0,1,2,3,4,5,6,7,8,9},C90,ROW(INDIRECT("1:"&amp;LEN(C90)))),1))," ",REPT(" ",LEN(C90))),LEN(C90)))</f>
        <v>19</v>
      </c>
      <c r="I91" s="51" t="str">
        <f ca="1">IF(D94=100%,"Excavation","")&amp;IF(D95=100%,", Plinth","")&amp;IF(D96=100%,", RCC Slab","")&amp;IF(D97=100%,", Brickwork","")&amp;IF(D98=100%,", Internal Plaster","")&amp;IF(D99=100%,", External Plaster","")&amp;IF(D100=100%,", Flooring","")&amp;IF(D101=100%,", Painting","")&amp;IF(D102=100%,", Building common Amenities","")</f>
        <v>Excavation, Plinth</v>
      </c>
      <c r="J91" s="52" t="str">
        <f ca="1">(IF(C94=0,"Work not yet Started.",IF(D94=25%,"Piling work in process",IF(D94=50%,"Excavation work in process",IF(D94=100%,"","0")))))&amp;(IF(C95=0%,"",IF(C95=J96,", Footing work is process",IF(C95=J97,", Footing work Completed",IF(C95=J98,", 1st Basement Completed",IF(C95=J99,", 1st &amp; 2nd Basement Completed",IF(C95=J100,", 1st to 3rd Basement Completed",IF(C95=J101,", 1st to 4th Basement Completed",IF(C95=J102,", Plinth work is process",IF(C95=J103,"","0"))))))))))</f>
        <v/>
      </c>
      <c r="S91"/>
    </row>
    <row r="92" spans="1:19" ht="36.75" hidden="1" customHeight="1" x14ac:dyDescent="0.25">
      <c r="A92" s="231" t="s">
        <v>86</v>
      </c>
      <c r="B92" s="207"/>
      <c r="C92" s="237" t="str">
        <f ca="1">I90</f>
        <v xml:space="preserve">Excavation, Plinth Completed </v>
      </c>
      <c r="D92" s="237"/>
      <c r="E92" s="237"/>
      <c r="F92" s="237"/>
      <c r="G92" s="237"/>
      <c r="H92" s="238"/>
      <c r="I92" s="51" t="str">
        <f ca="1">IF(I91&lt;&gt;""," Completed","")</f>
        <v xml:space="preserve"> Completed</v>
      </c>
      <c r="J92" s="52" t="str">
        <f ca="1">IF(J90&lt;&gt;"","Completed","")</f>
        <v/>
      </c>
      <c r="S92"/>
    </row>
    <row r="93" spans="1:19" ht="15.75" hidden="1" customHeight="1" x14ac:dyDescent="0.25">
      <c r="A93" s="180" t="s">
        <v>47</v>
      </c>
      <c r="B93" s="181"/>
      <c r="C93" s="43" t="s">
        <v>135</v>
      </c>
      <c r="D93" s="43" t="s">
        <v>79</v>
      </c>
      <c r="E93" s="181" t="s">
        <v>81</v>
      </c>
      <c r="F93" s="181"/>
      <c r="G93" s="181" t="s">
        <v>80</v>
      </c>
      <c r="H93" s="324"/>
      <c r="I93" s="13" t="s">
        <v>137</v>
      </c>
      <c r="J93" s="28">
        <f ca="1">H91*25%</f>
        <v>4.75</v>
      </c>
      <c r="S93"/>
    </row>
    <row r="94" spans="1:19" hidden="1" x14ac:dyDescent="0.25">
      <c r="A94" s="180" t="s">
        <v>124</v>
      </c>
      <c r="B94" s="181"/>
      <c r="C94" s="60">
        <f ca="1">J95</f>
        <v>19</v>
      </c>
      <c r="D94" s="19">
        <f ca="1">((100/H91)*C94)/100</f>
        <v>1</v>
      </c>
      <c r="E94" s="286">
        <f ca="1">(((C95/H91*10)+(40/(D91+F91+H91)*C96)+(7.5/(H91)*C97)+(7.5/(H91)*C98)+(10/H91*C99)+(10/H91*C100)+(5/H91*C101)+(5/H91*C102)+(5/H91*C103))/100)</f>
        <v>0.1</v>
      </c>
      <c r="F94" s="325"/>
      <c r="G94" s="286">
        <f ca="1">((((C94/H91)*20)+((C95/H91)*25)+(30/(H91+F91+D91)*C96)+(5/H91*C97)+(5/H91*C98)+(5/H91*C99)+(5/H91*C100)+(0/H91*C101)+(0/H91*C102)+(5/H91*C103))/100)</f>
        <v>0.45</v>
      </c>
      <c r="H94" s="287"/>
      <c r="I94" s="13" t="s">
        <v>96</v>
      </c>
      <c r="J94" s="29">
        <f ca="1">H91*50%</f>
        <v>9.5</v>
      </c>
    </row>
    <row r="95" spans="1:19" hidden="1" x14ac:dyDescent="0.25">
      <c r="A95" s="180" t="s">
        <v>48</v>
      </c>
      <c r="B95" s="181"/>
      <c r="C95" s="43">
        <f ca="1">J103</f>
        <v>19</v>
      </c>
      <c r="D95" s="19">
        <f ca="1">((100/H91)*C95)/100</f>
        <v>1</v>
      </c>
      <c r="E95" s="288"/>
      <c r="F95" s="326"/>
      <c r="G95" s="288"/>
      <c r="H95" s="289"/>
      <c r="I95" s="13" t="s">
        <v>97</v>
      </c>
      <c r="J95" s="29">
        <f ca="1">H91</f>
        <v>19</v>
      </c>
      <c r="S95"/>
    </row>
    <row r="96" spans="1:19" ht="15.75" hidden="1" customHeight="1" x14ac:dyDescent="0.25">
      <c r="A96" s="180" t="s">
        <v>125</v>
      </c>
      <c r="B96" s="181"/>
      <c r="C96" s="43">
        <v>0</v>
      </c>
      <c r="D96" s="19">
        <f ca="1">((100/(D91+F91+H91))*C96)/100</f>
        <v>0</v>
      </c>
      <c r="E96" s="288"/>
      <c r="F96" s="326"/>
      <c r="G96" s="288"/>
      <c r="H96" s="289"/>
      <c r="I96" s="13" t="s">
        <v>98</v>
      </c>
      <c r="J96" s="30">
        <f ca="1">(IF(B91&gt;1,(H91/(B91+2)),H91/4))</f>
        <v>4.75</v>
      </c>
      <c r="S96"/>
    </row>
    <row r="97" spans="1:19" ht="15.75" hidden="1" customHeight="1" x14ac:dyDescent="0.25">
      <c r="A97" s="180" t="s">
        <v>132</v>
      </c>
      <c r="B97" s="181" t="s">
        <v>126</v>
      </c>
      <c r="C97" s="43">
        <v>0</v>
      </c>
      <c r="D97" s="19">
        <f ca="1">((100/H91)*C97)/100</f>
        <v>0</v>
      </c>
      <c r="E97" s="288"/>
      <c r="F97" s="326"/>
      <c r="G97" s="288"/>
      <c r="H97" s="289"/>
      <c r="I97" s="13" t="s">
        <v>99</v>
      </c>
      <c r="J97" s="30">
        <f ca="1">(IF(B91&gt;1,(H91/(B91+2)+J96),H91/4+J96))</f>
        <v>9.5</v>
      </c>
    </row>
    <row r="98" spans="1:19" ht="15.75" hidden="1" customHeight="1" x14ac:dyDescent="0.25">
      <c r="A98" s="180" t="s">
        <v>133</v>
      </c>
      <c r="B98" s="181" t="s">
        <v>126</v>
      </c>
      <c r="C98" s="43">
        <v>0</v>
      </c>
      <c r="D98" s="19">
        <f ca="1">((100/H91)*C98)/100</f>
        <v>0</v>
      </c>
      <c r="E98" s="288"/>
      <c r="F98" s="326"/>
      <c r="G98" s="288"/>
      <c r="H98" s="289"/>
      <c r="I98" s="13" t="s">
        <v>142</v>
      </c>
      <c r="J98" s="30">
        <f>(IF(B91&gt;1,(H91/(B91+2)+J97),0))</f>
        <v>0</v>
      </c>
    </row>
    <row r="99" spans="1:19" ht="15" hidden="1" customHeight="1" x14ac:dyDescent="0.25">
      <c r="A99" s="180" t="s">
        <v>131</v>
      </c>
      <c r="B99" s="181" t="s">
        <v>128</v>
      </c>
      <c r="C99" s="43">
        <v>0</v>
      </c>
      <c r="D99" s="19">
        <f ca="1">((100/(H91))*C99)/100</f>
        <v>0</v>
      </c>
      <c r="E99" s="288"/>
      <c r="F99" s="326"/>
      <c r="G99" s="288"/>
      <c r="H99" s="289"/>
      <c r="I99" s="13" t="s">
        <v>139</v>
      </c>
      <c r="J99" s="30">
        <f>(IF(B91&gt;2,(H91/(B91+2)+J98),0))</f>
        <v>0</v>
      </c>
    </row>
    <row r="100" spans="1:19" ht="15.75" hidden="1" customHeight="1" x14ac:dyDescent="0.25">
      <c r="A100" s="180" t="s">
        <v>127</v>
      </c>
      <c r="B100" s="181" t="s">
        <v>127</v>
      </c>
      <c r="C100" s="43">
        <v>0</v>
      </c>
      <c r="D100" s="19">
        <f ca="1">((100/H91)*C100)/100</f>
        <v>0</v>
      </c>
      <c r="E100" s="288"/>
      <c r="F100" s="326"/>
      <c r="G100" s="288"/>
      <c r="H100" s="289"/>
      <c r="I100" s="13" t="s">
        <v>140</v>
      </c>
      <c r="J100" s="31">
        <f>(IF(B91&gt;3,(H91/(B91+2)+J99),0))</f>
        <v>0</v>
      </c>
    </row>
    <row r="101" spans="1:19" ht="15.75" hidden="1" customHeight="1" x14ac:dyDescent="0.25">
      <c r="A101" s="180" t="s">
        <v>134</v>
      </c>
      <c r="B101" s="181"/>
      <c r="C101" s="43">
        <v>0</v>
      </c>
      <c r="D101" s="19">
        <f ca="1">((100/H91)*C101)/100</f>
        <v>0</v>
      </c>
      <c r="E101" s="288"/>
      <c r="F101" s="326"/>
      <c r="G101" s="288"/>
      <c r="H101" s="289"/>
      <c r="I101" s="13" t="s">
        <v>141</v>
      </c>
      <c r="J101" s="30">
        <f>(IF(B91&gt;4,(H91/(B91+2)+J100),0))</f>
        <v>0</v>
      </c>
    </row>
    <row r="102" spans="1:19" ht="15.75" hidden="1" customHeight="1" x14ac:dyDescent="0.25">
      <c r="A102" s="180" t="s">
        <v>129</v>
      </c>
      <c r="B102" s="181" t="s">
        <v>129</v>
      </c>
      <c r="C102" s="43">
        <v>0</v>
      </c>
      <c r="D102" s="19">
        <f ca="1">((100/(H91))*C102)/100</f>
        <v>0</v>
      </c>
      <c r="E102" s="288"/>
      <c r="F102" s="326"/>
      <c r="G102" s="288"/>
      <c r="H102" s="289"/>
      <c r="I102" s="13" t="s">
        <v>143</v>
      </c>
      <c r="J102" s="30">
        <f ca="1">(IF(B91=1,(H91/(B91+3)+J97),IF(B91=0,(H91/4+J97),IF(B91&gt;1,0))))</f>
        <v>14.25</v>
      </c>
    </row>
    <row r="103" spans="1:19" ht="16.5" hidden="1" thickBot="1" x14ac:dyDescent="0.3">
      <c r="A103" s="186" t="s">
        <v>130</v>
      </c>
      <c r="B103" s="187"/>
      <c r="C103" s="44">
        <v>0</v>
      </c>
      <c r="D103" s="20">
        <f ca="1">((100/(H91))*C103)/100</f>
        <v>0</v>
      </c>
      <c r="E103" s="290"/>
      <c r="F103" s="327"/>
      <c r="G103" s="290"/>
      <c r="H103" s="291"/>
      <c r="I103" s="15" t="s">
        <v>100</v>
      </c>
      <c r="J103" s="32">
        <f ca="1">(IF(B91&gt;1.5,(H91/(B91+2)+J97+MAX(0,J98-J97)+MAX(0,J99-J98)+MAX(0,J100-J99)+MAX(0,J101-J100)+MAX(0,J102-J101)),IF(B91=1,(H91/(B91+3)+J102),IF(B91=0,H91/4+J102))))</f>
        <v>19</v>
      </c>
    </row>
    <row r="104" spans="1:19" ht="15.75" hidden="1" customHeight="1" x14ac:dyDescent="0.25">
      <c r="A104" s="279" t="s">
        <v>136</v>
      </c>
      <c r="B104" s="280"/>
      <c r="C104" s="281" t="str">
        <f>D68</f>
        <v>C Wing = 1B + G + 1st to 20th Floor</v>
      </c>
      <c r="D104" s="282"/>
      <c r="E104" s="282"/>
      <c r="F104" s="282"/>
      <c r="G104" s="282"/>
      <c r="H104" s="283"/>
      <c r="I104" s="49" t="str">
        <f ca="1">IF(D117=100%,"All work Completed. Possession granted to the Building.",IF(D116=100%,"All work Completed, Waiting for OC",I105&amp;""&amp;I106&amp;""&amp;J105&amp;""&amp;J104&amp;" "&amp;J106))</f>
        <v xml:space="preserve">Excavation, Plinth Completed </v>
      </c>
      <c r="J104" s="50" t="str">
        <f ca="1">(IF(C110=(D105+F105+H105),"",IF(C110&gt;0,", RCC upto "&amp;C110&amp;" Slab","")))&amp;(IF(C111=H105,"",IF(C111&gt;0,", Brickwork upto "&amp;C111&amp;" Floor","")))&amp;(IF(C112=H105,"",IF(C112&gt;0,", Internal Plaster upto "&amp;C112&amp;" Floor","")))&amp;(IF(C113=H105,"",IF(C113&gt;0,", External Plaster upto "&amp;C113&amp;" Floor","")))&amp;(IF(C114=H105,"",IF(C114&gt;0,", Flooring upto "&amp;C114&amp;" Floor","")))&amp;(IF(C115=H105,"",IF(C115&gt;0,", Painting upto "&amp;C115&amp;" Floor","")))&amp;(IF(C116=H105,"",IF(C116&gt;0,", Finishing upto "&amp;C116&amp;" Floor","")))&amp;(IF(C117=H105,"",IF(C117&gt;0,", Possession upto "&amp;C117&amp;" Floor","")))</f>
        <v/>
      </c>
      <c r="S104"/>
    </row>
    <row r="105" spans="1:19" hidden="1" x14ac:dyDescent="0.25">
      <c r="A105" s="16" t="s">
        <v>138</v>
      </c>
      <c r="B105" s="47">
        <f>IF(AND(ISNUMBER(SEARCH("1B",C104))),1,IF(AND(ISNUMBER(SEARCH("2B",C104))),2,IF(AND(ISNUMBER(SEARCH("3B",C104))),3,IF(AND(ISNUMBER(SEARCH("4B",C104))),4,IF(ISNUMBER(SEARCH("5B",C104)),5,0)))))</f>
        <v>1</v>
      </c>
      <c r="C105" s="47" t="s">
        <v>68</v>
      </c>
      <c r="D105" s="47">
        <v>1</v>
      </c>
      <c r="E105" s="47" t="s">
        <v>67</v>
      </c>
      <c r="F105" s="14">
        <v>0</v>
      </c>
      <c r="G105" s="48" t="s">
        <v>76</v>
      </c>
      <c r="H105" s="17">
        <f ca="1">--TRIM(RIGHT(SUBSTITUTE(LEFT(C104,_xlfn.AGGREGATE(16,6,FIND({0,1,2,3,4,5,6,7,8,9},C104,ROW(INDIRECT("1:"&amp;LEN(C104)))),1))," ",REPT(" ",LEN(C104))),LEN(C104)))</f>
        <v>20</v>
      </c>
      <c r="I105" s="51" t="str">
        <f ca="1">IF(D108=100%,"Excavation","")&amp;IF(D109=100%,", Plinth","")&amp;IF(D110=100%,", RCC Slab","")&amp;IF(D111=100%,", Brickwork","")&amp;IF(D112=100%,", Internal Plaster","")&amp;IF(D113=100%,", External Plaster","")&amp;IF(D114=100%,", Flooring","")&amp;IF(D115=100%,", Painting","")&amp;IF(D116=100%,", Building common Amenities","")</f>
        <v>Excavation, Plinth</v>
      </c>
      <c r="J105" s="52" t="str">
        <f ca="1">(IF(C108=0,"Work not yet Started.",IF(D108=25%,"Piling work in process",IF(D108=50%,"Excavation work in process",IF(D108=100%,"","0")))))&amp;(IF(C109=0%,"",IF(C109=J110,", Footing work is process",IF(C109=J111,", Footing work Completed",IF(C109=J112,", 1st Basement Completed",IF(C109=J113,", 1st &amp; 2nd Basement Completed",IF(C109=J114,", 1st to 3rd Basement Completed",IF(C109=J115,", 1st to 4th Basement Completed",IF(C109=J116,", Plinth work is process",IF(C109=J117,"","0"))))))))))</f>
        <v/>
      </c>
      <c r="S105"/>
    </row>
    <row r="106" spans="1:19" hidden="1" x14ac:dyDescent="0.25">
      <c r="A106" s="231" t="s">
        <v>86</v>
      </c>
      <c r="B106" s="207"/>
      <c r="C106" s="237" t="str">
        <f ca="1">I104</f>
        <v xml:space="preserve">Excavation, Plinth Completed </v>
      </c>
      <c r="D106" s="237"/>
      <c r="E106" s="237"/>
      <c r="F106" s="237"/>
      <c r="G106" s="237"/>
      <c r="H106" s="238"/>
      <c r="I106" s="51" t="str">
        <f ca="1">IF(I105&lt;&gt;""," Completed","")</f>
        <v xml:space="preserve"> Completed</v>
      </c>
      <c r="J106" s="52" t="str">
        <f ca="1">IF(J104&lt;&gt;"","Completed","")</f>
        <v/>
      </c>
      <c r="S106"/>
    </row>
    <row r="107" spans="1:19" ht="15.75" hidden="1" customHeight="1" x14ac:dyDescent="0.25">
      <c r="A107" s="180" t="s">
        <v>47</v>
      </c>
      <c r="B107" s="181"/>
      <c r="C107" s="43" t="s">
        <v>135</v>
      </c>
      <c r="D107" s="43" t="s">
        <v>79</v>
      </c>
      <c r="E107" s="181" t="s">
        <v>81</v>
      </c>
      <c r="F107" s="181"/>
      <c r="G107" s="181" t="s">
        <v>80</v>
      </c>
      <c r="H107" s="324"/>
      <c r="I107" s="13" t="s">
        <v>137</v>
      </c>
      <c r="J107" s="28">
        <f ca="1">H105*25%</f>
        <v>5</v>
      </c>
      <c r="S107"/>
    </row>
    <row r="108" spans="1:19" hidden="1" x14ac:dyDescent="0.25">
      <c r="A108" s="180" t="s">
        <v>124</v>
      </c>
      <c r="B108" s="181"/>
      <c r="C108" s="60">
        <f ca="1">J109</f>
        <v>20</v>
      </c>
      <c r="D108" s="19">
        <f ca="1">((100/H105)*C108)/100</f>
        <v>1</v>
      </c>
      <c r="E108" s="286">
        <f ca="1">(((C109/H105*10)+(40/(D105+F105+H105)*C110)+(7.5/(H105)*C111)+(7.5/(H105)*C112)+(10/H105*C113)+(10/H105*C114)+(5/H105*C115)+(5/H105*C116)+(5/H105*C117))/100)</f>
        <v>0.1</v>
      </c>
      <c r="F108" s="325"/>
      <c r="G108" s="286">
        <f ca="1">((((C108/H105)*20)+((C109/H105)*25)+(30/(H105+F105+D105)*C110)+(5/H105*C111)+(5/H105*C112)+(5/H105*C113)+(5/H105*C114)+(0/H105*C115)+(0/H105*C116)+(5/H105*C117))/100)</f>
        <v>0.45</v>
      </c>
      <c r="H108" s="287"/>
      <c r="I108" s="13" t="s">
        <v>96</v>
      </c>
      <c r="J108" s="29">
        <f ca="1">H105*50%</f>
        <v>10</v>
      </c>
    </row>
    <row r="109" spans="1:19" hidden="1" x14ac:dyDescent="0.25">
      <c r="A109" s="180" t="s">
        <v>48</v>
      </c>
      <c r="B109" s="181"/>
      <c r="C109" s="43">
        <f ca="1">J117</f>
        <v>20</v>
      </c>
      <c r="D109" s="19">
        <f ca="1">((100/H105)*C109)/100</f>
        <v>1</v>
      </c>
      <c r="E109" s="288"/>
      <c r="F109" s="326"/>
      <c r="G109" s="288"/>
      <c r="H109" s="289"/>
      <c r="I109" s="13" t="s">
        <v>97</v>
      </c>
      <c r="J109" s="29">
        <f ca="1">H105</f>
        <v>20</v>
      </c>
      <c r="S109"/>
    </row>
    <row r="110" spans="1:19" ht="15.75" hidden="1" customHeight="1" x14ac:dyDescent="0.25">
      <c r="A110" s="180" t="s">
        <v>125</v>
      </c>
      <c r="B110" s="181"/>
      <c r="C110" s="43">
        <v>0</v>
      </c>
      <c r="D110" s="19">
        <f ca="1">((100/(D105+F105+H105))*C110)/100</f>
        <v>0</v>
      </c>
      <c r="E110" s="288"/>
      <c r="F110" s="326"/>
      <c r="G110" s="288"/>
      <c r="H110" s="289"/>
      <c r="I110" s="13" t="s">
        <v>98</v>
      </c>
      <c r="J110" s="30">
        <f ca="1">(IF(B105&gt;1,(H105/(B105+2)),H105/4))</f>
        <v>5</v>
      </c>
      <c r="S110"/>
    </row>
    <row r="111" spans="1:19" ht="15.75" hidden="1" customHeight="1" x14ac:dyDescent="0.25">
      <c r="A111" s="180" t="s">
        <v>132</v>
      </c>
      <c r="B111" s="181" t="s">
        <v>126</v>
      </c>
      <c r="C111" s="43">
        <v>0</v>
      </c>
      <c r="D111" s="19">
        <f ca="1">((100/H105)*C111)/100</f>
        <v>0</v>
      </c>
      <c r="E111" s="288"/>
      <c r="F111" s="326"/>
      <c r="G111" s="288"/>
      <c r="H111" s="289"/>
      <c r="I111" s="13" t="s">
        <v>99</v>
      </c>
      <c r="J111" s="30">
        <f ca="1">(IF(B105&gt;1,(H105/(B105+2)+J110),H105/4+J110))</f>
        <v>10</v>
      </c>
    </row>
    <row r="112" spans="1:19" ht="15.75" hidden="1" customHeight="1" x14ac:dyDescent="0.25">
      <c r="A112" s="180" t="s">
        <v>133</v>
      </c>
      <c r="B112" s="181" t="s">
        <v>126</v>
      </c>
      <c r="C112" s="43">
        <v>0</v>
      </c>
      <c r="D112" s="19">
        <f ca="1">((100/H105)*C112)/100</f>
        <v>0</v>
      </c>
      <c r="E112" s="288"/>
      <c r="F112" s="326"/>
      <c r="G112" s="288"/>
      <c r="H112" s="289"/>
      <c r="I112" s="13" t="s">
        <v>142</v>
      </c>
      <c r="J112" s="30">
        <f>(IF(B105&gt;1,(H105/(B105+2)+J111),0))</f>
        <v>0</v>
      </c>
    </row>
    <row r="113" spans="1:22" ht="15" hidden="1" customHeight="1" x14ac:dyDescent="0.25">
      <c r="A113" s="180" t="s">
        <v>131</v>
      </c>
      <c r="B113" s="181" t="s">
        <v>128</v>
      </c>
      <c r="C113" s="43">
        <v>0</v>
      </c>
      <c r="D113" s="19">
        <f ca="1">((100/(H105))*C113)/100</f>
        <v>0</v>
      </c>
      <c r="E113" s="288"/>
      <c r="F113" s="326"/>
      <c r="G113" s="288"/>
      <c r="H113" s="289"/>
      <c r="I113" s="13" t="s">
        <v>139</v>
      </c>
      <c r="J113" s="30">
        <f>(IF(B105&gt;2,(H105/(B105+2)+J112),0))</f>
        <v>0</v>
      </c>
    </row>
    <row r="114" spans="1:22" ht="15.75" hidden="1" customHeight="1" x14ac:dyDescent="0.25">
      <c r="A114" s="180" t="s">
        <v>127</v>
      </c>
      <c r="B114" s="181" t="s">
        <v>127</v>
      </c>
      <c r="C114" s="43">
        <v>0</v>
      </c>
      <c r="D114" s="19">
        <f ca="1">((100/H105)*C114)/100</f>
        <v>0</v>
      </c>
      <c r="E114" s="288"/>
      <c r="F114" s="326"/>
      <c r="G114" s="288"/>
      <c r="H114" s="289"/>
      <c r="I114" s="13" t="s">
        <v>140</v>
      </c>
      <c r="J114" s="31">
        <f>(IF(B105&gt;3,(H105/(B105+2)+J113),0))</f>
        <v>0</v>
      </c>
    </row>
    <row r="115" spans="1:22" ht="15.75" hidden="1" customHeight="1" x14ac:dyDescent="0.25">
      <c r="A115" s="180" t="s">
        <v>134</v>
      </c>
      <c r="B115" s="181"/>
      <c r="C115" s="43">
        <v>0</v>
      </c>
      <c r="D115" s="19">
        <f ca="1">((100/H105)*C115)/100</f>
        <v>0</v>
      </c>
      <c r="E115" s="288"/>
      <c r="F115" s="326"/>
      <c r="G115" s="288"/>
      <c r="H115" s="289"/>
      <c r="I115" s="13" t="s">
        <v>141</v>
      </c>
      <c r="J115" s="30">
        <f>(IF(B105&gt;4,(H105/(B105+2)+J114),0))</f>
        <v>0</v>
      </c>
    </row>
    <row r="116" spans="1:22" ht="15.75" hidden="1" customHeight="1" x14ac:dyDescent="0.25">
      <c r="A116" s="180" t="s">
        <v>129</v>
      </c>
      <c r="B116" s="181" t="s">
        <v>129</v>
      </c>
      <c r="C116" s="43">
        <v>0</v>
      </c>
      <c r="D116" s="19">
        <f ca="1">((100/(H105))*C116)/100</f>
        <v>0</v>
      </c>
      <c r="E116" s="288"/>
      <c r="F116" s="326"/>
      <c r="G116" s="288"/>
      <c r="H116" s="289"/>
      <c r="I116" s="13" t="s">
        <v>143</v>
      </c>
      <c r="J116" s="30">
        <f ca="1">(IF(B105=1,(H105/(B105+3)+J111),IF(B105=0,(H105/4+J111),IF(B105&gt;1,0))))</f>
        <v>15</v>
      </c>
    </row>
    <row r="117" spans="1:22" ht="16.5" hidden="1" thickBot="1" x14ac:dyDescent="0.3">
      <c r="A117" s="186" t="s">
        <v>130</v>
      </c>
      <c r="B117" s="187"/>
      <c r="C117" s="44">
        <v>0</v>
      </c>
      <c r="D117" s="20">
        <f ca="1">((100/(H105))*C117)/100</f>
        <v>0</v>
      </c>
      <c r="E117" s="290"/>
      <c r="F117" s="327"/>
      <c r="G117" s="290"/>
      <c r="H117" s="291"/>
      <c r="I117" s="15" t="s">
        <v>100</v>
      </c>
      <c r="J117" s="32">
        <f ca="1">(IF(B105&gt;1.5,(H105/(B105+2)+J111+MAX(0,J112-J111)+MAX(0,J113-J112)+MAX(0,J114-J113)+MAX(0,J115-J114)+MAX(0,J116-J115)),IF(B105=1,(H105/(B105+3)+J116),IF(B105=0,H105/4+J116))))</f>
        <v>20</v>
      </c>
    </row>
    <row r="118" spans="1:22" x14ac:dyDescent="0.25">
      <c r="A118" s="211" t="s">
        <v>153</v>
      </c>
      <c r="B118" s="211"/>
      <c r="C118" s="211"/>
      <c r="D118" s="211"/>
      <c r="E118" s="211"/>
      <c r="F118" s="197" t="s">
        <v>157</v>
      </c>
      <c r="G118" s="197"/>
      <c r="H118" s="197"/>
      <c r="R118" t="s">
        <v>248</v>
      </c>
      <c r="S118" t="s">
        <v>169</v>
      </c>
      <c r="T118" t="s">
        <v>175</v>
      </c>
      <c r="U118" t="s">
        <v>189</v>
      </c>
      <c r="V118" t="s">
        <v>184</v>
      </c>
    </row>
    <row r="119" spans="1:22" x14ac:dyDescent="0.25">
      <c r="A119" s="161" t="s">
        <v>155</v>
      </c>
      <c r="B119" s="161"/>
      <c r="C119" s="161"/>
      <c r="D119" s="161"/>
      <c r="E119" s="161"/>
      <c r="F119" s="158">
        <v>20000</v>
      </c>
      <c r="G119" s="158"/>
      <c r="H119" s="158"/>
      <c r="J119" s="21" t="s">
        <v>420</v>
      </c>
      <c r="R119"/>
      <c r="S119">
        <v>800000</v>
      </c>
      <c r="T119">
        <v>150000</v>
      </c>
      <c r="U119">
        <v>100000</v>
      </c>
      <c r="V119">
        <v>100000</v>
      </c>
    </row>
    <row r="120" spans="1:22" hidden="1" x14ac:dyDescent="0.25">
      <c r="A120" s="161" t="s">
        <v>154</v>
      </c>
      <c r="B120" s="161"/>
      <c r="C120" s="161"/>
      <c r="D120" s="161"/>
      <c r="E120" s="161"/>
      <c r="F120" s="158"/>
      <c r="G120" s="158"/>
      <c r="H120" s="158"/>
      <c r="R120"/>
      <c r="S120">
        <v>900000</v>
      </c>
      <c r="T120">
        <v>200000</v>
      </c>
      <c r="U120">
        <v>150000</v>
      </c>
      <c r="V120">
        <v>150000</v>
      </c>
    </row>
    <row r="121" spans="1:22" hidden="1" x14ac:dyDescent="0.25">
      <c r="A121" s="161" t="s">
        <v>156</v>
      </c>
      <c r="B121" s="161"/>
      <c r="C121" s="161"/>
      <c r="D121" s="161"/>
      <c r="E121" s="161"/>
      <c r="F121" s="158"/>
      <c r="G121" s="158"/>
      <c r="H121" s="158"/>
      <c r="R121"/>
      <c r="S121">
        <v>1000000</v>
      </c>
      <c r="T121">
        <v>250000</v>
      </c>
      <c r="U121">
        <v>200000</v>
      </c>
      <c r="V121">
        <v>200000</v>
      </c>
    </row>
    <row r="122" spans="1:22" s="33" customFormat="1" hidden="1" x14ac:dyDescent="0.25">
      <c r="A122" s="161" t="s">
        <v>171</v>
      </c>
      <c r="B122" s="161"/>
      <c r="C122" s="161"/>
      <c r="D122" s="161"/>
      <c r="E122" s="161"/>
      <c r="F122" s="158"/>
      <c r="G122" s="158"/>
      <c r="H122" s="158"/>
      <c r="R122"/>
      <c r="S122">
        <v>1100000</v>
      </c>
      <c r="T122">
        <v>300000</v>
      </c>
      <c r="U122">
        <v>250000</v>
      </c>
      <c r="V122" s="23">
        <v>250000</v>
      </c>
    </row>
    <row r="123" spans="1:22" s="33" customFormat="1" hidden="1" x14ac:dyDescent="0.25">
      <c r="A123" s="161" t="s">
        <v>90</v>
      </c>
      <c r="B123" s="161"/>
      <c r="C123" s="161"/>
      <c r="D123" s="161"/>
      <c r="E123" s="161"/>
      <c r="F123" s="158"/>
      <c r="G123" s="158"/>
      <c r="H123" s="158"/>
      <c r="R123"/>
      <c r="S123">
        <v>1200000</v>
      </c>
      <c r="T123">
        <v>350000</v>
      </c>
      <c r="U123">
        <v>300000</v>
      </c>
      <c r="V123">
        <v>300000</v>
      </c>
    </row>
    <row r="124" spans="1:22" s="33" customFormat="1" hidden="1" x14ac:dyDescent="0.25">
      <c r="A124" s="161" t="s">
        <v>91</v>
      </c>
      <c r="B124" s="161"/>
      <c r="C124" s="161"/>
      <c r="D124" s="161"/>
      <c r="E124" s="161"/>
      <c r="F124" s="158"/>
      <c r="G124" s="158"/>
      <c r="H124" s="158"/>
      <c r="R124"/>
      <c r="S124">
        <v>1300000</v>
      </c>
      <c r="T124">
        <v>400000</v>
      </c>
      <c r="U124">
        <v>350000</v>
      </c>
      <c r="V124" s="23">
        <v>400000</v>
      </c>
    </row>
    <row r="125" spans="1:22" s="33" customFormat="1" hidden="1" x14ac:dyDescent="0.25">
      <c r="A125" s="161" t="s">
        <v>92</v>
      </c>
      <c r="B125" s="161"/>
      <c r="C125" s="161"/>
      <c r="D125" s="161"/>
      <c r="E125" s="161"/>
      <c r="F125" s="158"/>
      <c r="G125" s="158"/>
      <c r="H125" s="158"/>
      <c r="R125"/>
      <c r="S125">
        <v>1400000</v>
      </c>
      <c r="T125">
        <v>500000</v>
      </c>
      <c r="U125">
        <v>400000</v>
      </c>
      <c r="V125"/>
    </row>
    <row r="126" spans="1:22" s="33" customFormat="1" hidden="1" x14ac:dyDescent="0.25">
      <c r="A126" s="161" t="s">
        <v>93</v>
      </c>
      <c r="B126" s="161"/>
      <c r="C126" s="161"/>
      <c r="D126" s="161"/>
      <c r="E126" s="161"/>
      <c r="F126" s="158"/>
      <c r="G126" s="158"/>
      <c r="H126" s="158"/>
      <c r="R126"/>
      <c r="S126">
        <v>1500000</v>
      </c>
      <c r="T126">
        <v>600000</v>
      </c>
      <c r="U126">
        <v>500000</v>
      </c>
      <c r="V126" s="23"/>
    </row>
    <row r="127" spans="1:22" s="33" customFormat="1" hidden="1" x14ac:dyDescent="0.25">
      <c r="A127" s="161" t="s">
        <v>94</v>
      </c>
      <c r="B127" s="161"/>
      <c r="C127" s="161"/>
      <c r="D127" s="161"/>
      <c r="E127" s="161"/>
      <c r="F127" s="158"/>
      <c r="G127" s="158"/>
      <c r="H127" s="158"/>
      <c r="R127"/>
      <c r="S127">
        <v>1600000</v>
      </c>
      <c r="T127">
        <v>700000</v>
      </c>
      <c r="U127">
        <v>600000</v>
      </c>
      <c r="V127"/>
    </row>
    <row r="128" spans="1:22" s="33" customFormat="1" hidden="1" x14ac:dyDescent="0.25">
      <c r="A128" s="161" t="s">
        <v>95</v>
      </c>
      <c r="B128" s="161"/>
      <c r="C128" s="161"/>
      <c r="D128" s="161"/>
      <c r="E128" s="161"/>
      <c r="F128" s="158"/>
      <c r="G128" s="158"/>
      <c r="H128" s="158"/>
      <c r="R128"/>
      <c r="S128">
        <v>1700000</v>
      </c>
      <c r="T128">
        <v>800000</v>
      </c>
      <c r="U128"/>
      <c r="V128" s="23"/>
    </row>
    <row r="129" spans="1:22" x14ac:dyDescent="0.25">
      <c r="A129" s="161" t="s">
        <v>49</v>
      </c>
      <c r="B129" s="161"/>
      <c r="C129" s="161"/>
      <c r="D129" s="161"/>
      <c r="E129" s="161"/>
      <c r="F129" s="158">
        <v>800000</v>
      </c>
      <c r="G129" s="158"/>
      <c r="H129" s="158"/>
      <c r="R129"/>
      <c r="S129">
        <v>1800000</v>
      </c>
      <c r="T129">
        <v>900000</v>
      </c>
      <c r="U129"/>
    </row>
    <row r="130" spans="1:22" s="34" customFormat="1" x14ac:dyDescent="0.25">
      <c r="A130" s="207" t="s">
        <v>50</v>
      </c>
      <c r="B130" s="207"/>
      <c r="C130" s="207"/>
      <c r="D130" s="207"/>
      <c r="E130" s="207"/>
      <c r="F130" s="158">
        <f>F119*0.8</f>
        <v>16000</v>
      </c>
      <c r="G130" s="158"/>
      <c r="H130" s="158"/>
      <c r="R130" s="21"/>
      <c r="S130" s="21"/>
      <c r="T130">
        <v>1000000</v>
      </c>
      <c r="U130"/>
      <c r="V130" s="21"/>
    </row>
    <row r="131" spans="1:22" s="35" customFormat="1" ht="15.75" hidden="1" customHeight="1" x14ac:dyDescent="0.25">
      <c r="A131" s="206" t="s">
        <v>71</v>
      </c>
      <c r="B131" s="206"/>
      <c r="C131" s="206"/>
      <c r="D131" s="206"/>
      <c r="E131" s="206"/>
      <c r="F131" s="206"/>
      <c r="G131" s="206"/>
      <c r="H131" s="206"/>
      <c r="R131"/>
      <c r="S131" s="21"/>
      <c r="T131"/>
      <c r="U131"/>
      <c r="V131" s="21"/>
    </row>
    <row r="132" spans="1:22" s="35" customFormat="1" ht="15.75" hidden="1" customHeight="1" x14ac:dyDescent="0.25">
      <c r="A132" s="160" t="s">
        <v>51</v>
      </c>
      <c r="B132" s="160"/>
      <c r="C132" s="167" t="s">
        <v>74</v>
      </c>
      <c r="D132" s="167"/>
      <c r="E132" s="155" t="s">
        <v>52</v>
      </c>
      <c r="F132" s="155"/>
      <c r="G132" s="160" t="s">
        <v>53</v>
      </c>
      <c r="H132" s="160"/>
      <c r="R132"/>
      <c r="S132" s="21"/>
      <c r="T132"/>
      <c r="U132" s="21"/>
      <c r="V132" s="21"/>
    </row>
    <row r="133" spans="1:22" s="35" customFormat="1" hidden="1" x14ac:dyDescent="0.25">
      <c r="A133" s="166"/>
      <c r="B133" s="166"/>
      <c r="C133" s="295"/>
      <c r="D133" s="295"/>
      <c r="E133" s="296"/>
      <c r="F133" s="296"/>
      <c r="G133" s="185"/>
      <c r="H133" s="185"/>
      <c r="R133"/>
      <c r="S133" s="21"/>
      <c r="T133"/>
      <c r="U133" s="21"/>
      <c r="V133" s="21"/>
    </row>
    <row r="134" spans="1:22" s="35" customFormat="1" hidden="1" x14ac:dyDescent="0.25">
      <c r="A134" s="166"/>
      <c r="B134" s="166"/>
      <c r="C134" s="295"/>
      <c r="D134" s="295"/>
      <c r="E134" s="296"/>
      <c r="F134" s="296"/>
      <c r="G134" s="185"/>
      <c r="H134" s="185"/>
      <c r="R134"/>
      <c r="S134" s="21"/>
      <c r="T134"/>
      <c r="U134" s="21"/>
      <c r="V134" s="21"/>
    </row>
    <row r="135" spans="1:22" s="35" customFormat="1" hidden="1" x14ac:dyDescent="0.25">
      <c r="A135" s="206" t="s">
        <v>146</v>
      </c>
      <c r="B135" s="206"/>
      <c r="C135" s="167"/>
      <c r="D135" s="167"/>
      <c r="E135" s="155"/>
      <c r="F135" s="155"/>
      <c r="G135" s="160"/>
      <c r="H135" s="160"/>
      <c r="R135"/>
      <c r="S135" s="21"/>
      <c r="T135"/>
      <c r="U135" s="21"/>
      <c r="V135" s="21"/>
    </row>
    <row r="136" spans="1:22" s="35" customFormat="1" x14ac:dyDescent="0.25">
      <c r="A136" s="206" t="s">
        <v>66</v>
      </c>
      <c r="B136" s="206"/>
      <c r="C136" s="206"/>
      <c r="D136" s="206"/>
      <c r="E136" s="206"/>
      <c r="F136" s="206"/>
      <c r="G136" s="206"/>
      <c r="H136" s="206"/>
      <c r="T136"/>
    </row>
    <row r="137" spans="1:22" s="35" customFormat="1" ht="15.75" customHeight="1" x14ac:dyDescent="0.25">
      <c r="A137" s="160" t="s">
        <v>51</v>
      </c>
      <c r="B137" s="160"/>
      <c r="C137" s="167" t="s">
        <v>74</v>
      </c>
      <c r="D137" s="167"/>
      <c r="E137" s="155" t="s">
        <v>52</v>
      </c>
      <c r="F137" s="155"/>
      <c r="G137" s="160" t="s">
        <v>53</v>
      </c>
      <c r="H137" s="160"/>
      <c r="T137"/>
    </row>
    <row r="138" spans="1:22" s="35" customFormat="1" x14ac:dyDescent="0.25">
      <c r="A138" s="166" t="s">
        <v>381</v>
      </c>
      <c r="B138" s="166"/>
      <c r="C138" s="278">
        <f>COUNT(D163:D166)+COUNT(D168:D175)*28+COUNT(D177:D180,D184)*4</f>
        <v>248</v>
      </c>
      <c r="D138" s="278"/>
      <c r="E138" s="278">
        <f t="shared" ref="E138" si="0">SUM(F163:F166)+SUM(F168:F175)*28+SUM(F177:F180,F184)*4</f>
        <v>208139.37767999998</v>
      </c>
      <c r="F138" s="278"/>
      <c r="G138" s="278">
        <f t="shared" ref="G138" si="1">SUM(H163:H166)+SUM(H168:H175)*28+SUM(H177:H180,H184)*4</f>
        <v>312209.06651999999</v>
      </c>
      <c r="H138" s="278"/>
      <c r="T138"/>
    </row>
    <row r="139" spans="1:22" s="35" customFormat="1" x14ac:dyDescent="0.25">
      <c r="A139" s="323" t="s">
        <v>146</v>
      </c>
      <c r="B139" s="323"/>
      <c r="C139" s="188">
        <f>C138</f>
        <v>248</v>
      </c>
      <c r="D139" s="189"/>
      <c r="E139" s="188">
        <f t="shared" ref="E139" si="2">E138</f>
        <v>208139.37767999998</v>
      </c>
      <c r="F139" s="189"/>
      <c r="G139" s="188">
        <f t="shared" ref="G139" si="3">G138</f>
        <v>312209.06651999999</v>
      </c>
      <c r="H139" s="189"/>
      <c r="T139"/>
    </row>
    <row r="140" spans="1:22" s="35" customFormat="1" hidden="1" x14ac:dyDescent="0.25">
      <c r="A140" s="209" t="s">
        <v>162</v>
      </c>
      <c r="B140" s="210"/>
      <c r="C140" s="292">
        <f>C138</f>
        <v>248</v>
      </c>
      <c r="D140" s="293"/>
      <c r="E140" s="292">
        <f t="shared" ref="E140" si="4">E138</f>
        <v>208139.37767999998</v>
      </c>
      <c r="F140" s="293"/>
      <c r="G140" s="292">
        <f t="shared" ref="G140" si="5">G138</f>
        <v>312209.06651999999</v>
      </c>
      <c r="H140" s="293"/>
      <c r="T140"/>
    </row>
    <row r="141" spans="1:22" s="34" customFormat="1" x14ac:dyDescent="0.25">
      <c r="A141" s="198" t="s">
        <v>350</v>
      </c>
      <c r="B141" s="198"/>
      <c r="C141" s="198"/>
      <c r="D141" s="198"/>
      <c r="E141" s="198"/>
      <c r="F141" s="198"/>
      <c r="G141" s="198"/>
      <c r="H141" s="198"/>
      <c r="T141" s="35"/>
    </row>
    <row r="142" spans="1:22" x14ac:dyDescent="0.25">
      <c r="A142" s="159" t="s">
        <v>433</v>
      </c>
      <c r="B142" s="159"/>
      <c r="C142" s="159"/>
      <c r="D142" s="159"/>
      <c r="E142" s="159"/>
      <c r="F142" s="159"/>
      <c r="G142" s="159"/>
      <c r="H142" s="159"/>
      <c r="T142" s="35"/>
    </row>
    <row r="143" spans="1:22" ht="47.25" hidden="1" customHeight="1" x14ac:dyDescent="0.25">
      <c r="A143" s="201" t="s">
        <v>116</v>
      </c>
      <c r="B143" s="297" t="s">
        <v>172</v>
      </c>
      <c r="C143" s="201" t="s">
        <v>54</v>
      </c>
      <c r="D143" s="297" t="s">
        <v>227</v>
      </c>
      <c r="E143" s="284" t="s">
        <v>152</v>
      </c>
      <c r="F143" s="201" t="s">
        <v>55</v>
      </c>
      <c r="G143" s="192" t="s">
        <v>56</v>
      </c>
      <c r="H143" s="65" t="s">
        <v>145</v>
      </c>
      <c r="T143" s="35"/>
    </row>
    <row r="144" spans="1:22" s="37" customFormat="1" hidden="1" x14ac:dyDescent="0.25">
      <c r="A144" s="202"/>
      <c r="B144" s="298"/>
      <c r="C144" s="202"/>
      <c r="D144" s="298"/>
      <c r="E144" s="285"/>
      <c r="F144" s="202"/>
      <c r="G144" s="193"/>
      <c r="H144" s="55">
        <v>0.45</v>
      </c>
      <c r="T144" s="35"/>
    </row>
    <row r="145" spans="1:20" s="37" customFormat="1" hidden="1" x14ac:dyDescent="0.25">
      <c r="A145" s="139" t="s">
        <v>115</v>
      </c>
      <c r="B145" s="140"/>
      <c r="C145" s="140"/>
      <c r="D145" s="140"/>
      <c r="E145" s="140"/>
      <c r="F145" s="140"/>
      <c r="G145" s="140"/>
      <c r="H145" s="141"/>
      <c r="J145" s="36"/>
      <c r="T145" s="35"/>
    </row>
    <row r="146" spans="1:20" s="37" customFormat="1" ht="15.75" hidden="1" customHeight="1" x14ac:dyDescent="0.25">
      <c r="A146" s="135">
        <v>1</v>
      </c>
      <c r="B146" s="136"/>
      <c r="C146" s="42"/>
      <c r="D146" s="42">
        <v>0</v>
      </c>
      <c r="E146" s="42">
        <v>0</v>
      </c>
      <c r="F146" s="42">
        <f>D146+(IF(E146&lt;201,E146,IF(E146&lt;301,E146/2,E146/3)))</f>
        <v>0</v>
      </c>
      <c r="G146" s="42">
        <v>0</v>
      </c>
      <c r="H146" s="42">
        <f>(F146+(IF(G146&lt;101,G146,IF(G146&lt;201,G146/2,IF(G146&lt;=301,G146/3,G146/4)))))*(($H$144)+1)</f>
        <v>0</v>
      </c>
      <c r="I146" s="36"/>
      <c r="L146" s="137"/>
      <c r="M146" s="137"/>
      <c r="N146" s="36"/>
      <c r="T146" s="35"/>
    </row>
    <row r="147" spans="1:20" s="37" customFormat="1" ht="15.75" hidden="1" customHeight="1" x14ac:dyDescent="0.25">
      <c r="A147" s="135">
        <f>A146+1</f>
        <v>2</v>
      </c>
      <c r="B147" s="136"/>
      <c r="C147" s="42"/>
      <c r="D147" s="42"/>
      <c r="E147" s="42">
        <v>0</v>
      </c>
      <c r="F147" s="42">
        <f>D147+(IF(E147&lt;201,E147,IF(E147&lt;301,E147/2,E147/3)))</f>
        <v>0</v>
      </c>
      <c r="G147" s="42">
        <v>0</v>
      </c>
      <c r="H147" s="42">
        <f>(F147+(IF(G147&lt;101,G147,IF(G147&lt;201,G147/2,IF(G147&lt;=301,G147/3,G147/4)))))*(($H$144)+1)</f>
        <v>0</v>
      </c>
      <c r="I147" s="36"/>
      <c r="L147" s="137"/>
      <c r="M147" s="137"/>
      <c r="N147" s="36"/>
      <c r="T147" s="34"/>
    </row>
    <row r="148" spans="1:20" s="37" customFormat="1" ht="15.75" hidden="1" customHeight="1" x14ac:dyDescent="0.25">
      <c r="A148" s="135">
        <f>A147+1</f>
        <v>3</v>
      </c>
      <c r="B148" s="136"/>
      <c r="C148" s="42"/>
      <c r="D148" s="42"/>
      <c r="E148" s="42">
        <v>0</v>
      </c>
      <c r="F148" s="42">
        <f>D148+(IF(E148&lt;201,E148,IF(E148&lt;301,E148/2,E148/3)))</f>
        <v>0</v>
      </c>
      <c r="G148" s="42">
        <v>0</v>
      </c>
      <c r="H148" s="42">
        <f>(F148+(IF(G148&lt;101,G148,IF(G148&lt;201,G148/2,IF(G148&lt;=301,G148/3,G148/4)))))*(($H$144)+1)</f>
        <v>0</v>
      </c>
      <c r="I148" s="36"/>
      <c r="L148" s="137"/>
      <c r="M148" s="137"/>
      <c r="N148" s="36"/>
      <c r="T148" s="21"/>
    </row>
    <row r="149" spans="1:20" s="37" customFormat="1" ht="15.75" hidden="1" customHeight="1" x14ac:dyDescent="0.25">
      <c r="A149" s="135">
        <f>A148+1</f>
        <v>4</v>
      </c>
      <c r="B149" s="136"/>
      <c r="C149" s="42"/>
      <c r="D149" s="42"/>
      <c r="E149" s="42">
        <v>0</v>
      </c>
      <c r="F149" s="42">
        <f>D149+(IF(E149&lt;201,E149,IF(E149&lt;301,E149/2,E149/3)))</f>
        <v>0</v>
      </c>
      <c r="G149" s="42">
        <v>0</v>
      </c>
      <c r="H149" s="42">
        <f>(F149+(IF(G149&lt;101,G149,IF(G149&lt;201,G149/2,IF(G149&lt;=301,G149/3,G149/4)))))*(($H$144)+1)</f>
        <v>0</v>
      </c>
      <c r="I149" s="36"/>
      <c r="L149" s="137"/>
      <c r="M149" s="137"/>
      <c r="N149" s="36"/>
      <c r="T149" s="21"/>
    </row>
    <row r="150" spans="1:20" s="37" customFormat="1" hidden="1" x14ac:dyDescent="0.25">
      <c r="A150" s="135"/>
      <c r="B150" s="190"/>
      <c r="C150" s="190"/>
      <c r="D150" s="190"/>
      <c r="E150" s="190"/>
      <c r="F150" s="190"/>
      <c r="G150" s="190"/>
      <c r="H150" s="136"/>
      <c r="I150" s="36"/>
      <c r="N150" s="36"/>
    </row>
    <row r="151" spans="1:20" ht="47.25" customHeight="1" x14ac:dyDescent="0.25">
      <c r="A151" s="199" t="s">
        <v>117</v>
      </c>
      <c r="B151" s="183" t="s">
        <v>173</v>
      </c>
      <c r="C151" s="201" t="s">
        <v>54</v>
      </c>
      <c r="D151" s="183" t="s">
        <v>371</v>
      </c>
      <c r="E151" s="183" t="s">
        <v>434</v>
      </c>
      <c r="F151" s="201" t="s">
        <v>55</v>
      </c>
      <c r="G151" s="192" t="s">
        <v>56</v>
      </c>
      <c r="H151" s="64" t="s">
        <v>145</v>
      </c>
      <c r="I151" s="98">
        <v>10.763999999999999</v>
      </c>
      <c r="T151" s="37"/>
    </row>
    <row r="152" spans="1:20" s="37" customFormat="1" x14ac:dyDescent="0.25">
      <c r="A152" s="200"/>
      <c r="B152" s="184"/>
      <c r="C152" s="202"/>
      <c r="D152" s="184"/>
      <c r="E152" s="184"/>
      <c r="F152" s="202"/>
      <c r="G152" s="193"/>
      <c r="H152" s="105">
        <v>0.5</v>
      </c>
      <c r="I152" s="36"/>
    </row>
    <row r="153" spans="1:20" s="99" customFormat="1" x14ac:dyDescent="0.25">
      <c r="A153" s="139" t="s">
        <v>381</v>
      </c>
      <c r="B153" s="140"/>
      <c r="C153" s="140"/>
      <c r="D153" s="140"/>
      <c r="E153" s="140"/>
      <c r="F153" s="140"/>
      <c r="G153" s="140"/>
      <c r="H153" s="141"/>
      <c r="J153" s="36"/>
    </row>
    <row r="154" spans="1:20" s="99" customFormat="1" x14ac:dyDescent="0.25">
      <c r="A154" s="139" t="s">
        <v>398</v>
      </c>
      <c r="B154" s="140"/>
      <c r="C154" s="140"/>
      <c r="D154" s="140"/>
      <c r="E154" s="140"/>
      <c r="F154" s="140"/>
      <c r="G154" s="140"/>
      <c r="H154" s="141"/>
      <c r="J154" s="36"/>
    </row>
    <row r="155" spans="1:20" s="37" customFormat="1" x14ac:dyDescent="0.25">
      <c r="A155" s="139" t="s">
        <v>397</v>
      </c>
      <c r="B155" s="140"/>
      <c r="C155" s="140"/>
      <c r="D155" s="140"/>
      <c r="E155" s="140"/>
      <c r="F155" s="140"/>
      <c r="G155" s="140"/>
      <c r="H155" s="141"/>
      <c r="J155" s="36"/>
    </row>
    <row r="156" spans="1:20" s="99" customFormat="1" x14ac:dyDescent="0.25">
      <c r="A156" s="139" t="s">
        <v>399</v>
      </c>
      <c r="B156" s="140"/>
      <c r="C156" s="140"/>
      <c r="D156" s="140"/>
      <c r="E156" s="140"/>
      <c r="F156" s="140"/>
      <c r="G156" s="140"/>
      <c r="H156" s="141"/>
      <c r="I156" s="99">
        <v>1</v>
      </c>
      <c r="J156" s="36"/>
      <c r="K156" s="107"/>
      <c r="L156" s="107"/>
      <c r="M156" s="107"/>
      <c r="N156" s="107"/>
      <c r="O156" s="107"/>
    </row>
    <row r="157" spans="1:20" s="99" customFormat="1" ht="15.75" customHeight="1" x14ac:dyDescent="0.25">
      <c r="A157" s="139" t="s">
        <v>400</v>
      </c>
      <c r="B157" s="140"/>
      <c r="C157" s="140"/>
      <c r="D157" s="140"/>
      <c r="E157" s="140"/>
      <c r="F157" s="140"/>
      <c r="G157" s="140"/>
      <c r="H157" s="141"/>
      <c r="I157" s="36"/>
      <c r="J157" s="106"/>
      <c r="K157" s="107"/>
      <c r="L157" s="108"/>
      <c r="M157" s="108"/>
      <c r="N157" s="109"/>
      <c r="O157" s="107"/>
    </row>
    <row r="158" spans="1:20" s="99" customFormat="1" ht="15.75" customHeight="1" x14ac:dyDescent="0.25">
      <c r="A158" s="139" t="s">
        <v>403</v>
      </c>
      <c r="B158" s="140"/>
      <c r="C158" s="140"/>
      <c r="D158" s="140"/>
      <c r="E158" s="140"/>
      <c r="F158" s="140"/>
      <c r="G158" s="140"/>
      <c r="H158" s="141"/>
      <c r="I158" s="36"/>
      <c r="J158" s="110">
        <f>939.26/10.764</f>
        <v>87.259383128948357</v>
      </c>
      <c r="K158" s="107"/>
      <c r="L158" s="108"/>
      <c r="M158" s="108"/>
      <c r="N158" s="109"/>
      <c r="O158" s="107"/>
    </row>
    <row r="159" spans="1:20" s="99" customFormat="1" ht="15.75" customHeight="1" x14ac:dyDescent="0.25">
      <c r="A159" s="135">
        <v>1</v>
      </c>
      <c r="B159" s="136"/>
      <c r="C159" s="135" t="s">
        <v>408</v>
      </c>
      <c r="D159" s="190"/>
      <c r="E159" s="190"/>
      <c r="F159" s="190"/>
      <c r="G159" s="190"/>
      <c r="H159" s="136"/>
      <c r="I159" s="36"/>
      <c r="K159" s="107"/>
      <c r="L159" s="108"/>
      <c r="M159" s="108"/>
      <c r="N159" s="109"/>
      <c r="O159" s="107"/>
    </row>
    <row r="160" spans="1:20" s="99" customFormat="1" ht="15.75" customHeight="1" x14ac:dyDescent="0.25">
      <c r="A160" s="135">
        <f>A159+1</f>
        <v>2</v>
      </c>
      <c r="B160" s="136"/>
      <c r="C160" s="305" t="s">
        <v>404</v>
      </c>
      <c r="D160" s="306"/>
      <c r="E160" s="306"/>
      <c r="F160" s="306"/>
      <c r="G160" s="306"/>
      <c r="H160" s="307"/>
      <c r="I160" s="36"/>
      <c r="K160" s="107"/>
      <c r="L160" s="108"/>
      <c r="M160" s="108"/>
      <c r="N160" s="109"/>
      <c r="O160" s="107"/>
      <c r="T160" s="21"/>
    </row>
    <row r="161" spans="1:20" s="99" customFormat="1" ht="15.75" customHeight="1" x14ac:dyDescent="0.25">
      <c r="A161" s="135">
        <f>A160+1</f>
        <v>3</v>
      </c>
      <c r="B161" s="136"/>
      <c r="C161" s="311"/>
      <c r="D161" s="312"/>
      <c r="E161" s="312"/>
      <c r="F161" s="312"/>
      <c r="G161" s="312"/>
      <c r="H161" s="313"/>
      <c r="I161" s="36"/>
      <c r="J161" s="99">
        <f>H163/10.764</f>
        <v>127.60499999999999</v>
      </c>
      <c r="K161" s="107"/>
      <c r="L161" s="138"/>
      <c r="M161" s="138"/>
      <c r="N161" s="109"/>
      <c r="O161" s="107"/>
      <c r="T161" s="21"/>
    </row>
    <row r="162" spans="1:20" s="99" customFormat="1" ht="15.75" customHeight="1" x14ac:dyDescent="0.25">
      <c r="A162" s="135">
        <f>A161+1</f>
        <v>4</v>
      </c>
      <c r="B162" s="136"/>
      <c r="C162" s="135" t="s">
        <v>409</v>
      </c>
      <c r="D162" s="190"/>
      <c r="E162" s="190"/>
      <c r="F162" s="190"/>
      <c r="G162" s="190"/>
      <c r="H162" s="136"/>
      <c r="I162" s="36">
        <f>3.1*6.6+2.1*3+3.05*(3.55+3.55)+1.22*(2.22+2.24)+0.75*1.25+4.75*0.9+3.1*1.2</f>
        <v>62.788699999999999</v>
      </c>
      <c r="J162" s="99">
        <f t="shared" ref="J162:J164" si="6">H164/10.764</f>
        <v>99.93</v>
      </c>
      <c r="K162" s="107"/>
      <c r="L162" s="138"/>
      <c r="M162" s="138"/>
      <c r="N162" s="109"/>
      <c r="O162" s="107"/>
      <c r="T162" s="21"/>
    </row>
    <row r="163" spans="1:20" s="99" customFormat="1" ht="15.75" customHeight="1" x14ac:dyDescent="0.25">
      <c r="A163" s="135">
        <f t="shared" ref="A163:A166" si="7">A162+1</f>
        <v>5</v>
      </c>
      <c r="B163" s="136"/>
      <c r="C163" s="98" t="s">
        <v>401</v>
      </c>
      <c r="D163" s="98">
        <f>(83.71)*10.764</f>
        <v>901.05443999999989</v>
      </c>
      <c r="E163" s="104">
        <f>(1.36)*10.764</f>
        <v>14.63904</v>
      </c>
      <c r="F163" s="98">
        <f>D163+E163</f>
        <v>915.69347999999991</v>
      </c>
      <c r="G163" s="98">
        <v>0</v>
      </c>
      <c r="H163" s="98">
        <f t="shared" ref="H163:H165" si="8">F163*(($H$152)+1)+(IF(G163&lt;101,G163,IF(G163&lt;201,G163/2,IF(G163&lt;=301,G163/3,G163/4))))</f>
        <v>1373.5402199999999</v>
      </c>
      <c r="I163" s="36">
        <f>3.1*6.7+2.15*3.4+3.05*3.45+3.08*3.76+3.12*3.05+2.13*1.22+2.13*1.22+1.22*2.4+1.2+4.7*0.9+1.2*1.4+(2.65*1.25)</f>
        <v>78.247000000000014</v>
      </c>
      <c r="J163" s="99">
        <f t="shared" si="6"/>
        <v>99.93</v>
      </c>
      <c r="K163" s="107">
        <f>2.95*1.25</f>
        <v>3.6875</v>
      </c>
      <c r="L163" s="138" t="s">
        <v>439</v>
      </c>
      <c r="M163" s="138"/>
      <c r="N163" s="109"/>
      <c r="O163" s="107"/>
      <c r="T163" s="21"/>
    </row>
    <row r="164" spans="1:20" s="99" customFormat="1" ht="15.75" customHeight="1" x14ac:dyDescent="0.25">
      <c r="A164" s="135">
        <f t="shared" si="7"/>
        <v>6</v>
      </c>
      <c r="B164" s="136"/>
      <c r="C164" s="98" t="s">
        <v>402</v>
      </c>
      <c r="D164" s="98">
        <f>(65.66)*10.764</f>
        <v>706.76423999999997</v>
      </c>
      <c r="E164" s="104">
        <f>(0.96)*10.764</f>
        <v>10.33344</v>
      </c>
      <c r="F164" s="98">
        <f t="shared" ref="F164:F165" si="9">D164+E164</f>
        <v>717.09767999999997</v>
      </c>
      <c r="G164" s="98">
        <v>0</v>
      </c>
      <c r="H164" s="98">
        <f t="shared" si="8"/>
        <v>1075.64652</v>
      </c>
      <c r="I164" s="36">
        <f>3.15*6.7+2.15*3.4+3.05*3.45+3.05*3.75+3.12*3.05+1.22*(2.13+2.13+2.24)+4.8*0.9+0.9*1.35+1.2*1.4+2.85*1.25+0.75*1.68</f>
        <v>79.858500000000006</v>
      </c>
      <c r="J164" s="99">
        <f t="shared" si="6"/>
        <v>127.60499999999999</v>
      </c>
      <c r="K164" s="107"/>
      <c r="L164" s="129">
        <f>30000/1.5</f>
        <v>20000</v>
      </c>
      <c r="N164" s="109"/>
      <c r="O164" s="107"/>
      <c r="T164" s="21"/>
    </row>
    <row r="165" spans="1:20" s="99" customFormat="1" x14ac:dyDescent="0.25">
      <c r="A165" s="135">
        <f t="shared" si="7"/>
        <v>7</v>
      </c>
      <c r="B165" s="136"/>
      <c r="C165" s="98" t="s">
        <v>402</v>
      </c>
      <c r="D165" s="98">
        <f>(65.66)*10.764</f>
        <v>706.76423999999997</v>
      </c>
      <c r="E165" s="104">
        <f>(0.96)*10.764</f>
        <v>10.33344</v>
      </c>
      <c r="F165" s="98">
        <f t="shared" si="9"/>
        <v>717.09767999999997</v>
      </c>
      <c r="G165" s="98">
        <v>0</v>
      </c>
      <c r="H165" s="98">
        <f t="shared" si="8"/>
        <v>1075.64652</v>
      </c>
      <c r="I165" s="112">
        <f>5+6+6+6+5</f>
        <v>28</v>
      </c>
      <c r="J165" s="109"/>
      <c r="K165" s="107"/>
      <c r="L165" s="129">
        <f>32000/1.5</f>
        <v>21333.333333333332</v>
      </c>
      <c r="M165" s="115"/>
    </row>
    <row r="166" spans="1:20" s="99" customFormat="1" ht="15.75" customHeight="1" x14ac:dyDescent="0.25">
      <c r="A166" s="135">
        <f t="shared" si="7"/>
        <v>8</v>
      </c>
      <c r="B166" s="136"/>
      <c r="C166" s="98" t="s">
        <v>401</v>
      </c>
      <c r="D166" s="98">
        <f>(83.71)*10.764</f>
        <v>901.05443999999989</v>
      </c>
      <c r="E166" s="104">
        <f>(1.36)*10.764</f>
        <v>14.63904</v>
      </c>
      <c r="F166" s="98">
        <f t="shared" ref="F166" si="10">D166+E166</f>
        <v>915.69347999999991</v>
      </c>
      <c r="G166" s="98">
        <v>0</v>
      </c>
      <c r="H166" s="98">
        <f t="shared" ref="H166" si="11">F166*(($H$152)+1)+(IF(G166&lt;101,G166,IF(G166&lt;201,G166/2,IF(G166&lt;=301,G166/3,G166/4))))</f>
        <v>1373.5402199999999</v>
      </c>
      <c r="I166" s="36">
        <f>3.15*6.85+2.15*3.4+3.05*(3.6+3.86+3.12)+1.22*(2.13+2.4+2.13)+0.8*1.68+4.75*0.9+0.9*1.65+0.9*1.3+1.7*1.2+0.35*1.1+2.95*1.25</f>
        <v>83.668200000000013</v>
      </c>
      <c r="J166" s="107"/>
      <c r="K166" s="107"/>
      <c r="L166" s="142"/>
      <c r="M166" s="142"/>
      <c r="N166" s="36"/>
    </row>
    <row r="167" spans="1:20" s="99" customFormat="1" ht="15.75" customHeight="1" x14ac:dyDescent="0.25">
      <c r="A167" s="139" t="s">
        <v>444</v>
      </c>
      <c r="B167" s="140"/>
      <c r="C167" s="140"/>
      <c r="D167" s="140"/>
      <c r="E167" s="140"/>
      <c r="F167" s="140"/>
      <c r="G167" s="140"/>
      <c r="H167" s="141"/>
      <c r="I167" s="36">
        <f>3.1*6.45+2.1*3+3.05*(3.55+3.55)+1.22*(2.22+2.24)+4.8*0.9+1.05*2.2+0.75*1.25+3.1*1.2</f>
        <v>64.678700000000006</v>
      </c>
      <c r="J167" s="107"/>
      <c r="K167" s="107"/>
      <c r="L167" s="143">
        <v>20000</v>
      </c>
      <c r="M167" s="143"/>
      <c r="N167" s="36"/>
    </row>
    <row r="168" spans="1:20" s="99" customFormat="1" ht="15.75" customHeight="1" x14ac:dyDescent="0.25">
      <c r="A168" s="135">
        <v>1</v>
      </c>
      <c r="B168" s="136"/>
      <c r="C168" s="98" t="s">
        <v>401</v>
      </c>
      <c r="D168" s="98">
        <f>(87.26)*10.764</f>
        <v>939.26664000000005</v>
      </c>
      <c r="E168" s="104">
        <f>(1.36)*10.764</f>
        <v>14.63904</v>
      </c>
      <c r="F168" s="98">
        <f>D168+E168</f>
        <v>953.90568000000007</v>
      </c>
      <c r="G168" s="98">
        <v>0</v>
      </c>
      <c r="H168" s="98">
        <f>F168*(($H$152)+1)+(IF(G168&lt;101,G168,IF(G168&lt;201,G168/2,IF(G168&lt;=301,G168/3,G168/4))))</f>
        <v>1430.8585200000002</v>
      </c>
      <c r="I168" s="36"/>
      <c r="J168" s="107"/>
      <c r="K168" s="107"/>
      <c r="L168" s="120">
        <f>H168*$L$167</f>
        <v>28617170.400000006</v>
      </c>
      <c r="M168" s="120"/>
      <c r="N168" s="36"/>
    </row>
    <row r="169" spans="1:20" s="99" customFormat="1" ht="15.75" customHeight="1" x14ac:dyDescent="0.25">
      <c r="A169" s="135">
        <f>A168+1</f>
        <v>2</v>
      </c>
      <c r="B169" s="136"/>
      <c r="C169" s="98" t="s">
        <v>402</v>
      </c>
      <c r="D169" s="98">
        <f>(67.51)*10.764</f>
        <v>726.67764</v>
      </c>
      <c r="E169" s="104">
        <f>(0.96)*10.764</f>
        <v>10.33344</v>
      </c>
      <c r="F169" s="98">
        <f>D169+E169</f>
        <v>737.01107999999999</v>
      </c>
      <c r="G169" s="98">
        <v>0</v>
      </c>
      <c r="H169" s="98">
        <f>F169*(($H$152)+1)+(IF(G169&lt;101,G169,IF(G169&lt;201,G169/2,IF(G169&lt;=301,G169/3,G169/4))))</f>
        <v>1105.5166199999999</v>
      </c>
      <c r="I169" s="36"/>
      <c r="J169" s="107"/>
      <c r="K169" s="107"/>
      <c r="L169" s="120">
        <f t="shared" ref="L169:L176" si="12">H169*$L$167</f>
        <v>22110332.399999999</v>
      </c>
      <c r="M169" s="120"/>
      <c r="N169" s="36"/>
      <c r="T169" s="21"/>
    </row>
    <row r="170" spans="1:20" s="99" customFormat="1" ht="15.75" customHeight="1" x14ac:dyDescent="0.25">
      <c r="A170" s="135">
        <f>A169+1</f>
        <v>3</v>
      </c>
      <c r="B170" s="136"/>
      <c r="C170" s="98" t="s">
        <v>402</v>
      </c>
      <c r="D170" s="98">
        <f>(67.51)*10.764</f>
        <v>726.67764</v>
      </c>
      <c r="E170" s="104">
        <f>(0.96)*10.764</f>
        <v>10.33344</v>
      </c>
      <c r="F170" s="98">
        <f>D170+E170</f>
        <v>737.01107999999999</v>
      </c>
      <c r="G170" s="98">
        <v>0</v>
      </c>
      <c r="H170" s="98">
        <f>F170*(($H$152)+1)+(IF(G170&lt;101,G170,IF(G170&lt;201,G170/2,IF(G170&lt;=301,G170/3,G170/4))))</f>
        <v>1105.5166199999999</v>
      </c>
      <c r="I170" s="36"/>
      <c r="J170" s="114">
        <f>(23900000-(23900000*0.12))/H170</f>
        <v>19024.589607707574</v>
      </c>
      <c r="K170" s="118">
        <f>(23900000)/H170</f>
        <v>21618.851826940423</v>
      </c>
      <c r="L170" s="120">
        <f t="shared" si="12"/>
        <v>22110332.399999999</v>
      </c>
      <c r="M170" s="120"/>
      <c r="N170" s="36"/>
      <c r="T170" s="21"/>
    </row>
    <row r="171" spans="1:20" s="99" customFormat="1" ht="15.75" customHeight="1" x14ac:dyDescent="0.25">
      <c r="A171" s="135">
        <f>A170+1</f>
        <v>4</v>
      </c>
      <c r="B171" s="136"/>
      <c r="C171" s="98" t="s">
        <v>401</v>
      </c>
      <c r="D171" s="98">
        <f>(86.45)*10.764</f>
        <v>930.54779999999994</v>
      </c>
      <c r="E171" s="104">
        <f>(1.36)*10.764</f>
        <v>14.63904</v>
      </c>
      <c r="F171" s="98">
        <f>D171+E171</f>
        <v>945.18683999999996</v>
      </c>
      <c r="G171" s="98">
        <v>0</v>
      </c>
      <c r="H171" s="98">
        <f>F171*(($H$152)+1)+(IF(G171&lt;101,G171,IF(G171&lt;201,G171/2,IF(G171&lt;=301,G171/3,G171/4))))</f>
        <v>1417.78026</v>
      </c>
      <c r="I171" s="36"/>
      <c r="K171" s="107"/>
      <c r="L171" s="120">
        <f t="shared" si="12"/>
        <v>28355605.199999999</v>
      </c>
      <c r="M171" s="120"/>
      <c r="N171" s="36"/>
      <c r="T171" s="21"/>
    </row>
    <row r="172" spans="1:20" s="99" customFormat="1" ht="15.75" customHeight="1" x14ac:dyDescent="0.25">
      <c r="A172" s="135">
        <f t="shared" ref="A172:A175" si="13">A171+1</f>
        <v>5</v>
      </c>
      <c r="B172" s="136"/>
      <c r="C172" s="98" t="s">
        <v>401</v>
      </c>
      <c r="D172" s="104">
        <f>(83.71)*10.764</f>
        <v>901.05443999999989</v>
      </c>
      <c r="E172" s="104">
        <f>(1.36)*10.764</f>
        <v>14.63904</v>
      </c>
      <c r="F172" s="98">
        <f t="shared" ref="F172:F175" si="14">D172+E172</f>
        <v>915.69347999999991</v>
      </c>
      <c r="G172" s="98">
        <v>0</v>
      </c>
      <c r="H172" s="98">
        <f t="shared" ref="H172:H175" si="15">F172*(($H$152)+1)+(IF(G172&lt;101,G172,IF(G172&lt;201,G172/2,IF(G172&lt;=301,G172/3,G172/4))))</f>
        <v>1373.5402199999999</v>
      </c>
      <c r="I172" s="119">
        <f>29800000/H172</f>
        <v>21695.760754643212</v>
      </c>
      <c r="J172" s="107" t="s">
        <v>438</v>
      </c>
      <c r="K172" s="107"/>
      <c r="L172" s="120">
        <f t="shared" si="12"/>
        <v>27470804.399999999</v>
      </c>
      <c r="M172" s="120"/>
      <c r="N172" s="36"/>
      <c r="T172" s="21"/>
    </row>
    <row r="173" spans="1:20" s="99" customFormat="1" ht="15.75" customHeight="1" x14ac:dyDescent="0.25">
      <c r="A173" s="135">
        <f t="shared" si="13"/>
        <v>6</v>
      </c>
      <c r="B173" s="136"/>
      <c r="C173" s="98" t="s">
        <v>402</v>
      </c>
      <c r="D173" s="104">
        <f>(65.66)*10.764</f>
        <v>706.76423999999997</v>
      </c>
      <c r="E173" s="104">
        <f>(0.96)*10.764</f>
        <v>10.33344</v>
      </c>
      <c r="F173" s="98">
        <f t="shared" si="14"/>
        <v>717.09767999999997</v>
      </c>
      <c r="G173" s="98">
        <v>0</v>
      </c>
      <c r="H173" s="98">
        <f t="shared" si="15"/>
        <v>1075.64652</v>
      </c>
      <c r="I173" s="36"/>
      <c r="J173" s="123">
        <f>23300000/H174</f>
        <v>21661.391141766533</v>
      </c>
      <c r="K173" s="107"/>
      <c r="L173" s="122">
        <f t="shared" si="12"/>
        <v>21512930.399999999</v>
      </c>
      <c r="M173" s="120"/>
      <c r="N173" s="36"/>
      <c r="T173" s="21"/>
    </row>
    <row r="174" spans="1:20" s="99" customFormat="1" x14ac:dyDescent="0.25">
      <c r="A174" s="135">
        <f t="shared" si="13"/>
        <v>7</v>
      </c>
      <c r="B174" s="136"/>
      <c r="C174" s="98" t="s">
        <v>402</v>
      </c>
      <c r="D174" s="104">
        <f>(65.66)*10.764</f>
        <v>706.76423999999997</v>
      </c>
      <c r="E174" s="104">
        <f>(0.96)*10.764</f>
        <v>10.33344</v>
      </c>
      <c r="F174" s="98">
        <f t="shared" si="14"/>
        <v>717.09767999999997</v>
      </c>
      <c r="G174" s="98">
        <v>0</v>
      </c>
      <c r="H174" s="98">
        <f t="shared" si="15"/>
        <v>1075.64652</v>
      </c>
      <c r="I174" s="99">
        <v>4</v>
      </c>
      <c r="J174" s="36"/>
      <c r="L174" s="120">
        <f t="shared" si="12"/>
        <v>21512930.399999999</v>
      </c>
      <c r="M174" s="103"/>
    </row>
    <row r="175" spans="1:20" s="37" customFormat="1" ht="15.75" customHeight="1" x14ac:dyDescent="0.25">
      <c r="A175" s="135">
        <f t="shared" si="13"/>
        <v>8</v>
      </c>
      <c r="B175" s="136"/>
      <c r="C175" s="98" t="s">
        <v>401</v>
      </c>
      <c r="D175" s="104">
        <f>(83.71)*10.764</f>
        <v>901.05443999999989</v>
      </c>
      <c r="E175" s="104">
        <f>(1.36)*10.764</f>
        <v>14.63904</v>
      </c>
      <c r="F175" s="98">
        <f t="shared" si="14"/>
        <v>915.69347999999991</v>
      </c>
      <c r="G175" s="98">
        <v>0</v>
      </c>
      <c r="H175" s="98">
        <f t="shared" si="15"/>
        <v>1373.5402199999999</v>
      </c>
      <c r="I175" s="36"/>
      <c r="L175" s="120">
        <f t="shared" si="12"/>
        <v>27470804.399999999</v>
      </c>
      <c r="M175" s="121"/>
      <c r="N175" s="36"/>
    </row>
    <row r="176" spans="1:20" s="37" customFormat="1" ht="15.75" customHeight="1" x14ac:dyDescent="0.25">
      <c r="A176" s="139" t="s">
        <v>405</v>
      </c>
      <c r="B176" s="140"/>
      <c r="C176" s="140"/>
      <c r="D176" s="140"/>
      <c r="E176" s="140"/>
      <c r="F176" s="140"/>
      <c r="G176" s="140"/>
      <c r="H176" s="141"/>
      <c r="I176" s="36"/>
      <c r="L176" s="120">
        <f t="shared" si="12"/>
        <v>0</v>
      </c>
      <c r="M176" s="121"/>
      <c r="N176" s="36"/>
    </row>
    <row r="177" spans="1:20" s="37" customFormat="1" ht="15.75" customHeight="1" x14ac:dyDescent="0.25">
      <c r="A177" s="135">
        <v>1</v>
      </c>
      <c r="B177" s="136"/>
      <c r="C177" s="42" t="s">
        <v>401</v>
      </c>
      <c r="D177" s="104">
        <f>(87.26)*10.764</f>
        <v>939.26664000000005</v>
      </c>
      <c r="E177" s="104">
        <f>(1.36)*10.764</f>
        <v>14.63904</v>
      </c>
      <c r="F177" s="42">
        <f>D177+E177</f>
        <v>953.90568000000007</v>
      </c>
      <c r="G177" s="42">
        <v>0</v>
      </c>
      <c r="H177" s="42">
        <f>F177*(($H$152)+1)+(IF(G177&lt;101,G177,IF(G177&lt;201,G177/2,IF(G177&lt;=301,G177/3,G177/4))))</f>
        <v>1430.8585200000002</v>
      </c>
      <c r="I177" s="119">
        <f>31100000/H177</f>
        <v>21735.202722907918</v>
      </c>
      <c r="L177" s="137"/>
      <c r="M177" s="137"/>
      <c r="N177" s="36"/>
    </row>
    <row r="178" spans="1:20" s="37" customFormat="1" ht="15.75" customHeight="1" x14ac:dyDescent="0.25">
      <c r="A178" s="135">
        <f>A177+1</f>
        <v>2</v>
      </c>
      <c r="B178" s="136"/>
      <c r="C178" s="42" t="s">
        <v>402</v>
      </c>
      <c r="D178" s="104">
        <f>(67.51)*10.764</f>
        <v>726.67764</v>
      </c>
      <c r="E178" s="104">
        <f>(0.96)*10.764</f>
        <v>10.33344</v>
      </c>
      <c r="F178" s="42">
        <f>D178+E178</f>
        <v>737.01107999999999</v>
      </c>
      <c r="G178" s="42">
        <v>0</v>
      </c>
      <c r="H178" s="42">
        <f>F178*(($H$152)+1)+(IF(G178&lt;101,G178,IF(G178&lt;201,G178/2,IF(G178&lt;=301,G178/3,G178/4))))</f>
        <v>1105.5166199999999</v>
      </c>
      <c r="I178" s="36"/>
      <c r="L178" s="137"/>
      <c r="M178" s="137"/>
      <c r="N178" s="36"/>
      <c r="T178" s="21"/>
    </row>
    <row r="179" spans="1:20" s="99" customFormat="1" ht="15.75" customHeight="1" x14ac:dyDescent="0.25">
      <c r="A179" s="135">
        <f>A178+1</f>
        <v>3</v>
      </c>
      <c r="B179" s="136"/>
      <c r="C179" s="42" t="s">
        <v>402</v>
      </c>
      <c r="D179" s="104">
        <f>(67.51)*10.764</f>
        <v>726.67764</v>
      </c>
      <c r="E179" s="104">
        <f>(0.96)*10.764</f>
        <v>10.33344</v>
      </c>
      <c r="F179" s="42">
        <f>D179+E179</f>
        <v>737.01107999999999</v>
      </c>
      <c r="G179" s="42">
        <v>0</v>
      </c>
      <c r="H179" s="42">
        <f>F179*(($H$152)+1)+(IF(G179&lt;101,G179,IF(G179&lt;201,G179/2,IF(G179&lt;=301,G179/3,G179/4))))</f>
        <v>1105.5166199999999</v>
      </c>
      <c r="I179" s="36"/>
      <c r="L179" s="137"/>
      <c r="M179" s="137"/>
      <c r="N179" s="36"/>
      <c r="T179" s="21"/>
    </row>
    <row r="180" spans="1:20" s="99" customFormat="1" ht="15.75" customHeight="1" x14ac:dyDescent="0.25">
      <c r="A180" s="135">
        <f>A179+1</f>
        <v>4</v>
      </c>
      <c r="B180" s="136"/>
      <c r="C180" s="42" t="s">
        <v>401</v>
      </c>
      <c r="D180" s="104">
        <f>(86.45)*10.764</f>
        <v>930.54779999999994</v>
      </c>
      <c r="E180" s="104">
        <f>(1.36)*10.764</f>
        <v>14.63904</v>
      </c>
      <c r="F180" s="42">
        <f>D180+E180</f>
        <v>945.18683999999996</v>
      </c>
      <c r="G180" s="42">
        <v>0</v>
      </c>
      <c r="H180" s="42">
        <f>F180*(($H$152)+1)+(IF(G180&lt;101,G180,IF(G180&lt;201,G180/2,IF(G180&lt;=301,G180/3,G180/4))))</f>
        <v>1417.78026</v>
      </c>
      <c r="I180" s="36"/>
      <c r="L180" s="137"/>
      <c r="M180" s="137"/>
      <c r="N180" s="36"/>
      <c r="T180" s="21"/>
    </row>
    <row r="181" spans="1:20" s="99" customFormat="1" ht="15.75" customHeight="1" x14ac:dyDescent="0.25">
      <c r="A181" s="135">
        <f t="shared" ref="A181:A184" si="16">A180+1</f>
        <v>5</v>
      </c>
      <c r="B181" s="136"/>
      <c r="C181" s="305" t="s">
        <v>406</v>
      </c>
      <c r="D181" s="306"/>
      <c r="E181" s="306"/>
      <c r="F181" s="306"/>
      <c r="G181" s="306"/>
      <c r="H181" s="307"/>
      <c r="I181" s="36"/>
      <c r="L181" s="137"/>
      <c r="M181" s="137"/>
      <c r="N181" s="36"/>
      <c r="T181" s="21"/>
    </row>
    <row r="182" spans="1:20" s="99" customFormat="1" ht="15.75" customHeight="1" x14ac:dyDescent="0.25">
      <c r="A182" s="135">
        <f t="shared" si="16"/>
        <v>6</v>
      </c>
      <c r="B182" s="136"/>
      <c r="C182" s="308"/>
      <c r="D182" s="309"/>
      <c r="E182" s="309"/>
      <c r="F182" s="309"/>
      <c r="G182" s="309"/>
      <c r="H182" s="310"/>
      <c r="I182" s="106"/>
      <c r="L182" s="137"/>
      <c r="M182" s="137"/>
      <c r="N182" s="36"/>
      <c r="T182" s="21"/>
    </row>
    <row r="183" spans="1:20" s="37" customFormat="1" x14ac:dyDescent="0.25">
      <c r="A183" s="135">
        <f t="shared" si="16"/>
        <v>7</v>
      </c>
      <c r="B183" s="136"/>
      <c r="C183" s="311"/>
      <c r="D183" s="312"/>
      <c r="E183" s="312"/>
      <c r="F183" s="312"/>
      <c r="G183" s="312"/>
      <c r="H183" s="313"/>
      <c r="I183" s="36"/>
      <c r="L183" s="137"/>
      <c r="M183" s="137"/>
    </row>
    <row r="184" spans="1:20" s="37" customFormat="1" x14ac:dyDescent="0.25">
      <c r="A184" s="135">
        <f t="shared" si="16"/>
        <v>8</v>
      </c>
      <c r="B184" s="136"/>
      <c r="C184" s="98" t="s">
        <v>435</v>
      </c>
      <c r="D184" s="98">
        <f>(126.33)*10.764</f>
        <v>1359.81612</v>
      </c>
      <c r="E184" s="104">
        <f>(1.36)*10.764</f>
        <v>14.63904</v>
      </c>
      <c r="F184" s="98">
        <f t="shared" ref="F184" si="17">D184+E184</f>
        <v>1374.45516</v>
      </c>
      <c r="G184" s="98">
        <v>0</v>
      </c>
      <c r="H184" s="98">
        <f>F184*(($H$152)+1)+(IF(G184&lt;101,G184,IF(G184&lt;201,G184/2,IF(G184&lt;=301,G184/3,G184/4))))</f>
        <v>2061.6827400000002</v>
      </c>
      <c r="I184" s="119">
        <f>44600000/H184</f>
        <v>21632.814367937131</v>
      </c>
      <c r="N184" s="36"/>
    </row>
    <row r="185" spans="1:20" s="35" customFormat="1" x14ac:dyDescent="0.25">
      <c r="A185" s="191" t="s">
        <v>64</v>
      </c>
      <c r="B185" s="191"/>
      <c r="C185" s="191"/>
      <c r="D185" s="191"/>
      <c r="E185" s="191"/>
      <c r="F185" s="191"/>
      <c r="G185" s="191"/>
      <c r="H185" s="191"/>
      <c r="T185" s="37"/>
    </row>
    <row r="186" spans="1:20" s="35" customFormat="1" x14ac:dyDescent="0.25">
      <c r="A186" s="46" t="s">
        <v>149</v>
      </c>
      <c r="B186" s="147" t="s">
        <v>440</v>
      </c>
      <c r="C186" s="148"/>
      <c r="D186" s="148"/>
      <c r="E186" s="148"/>
      <c r="F186" s="148"/>
      <c r="G186" s="148"/>
      <c r="H186" s="149"/>
      <c r="T186" s="37"/>
    </row>
    <row r="187" spans="1:20" s="35" customFormat="1" ht="16.5" customHeight="1" x14ac:dyDescent="0.25">
      <c r="A187" s="46" t="s">
        <v>149</v>
      </c>
      <c r="B187" s="147" t="str">
        <f>(IF(H151="Saleable area Loading :","We have considered Saleable area of Flats as per our Calculation.","We considered Saleable area of Flat as per Builder area Sheet."))</f>
        <v>We have considered Saleable area of Flats as per our Calculation.</v>
      </c>
      <c r="C187" s="148"/>
      <c r="D187" s="148"/>
      <c r="E187" s="148"/>
      <c r="F187" s="148"/>
      <c r="G187" s="148"/>
      <c r="H187" s="149"/>
      <c r="T187" s="37"/>
    </row>
    <row r="188" spans="1:20" s="35" customFormat="1" hidden="1" x14ac:dyDescent="0.25">
      <c r="A188" s="46" t="s">
        <v>149</v>
      </c>
      <c r="B188" s="132" t="str">
        <f>(IF(H143="Saleable area Loading :","We have considered Saleable area of Commercial as per our Calculation.","We considered Saleable area of Commercial as per Builder area Sheet."))</f>
        <v>We have considered Saleable area of Commercial as per our Calculation.</v>
      </c>
      <c r="C188" s="133"/>
      <c r="D188" s="133"/>
      <c r="E188" s="133"/>
      <c r="F188" s="133"/>
      <c r="G188" s="133"/>
      <c r="H188" s="134"/>
      <c r="T188" s="37"/>
    </row>
    <row r="189" spans="1:20" s="35" customFormat="1" x14ac:dyDescent="0.25">
      <c r="A189" s="46" t="s">
        <v>149</v>
      </c>
      <c r="B189" s="194" t="s">
        <v>119</v>
      </c>
      <c r="C189" s="195"/>
      <c r="D189" s="195"/>
      <c r="E189" s="195"/>
      <c r="F189" s="195"/>
      <c r="G189" s="195"/>
      <c r="H189" s="196"/>
    </row>
    <row r="190" spans="1:20" s="35" customFormat="1" x14ac:dyDescent="0.25">
      <c r="A190" s="46" t="s">
        <v>149</v>
      </c>
      <c r="B190" s="144" t="s">
        <v>436</v>
      </c>
      <c r="C190" s="145"/>
      <c r="D190" s="145"/>
      <c r="E190" s="145"/>
      <c r="F190" s="145"/>
      <c r="G190" s="145"/>
      <c r="H190" s="146"/>
    </row>
    <row r="191" spans="1:20" s="35" customFormat="1" x14ac:dyDescent="0.25">
      <c r="A191" s="46" t="s">
        <v>149</v>
      </c>
      <c r="B191" s="194" t="s">
        <v>148</v>
      </c>
      <c r="C191" s="195"/>
      <c r="D191" s="195"/>
      <c r="E191" s="195"/>
      <c r="F191" s="195"/>
      <c r="G191" s="195"/>
      <c r="H191" s="196"/>
    </row>
    <row r="192" spans="1:20" s="35" customFormat="1" x14ac:dyDescent="0.25">
      <c r="A192" s="46" t="s">
        <v>149</v>
      </c>
      <c r="B192" s="194" t="s">
        <v>120</v>
      </c>
      <c r="C192" s="195"/>
      <c r="D192" s="195"/>
      <c r="E192" s="195"/>
      <c r="F192" s="195"/>
      <c r="G192" s="195"/>
      <c r="H192" s="196"/>
    </row>
    <row r="193" spans="1:20" s="35" customFormat="1" ht="30.75" customHeight="1" x14ac:dyDescent="0.25">
      <c r="A193" s="46" t="s">
        <v>149</v>
      </c>
      <c r="B193" s="144" t="s">
        <v>150</v>
      </c>
      <c r="C193" s="145"/>
      <c r="D193" s="145"/>
      <c r="E193" s="145"/>
      <c r="F193" s="145"/>
      <c r="G193" s="145"/>
      <c r="H193" s="146"/>
      <c r="J193" s="130">
        <f>974*13000+250000*2+100000+35000</f>
        <v>13297000</v>
      </c>
    </row>
    <row r="194" spans="1:20" s="35" customFormat="1" x14ac:dyDescent="0.25">
      <c r="A194" s="46" t="s">
        <v>149</v>
      </c>
      <c r="B194" s="194" t="s">
        <v>121</v>
      </c>
      <c r="C194" s="195"/>
      <c r="D194" s="195"/>
      <c r="E194" s="195"/>
      <c r="F194" s="195"/>
      <c r="G194" s="195"/>
      <c r="H194" s="196"/>
    </row>
    <row r="195" spans="1:20" s="35" customFormat="1" x14ac:dyDescent="0.25">
      <c r="A195" s="117" t="s">
        <v>149</v>
      </c>
      <c r="B195" s="144" t="s">
        <v>443</v>
      </c>
      <c r="C195" s="145"/>
      <c r="D195" s="145"/>
      <c r="E195" s="145"/>
      <c r="F195" s="145"/>
      <c r="G195" s="145"/>
      <c r="H195" s="146"/>
    </row>
    <row r="196" spans="1:20" s="35" customFormat="1" ht="18" customHeight="1" x14ac:dyDescent="0.25">
      <c r="A196" s="131" t="s">
        <v>149</v>
      </c>
      <c r="B196" s="147" t="s">
        <v>442</v>
      </c>
      <c r="C196" s="148"/>
      <c r="D196" s="148"/>
      <c r="E196" s="148"/>
      <c r="F196" s="148"/>
      <c r="G196" s="148"/>
      <c r="H196" s="149"/>
    </row>
    <row r="197" spans="1:20" s="35" customFormat="1" ht="33.75" customHeight="1" x14ac:dyDescent="0.25">
      <c r="A197" s="131" t="s">
        <v>149</v>
      </c>
      <c r="B197" s="147" t="s">
        <v>441</v>
      </c>
      <c r="C197" s="148"/>
      <c r="D197" s="148"/>
      <c r="E197" s="148"/>
      <c r="F197" s="148"/>
      <c r="G197" s="148"/>
      <c r="H197" s="149"/>
    </row>
    <row r="198" spans="1:20" hidden="1" x14ac:dyDescent="0.25">
      <c r="A198" s="97" t="s">
        <v>149</v>
      </c>
      <c r="B198" s="132" t="s">
        <v>345</v>
      </c>
      <c r="C198" s="133"/>
      <c r="D198" s="133"/>
      <c r="E198" s="133"/>
      <c r="F198" s="133"/>
      <c r="G198" s="133"/>
      <c r="H198" s="134"/>
      <c r="T198" s="35"/>
    </row>
    <row r="199" spans="1:20" hidden="1" x14ac:dyDescent="0.25">
      <c r="A199" s="46" t="s">
        <v>149</v>
      </c>
      <c r="B199" s="132" t="s">
        <v>415</v>
      </c>
      <c r="C199" s="133"/>
      <c r="D199" s="133"/>
      <c r="E199" s="133"/>
      <c r="F199" s="133"/>
      <c r="G199" s="133"/>
      <c r="H199" s="134"/>
      <c r="T199" s="35"/>
    </row>
    <row r="200" spans="1:20" ht="15.75" hidden="1" customHeight="1" x14ac:dyDescent="0.25">
      <c r="A200" s="46" t="s">
        <v>149</v>
      </c>
      <c r="B200" s="132" t="str">
        <f ca="1">IF(G52&gt;EDATE(E3,-48),"NO REMARK FOR CC","REMARK FOR CC")</f>
        <v>NO REMARK FOR CC</v>
      </c>
      <c r="C200" s="133"/>
      <c r="D200" s="133"/>
      <c r="E200" s="133"/>
      <c r="F200" s="133"/>
      <c r="G200" s="133"/>
      <c r="H200" s="134"/>
      <c r="T200" s="35"/>
    </row>
    <row r="201" spans="1:20" hidden="1" x14ac:dyDescent="0.25">
      <c r="A201" s="46" t="s">
        <v>149</v>
      </c>
      <c r="B201" s="132" t="s">
        <v>346</v>
      </c>
      <c r="C201" s="133"/>
      <c r="D201" s="133"/>
      <c r="E201" s="133"/>
      <c r="F201" s="133"/>
      <c r="G201" s="133"/>
      <c r="H201" s="134"/>
      <c r="T201" s="35"/>
    </row>
    <row r="202" spans="1:20" x14ac:dyDescent="0.25">
      <c r="A202" s="208" t="s">
        <v>57</v>
      </c>
      <c r="B202" s="208"/>
      <c r="C202" s="208"/>
      <c r="D202" s="208"/>
      <c r="E202" s="208"/>
      <c r="F202" s="208"/>
      <c r="G202" s="208"/>
      <c r="H202" s="208"/>
      <c r="T202" s="35"/>
    </row>
    <row r="203" spans="1:20" x14ac:dyDescent="0.25">
      <c r="A203" s="165" t="s">
        <v>58</v>
      </c>
      <c r="B203" s="165"/>
      <c r="C203" s="165"/>
      <c r="D203" s="165"/>
      <c r="E203" s="165"/>
      <c r="F203" s="165"/>
      <c r="G203" s="165"/>
      <c r="H203" s="165"/>
      <c r="T203" s="35"/>
    </row>
    <row r="204" spans="1:20" x14ac:dyDescent="0.25">
      <c r="A204" s="182" t="s">
        <v>59</v>
      </c>
      <c r="B204" s="182"/>
      <c r="C204" s="182"/>
      <c r="D204" s="182"/>
      <c r="E204" s="182"/>
      <c r="F204" s="182"/>
      <c r="G204" s="182"/>
      <c r="H204" s="182"/>
    </row>
    <row r="205" spans="1:20" x14ac:dyDescent="0.25">
      <c r="A205" s="165" t="s">
        <v>60</v>
      </c>
      <c r="B205" s="165"/>
      <c r="C205" s="165"/>
      <c r="D205" s="165"/>
      <c r="E205" s="165"/>
      <c r="F205" s="165"/>
      <c r="G205" s="165"/>
      <c r="H205" s="165"/>
    </row>
    <row r="206" spans="1:20" x14ac:dyDescent="0.25">
      <c r="A206" s="165" t="s">
        <v>61</v>
      </c>
      <c r="B206" s="165"/>
      <c r="C206" s="165"/>
      <c r="D206" s="165"/>
      <c r="E206" s="165"/>
      <c r="F206" s="165"/>
      <c r="G206" s="165"/>
      <c r="H206" s="165"/>
    </row>
    <row r="207" spans="1:20" x14ac:dyDescent="0.25">
      <c r="A207" s="165" t="s">
        <v>122</v>
      </c>
      <c r="B207" s="165"/>
      <c r="C207" s="165"/>
      <c r="D207" s="165"/>
      <c r="E207" s="165"/>
      <c r="F207" s="165"/>
      <c r="G207" s="165"/>
      <c r="H207" s="165"/>
    </row>
    <row r="208" spans="1:20" x14ac:dyDescent="0.25">
      <c r="A208" s="168" t="s">
        <v>123</v>
      </c>
      <c r="B208" s="168"/>
      <c r="C208" s="168"/>
      <c r="D208" s="168"/>
      <c r="E208" s="168"/>
      <c r="F208" s="168"/>
      <c r="G208" s="168"/>
      <c r="H208" s="168"/>
    </row>
    <row r="209" spans="1:8" x14ac:dyDescent="0.25">
      <c r="A209" s="204" t="s">
        <v>73</v>
      </c>
      <c r="B209" s="204"/>
      <c r="C209" s="204" t="s">
        <v>437</v>
      </c>
      <c r="D209" s="204"/>
      <c r="E209" s="204" t="s">
        <v>102</v>
      </c>
      <c r="F209" s="204"/>
      <c r="G209" s="205" t="s">
        <v>414</v>
      </c>
      <c r="H209" s="205"/>
    </row>
    <row r="210" spans="1:8" x14ac:dyDescent="0.25">
      <c r="A210" s="203" t="s">
        <v>75</v>
      </c>
      <c r="B210" s="203"/>
      <c r="C210" s="203"/>
      <c r="D210" s="203"/>
      <c r="E210" s="203"/>
      <c r="F210" s="203"/>
      <c r="G210" s="203"/>
      <c r="H210" s="203"/>
    </row>
    <row r="211" spans="1:8" x14ac:dyDescent="0.25">
      <c r="A211" s="203"/>
      <c r="B211" s="203"/>
      <c r="C211" s="203"/>
      <c r="D211" s="203"/>
      <c r="E211" s="203"/>
      <c r="F211" s="203"/>
      <c r="G211" s="203"/>
      <c r="H211" s="203"/>
    </row>
    <row r="212" spans="1:8" x14ac:dyDescent="0.25">
      <c r="A212" s="203"/>
      <c r="B212" s="203"/>
      <c r="C212" s="203"/>
      <c r="D212" s="203"/>
      <c r="E212" s="203"/>
      <c r="F212" s="203"/>
      <c r="G212" s="203"/>
      <c r="H212" s="203"/>
    </row>
    <row r="213" spans="1:8" ht="15" customHeight="1" x14ac:dyDescent="0.25">
      <c r="A213" s="203"/>
      <c r="B213" s="203"/>
      <c r="C213" s="203"/>
      <c r="D213" s="203"/>
      <c r="E213" s="203"/>
      <c r="F213" s="203"/>
      <c r="G213" s="203"/>
      <c r="H213" s="203"/>
    </row>
    <row r="214" spans="1:8" x14ac:dyDescent="0.25">
      <c r="A214" s="38" t="s">
        <v>62</v>
      </c>
      <c r="B214" s="39"/>
      <c r="C214" s="39"/>
      <c r="D214" s="38" t="str">
        <f>E9</f>
        <v>Siddha Sky Phase V</v>
      </c>
      <c r="F214" s="39"/>
      <c r="G214" s="39"/>
      <c r="H214" s="39"/>
    </row>
    <row r="215" spans="1:8" x14ac:dyDescent="0.25">
      <c r="A215" s="39"/>
      <c r="B215" s="39"/>
      <c r="C215" s="39"/>
      <c r="D215" s="39"/>
      <c r="E215" s="39"/>
      <c r="F215" s="39"/>
      <c r="G215" s="39"/>
      <c r="H215" s="39"/>
    </row>
    <row r="216" spans="1:8" x14ac:dyDescent="0.25">
      <c r="A216" s="39"/>
      <c r="B216" s="39"/>
      <c r="C216" s="39"/>
      <c r="D216" s="39"/>
      <c r="E216" s="39"/>
      <c r="F216" s="39"/>
      <c r="G216" s="39"/>
      <c r="H216" s="39"/>
    </row>
    <row r="258" spans="1:13" x14ac:dyDescent="0.25">
      <c r="A258" s="41" t="s">
        <v>160</v>
      </c>
    </row>
    <row r="270" spans="1:13" x14ac:dyDescent="0.25">
      <c r="K270" s="111"/>
      <c r="L270" s="111"/>
      <c r="M270" s="111"/>
    </row>
    <row r="302" spans="1:1" x14ac:dyDescent="0.25">
      <c r="A302" s="41" t="s">
        <v>63</v>
      </c>
    </row>
  </sheetData>
  <mergeCells count="376">
    <mergeCell ref="B201:H201"/>
    <mergeCell ref="A117:B117"/>
    <mergeCell ref="C143:C144"/>
    <mergeCell ref="B151:B152"/>
    <mergeCell ref="B188:H188"/>
    <mergeCell ref="A93:B93"/>
    <mergeCell ref="E93:F93"/>
    <mergeCell ref="E94:F103"/>
    <mergeCell ref="A104:B104"/>
    <mergeCell ref="C104:H104"/>
    <mergeCell ref="A106:B106"/>
    <mergeCell ref="C106:H106"/>
    <mergeCell ref="A107:B107"/>
    <mergeCell ref="E107:F107"/>
    <mergeCell ref="G107:H107"/>
    <mergeCell ref="A108:B108"/>
    <mergeCell ref="E108:F117"/>
    <mergeCell ref="G108:H117"/>
    <mergeCell ref="A109:B109"/>
    <mergeCell ref="A110:B110"/>
    <mergeCell ref="A153:H153"/>
    <mergeCell ref="A154:H154"/>
    <mergeCell ref="A113:B113"/>
    <mergeCell ref="A114:B114"/>
    <mergeCell ref="B197:H197"/>
    <mergeCell ref="A123:E123"/>
    <mergeCell ref="A139:B139"/>
    <mergeCell ref="E139:F139"/>
    <mergeCell ref="A128:E128"/>
    <mergeCell ref="C134:D134"/>
    <mergeCell ref="E134:F134"/>
    <mergeCell ref="G134:H134"/>
    <mergeCell ref="A135:B135"/>
    <mergeCell ref="C135:D135"/>
    <mergeCell ref="E135:F135"/>
    <mergeCell ref="G135:H135"/>
    <mergeCell ref="B194:H194"/>
    <mergeCell ref="B192:H192"/>
    <mergeCell ref="A146:B146"/>
    <mergeCell ref="A179:B179"/>
    <mergeCell ref="L177:M177"/>
    <mergeCell ref="C140:D140"/>
    <mergeCell ref="B191:H191"/>
    <mergeCell ref="D143:D144"/>
    <mergeCell ref="G139:H139"/>
    <mergeCell ref="A176:H176"/>
    <mergeCell ref="A157:H157"/>
    <mergeCell ref="A158:H158"/>
    <mergeCell ref="A180:B180"/>
    <mergeCell ref="L179:M179"/>
    <mergeCell ref="A175:B175"/>
    <mergeCell ref="C181:H183"/>
    <mergeCell ref="C159:H159"/>
    <mergeCell ref="C160:H161"/>
    <mergeCell ref="C162:H162"/>
    <mergeCell ref="A40:B40"/>
    <mergeCell ref="C40:H40"/>
    <mergeCell ref="F143:F144"/>
    <mergeCell ref="C133:D133"/>
    <mergeCell ref="E133:F133"/>
    <mergeCell ref="B143:B144"/>
    <mergeCell ref="A143:A144"/>
    <mergeCell ref="C151:C152"/>
    <mergeCell ref="G151:G152"/>
    <mergeCell ref="G140:H140"/>
    <mergeCell ref="A112:B112"/>
    <mergeCell ref="A115:B115"/>
    <mergeCell ref="C53:H53"/>
    <mergeCell ref="A63:C63"/>
    <mergeCell ref="A69:C69"/>
    <mergeCell ref="A70:C70"/>
    <mergeCell ref="D69:H69"/>
    <mergeCell ref="A64:C64"/>
    <mergeCell ref="G59:H59"/>
    <mergeCell ref="A79:B79"/>
    <mergeCell ref="D70:H70"/>
    <mergeCell ref="E46:H46"/>
    <mergeCell ref="E47:H47"/>
    <mergeCell ref="C57:H57"/>
    <mergeCell ref="A38:H38"/>
    <mergeCell ref="L149:M149"/>
    <mergeCell ref="L148:M148"/>
    <mergeCell ref="L147:M147"/>
    <mergeCell ref="L146:M146"/>
    <mergeCell ref="A87:B87"/>
    <mergeCell ref="C138:D138"/>
    <mergeCell ref="E138:F138"/>
    <mergeCell ref="G138:H138"/>
    <mergeCell ref="A119:E119"/>
    <mergeCell ref="A90:B90"/>
    <mergeCell ref="C90:H90"/>
    <mergeCell ref="A145:H145"/>
    <mergeCell ref="E143:E144"/>
    <mergeCell ref="A94:B94"/>
    <mergeCell ref="C92:H92"/>
    <mergeCell ref="A95:B95"/>
    <mergeCell ref="A96:B96"/>
    <mergeCell ref="G94:H103"/>
    <mergeCell ref="A97:B97"/>
    <mergeCell ref="F120:H120"/>
    <mergeCell ref="A120:E120"/>
    <mergeCell ref="E140:F140"/>
    <mergeCell ref="A92:B92"/>
    <mergeCell ref="E42:H42"/>
    <mergeCell ref="A41:H41"/>
    <mergeCell ref="A46:D46"/>
    <mergeCell ref="A47:D47"/>
    <mergeCell ref="A44:D44"/>
    <mergeCell ref="E44:H44"/>
    <mergeCell ref="E45:H45"/>
    <mergeCell ref="G52:H52"/>
    <mergeCell ref="A48:H48"/>
    <mergeCell ref="E43:H43"/>
    <mergeCell ref="A43:D43"/>
    <mergeCell ref="A58:B60"/>
    <mergeCell ref="C60:H60"/>
    <mergeCell ref="C58:E59"/>
    <mergeCell ref="C51:E51"/>
    <mergeCell ref="C50:E50"/>
    <mergeCell ref="G50:H50"/>
    <mergeCell ref="A51:B51"/>
    <mergeCell ref="G56:H56"/>
    <mergeCell ref="G58:H58"/>
    <mergeCell ref="G51:H51"/>
    <mergeCell ref="C55:H55"/>
    <mergeCell ref="A52:B53"/>
    <mergeCell ref="C54:E54"/>
    <mergeCell ref="C52:E52"/>
    <mergeCell ref="C56:E56"/>
    <mergeCell ref="G54:H54"/>
    <mergeCell ref="A56:B57"/>
    <mergeCell ref="C35:E35"/>
    <mergeCell ref="F34:H34"/>
    <mergeCell ref="F35:H35"/>
    <mergeCell ref="A78:B78"/>
    <mergeCell ref="A76:B76"/>
    <mergeCell ref="C76:H76"/>
    <mergeCell ref="A71:C71"/>
    <mergeCell ref="D71:H71"/>
    <mergeCell ref="C78:H78"/>
    <mergeCell ref="A72:C72"/>
    <mergeCell ref="D72:H72"/>
    <mergeCell ref="A75:C75"/>
    <mergeCell ref="D75:H75"/>
    <mergeCell ref="A74:C74"/>
    <mergeCell ref="D74:H74"/>
    <mergeCell ref="D65:H65"/>
    <mergeCell ref="A65:C65"/>
    <mergeCell ref="A45:D45"/>
    <mergeCell ref="A49:B49"/>
    <mergeCell ref="C49:H49"/>
    <mergeCell ref="A66:C68"/>
    <mergeCell ref="D66:H66"/>
    <mergeCell ref="D67:H67"/>
    <mergeCell ref="A62:H62"/>
    <mergeCell ref="A37:B37"/>
    <mergeCell ref="C37:E37"/>
    <mergeCell ref="A42:D42"/>
    <mergeCell ref="F37:H37"/>
    <mergeCell ref="A39:B39"/>
    <mergeCell ref="C39:H39"/>
    <mergeCell ref="A25:D25"/>
    <mergeCell ref="E25:H25"/>
    <mergeCell ref="A30:D30"/>
    <mergeCell ref="E30:H30"/>
    <mergeCell ref="A27:D27"/>
    <mergeCell ref="A36:B36"/>
    <mergeCell ref="C36:E36"/>
    <mergeCell ref="A31:D31"/>
    <mergeCell ref="E31:H31"/>
    <mergeCell ref="A32:D32"/>
    <mergeCell ref="E32:H32"/>
    <mergeCell ref="C33:E33"/>
    <mergeCell ref="F36:H36"/>
    <mergeCell ref="F33:H33"/>
    <mergeCell ref="A34:B34"/>
    <mergeCell ref="A33:B33"/>
    <mergeCell ref="C34:E34"/>
    <mergeCell ref="A35:B35"/>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A28:D28"/>
    <mergeCell ref="E28:H28"/>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E14:H14"/>
    <mergeCell ref="A15:D15"/>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11:D11"/>
    <mergeCell ref="E11:H11"/>
    <mergeCell ref="A23:D24"/>
    <mergeCell ref="A126:E126"/>
    <mergeCell ref="A210:H213"/>
    <mergeCell ref="A209:B209"/>
    <mergeCell ref="E209:F209"/>
    <mergeCell ref="C209:D209"/>
    <mergeCell ref="G209:H209"/>
    <mergeCell ref="A131:H131"/>
    <mergeCell ref="A129:E129"/>
    <mergeCell ref="F129:H129"/>
    <mergeCell ref="A130:E130"/>
    <mergeCell ref="F130:H130"/>
    <mergeCell ref="A138:B138"/>
    <mergeCell ref="A133:B133"/>
    <mergeCell ref="A205:H205"/>
    <mergeCell ref="A136:H136"/>
    <mergeCell ref="A208:H208"/>
    <mergeCell ref="A206:H206"/>
    <mergeCell ref="A202:H202"/>
    <mergeCell ref="G137:H137"/>
    <mergeCell ref="A140:B140"/>
    <mergeCell ref="A102:B102"/>
    <mergeCell ref="A121:E121"/>
    <mergeCell ref="A118:E118"/>
    <mergeCell ref="G143:G144"/>
    <mergeCell ref="B186:H186"/>
    <mergeCell ref="B187:H187"/>
    <mergeCell ref="B189:H189"/>
    <mergeCell ref="F118:H118"/>
    <mergeCell ref="F123:H123"/>
    <mergeCell ref="A177:B177"/>
    <mergeCell ref="A149:B149"/>
    <mergeCell ref="A148:B148"/>
    <mergeCell ref="F124:H124"/>
    <mergeCell ref="A155:H155"/>
    <mergeCell ref="A141:H141"/>
    <mergeCell ref="A151:A152"/>
    <mergeCell ref="F151:F152"/>
    <mergeCell ref="A159:B159"/>
    <mergeCell ref="A160:B160"/>
    <mergeCell ref="A161:B161"/>
    <mergeCell ref="A162:B162"/>
    <mergeCell ref="A181:B181"/>
    <mergeCell ref="A171:B171"/>
    <mergeCell ref="A172:B172"/>
    <mergeCell ref="A173:B173"/>
    <mergeCell ref="A174:B174"/>
    <mergeCell ref="A178:B178"/>
    <mergeCell ref="A207:H207"/>
    <mergeCell ref="A204:H204"/>
    <mergeCell ref="A137:B137"/>
    <mergeCell ref="D151:D152"/>
    <mergeCell ref="E151:E152"/>
    <mergeCell ref="A98:B98"/>
    <mergeCell ref="A100:B100"/>
    <mergeCell ref="F119:H119"/>
    <mergeCell ref="G133:H133"/>
    <mergeCell ref="A103:B103"/>
    <mergeCell ref="F125:H125"/>
    <mergeCell ref="C132:D132"/>
    <mergeCell ref="C139:D139"/>
    <mergeCell ref="A156:H156"/>
    <mergeCell ref="B190:H190"/>
    <mergeCell ref="B200:H200"/>
    <mergeCell ref="B199:H199"/>
    <mergeCell ref="F121:H121"/>
    <mergeCell ref="A125:E125"/>
    <mergeCell ref="A203:H203"/>
    <mergeCell ref="A124:E124"/>
    <mergeCell ref="A150:H150"/>
    <mergeCell ref="A185:H185"/>
    <mergeCell ref="B193:H193"/>
    <mergeCell ref="I15:P15"/>
    <mergeCell ref="F128:H128"/>
    <mergeCell ref="F126:H126"/>
    <mergeCell ref="A142:H142"/>
    <mergeCell ref="G132:H132"/>
    <mergeCell ref="A127:E127"/>
    <mergeCell ref="A147:B147"/>
    <mergeCell ref="A61:B61"/>
    <mergeCell ref="C61:E61"/>
    <mergeCell ref="D63:H63"/>
    <mergeCell ref="F127:H127"/>
    <mergeCell ref="E132:F132"/>
    <mergeCell ref="A132:B132"/>
    <mergeCell ref="A134:B134"/>
    <mergeCell ref="C137:D137"/>
    <mergeCell ref="D73:H73"/>
    <mergeCell ref="D64:H64"/>
    <mergeCell ref="G61:H61"/>
    <mergeCell ref="A54:B55"/>
    <mergeCell ref="A85:B85"/>
    <mergeCell ref="A50:B50"/>
    <mergeCell ref="D68:H68"/>
    <mergeCell ref="A73:C73"/>
    <mergeCell ref="A111:B111"/>
    <mergeCell ref="A80:B80"/>
    <mergeCell ref="G79:H79"/>
    <mergeCell ref="A88:B88"/>
    <mergeCell ref="A89:B89"/>
    <mergeCell ref="A84:B84"/>
    <mergeCell ref="A83:B83"/>
    <mergeCell ref="E79:F79"/>
    <mergeCell ref="A81:B81"/>
    <mergeCell ref="E137:F137"/>
    <mergeCell ref="A86:B86"/>
    <mergeCell ref="A116:B116"/>
    <mergeCell ref="A82:B82"/>
    <mergeCell ref="E80:F89"/>
    <mergeCell ref="G80:H89"/>
    <mergeCell ref="A99:B99"/>
    <mergeCell ref="A101:B101"/>
    <mergeCell ref="G93:H93"/>
    <mergeCell ref="F122:H122"/>
    <mergeCell ref="A122:E122"/>
    <mergeCell ref="B198:H198"/>
    <mergeCell ref="A182:B182"/>
    <mergeCell ref="L180:M180"/>
    <mergeCell ref="A183:B183"/>
    <mergeCell ref="L181:M181"/>
    <mergeCell ref="A184:B184"/>
    <mergeCell ref="L182:M182"/>
    <mergeCell ref="A163:B163"/>
    <mergeCell ref="L161:M161"/>
    <mergeCell ref="A164:B164"/>
    <mergeCell ref="L162:M162"/>
    <mergeCell ref="A165:B165"/>
    <mergeCell ref="L163:M163"/>
    <mergeCell ref="A166:B166"/>
    <mergeCell ref="A167:H167"/>
    <mergeCell ref="A168:B168"/>
    <mergeCell ref="L166:M166"/>
    <mergeCell ref="A169:B169"/>
    <mergeCell ref="L167:M167"/>
    <mergeCell ref="A170:B170"/>
    <mergeCell ref="B195:H195"/>
    <mergeCell ref="B196:H196"/>
    <mergeCell ref="L183:M183"/>
    <mergeCell ref="L178:M178"/>
  </mergeCells>
  <dataValidations count="18">
    <dataValidation type="list" allowBlank="1" showInputMessage="1" showErrorMessage="1" sqref="E5:H5">
      <formula1>OFFSET($L$3,1,MATCH($E4,$L$3:$P$3,0)-1,10,1)</formula1>
    </dataValidation>
    <dataValidation type="list" allowBlank="1" showInputMessage="1" showErrorMessage="1" sqref="A17:B17">
      <formula1>"C.S No,Survey No,Plot No,Gut No,FP No,"</formula1>
    </dataValidation>
    <dataValidation type="list" allowBlank="1" showInputMessage="1" showErrorMessage="1" sqref="G20:H20">
      <formula1>$S$13:$W$13</formula1>
    </dataValidation>
    <dataValidation type="list" allowBlank="1" showInputMessage="1" showErrorMessage="1" sqref="E143:E144">
      <formula1>"Attached Loft area,Attached Otla area,Attached Mezzanine area"</formula1>
    </dataValidation>
    <dataValidation type="list" allowBlank="1" showInputMessage="1" showErrorMessage="1" sqref="G209:H209">
      <formula1>"Kunal Kadam,Pranita Mhatre,Shruti Fule,Pooja Kawale,Gaurav Panchal,Shruti Tathare, Dipti Gothawade,Saurav Panse, Sachin Sawant"</formula1>
    </dataValidation>
    <dataValidation type="list" allowBlank="1" showInputMessage="1" showErrorMessage="1" sqref="F118:H118">
      <formula1>"On Saleable Area,On Builtup Area,On Carpet Area,On Plot Area"</formula1>
    </dataValidation>
    <dataValidation type="list" allowBlank="1" showInputMessage="1" showErrorMessage="1" sqref="F129:H129">
      <formula1>OFFSET($S$118,1,MATCH($G20,$S$118:$W$118,0)-1,15,1)</formula1>
    </dataValidation>
    <dataValidation type="list" allowBlank="1" showInputMessage="1" showErrorMessage="1" sqref="B143:B144">
      <formula1>"Shop No. (Sale Plan),Sale / Rehab,Sale / Mhada"</formula1>
    </dataValidation>
    <dataValidation type="list" allowBlank="1" showInputMessage="1" showErrorMessage="1" sqref="B151:B152">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51:E152">
      <formula1>"Fungible area,Balcony Area,Utility Area,Cornice Area,AP Area,WS Area"</formula1>
    </dataValidation>
    <dataValidation type="list" allowBlank="1" showInputMessage="1" showErrorMessage="1" sqref="H144 H152">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list" allowBlank="1" showInputMessage="1" showErrorMessage="1" sqref="H143 H151">
      <formula1>"Saleable area Loading :,Builder Saleable Area"</formula1>
    </dataValidation>
    <dataValidation type="list" allowBlank="1" showInputMessage="1" showErrorMessage="1" sqref="D143:D144">
      <formula1>"Carpet area,RERA Carpet area"</formula1>
    </dataValidation>
    <dataValidation type="list" allowBlank="1" showInputMessage="1" showErrorMessage="1" sqref="D151:D152">
      <formula1>"Carpet Area,Carpet Area+Utility,RERA Carpet area"</formula1>
    </dataValidation>
  </dataValidations>
  <hyperlinks>
    <hyperlink ref="K16" r:id="rId1"/>
    <hyperlink ref="C40" r:id="rId2"/>
    <hyperlink ref="I72" r:id="rId3" location="amenities" display="https://siddhasky.in/?cstm_ppc_channel=GoogleSearch&amp;cstm_ppc_campaign=Brand&amp;cstm_ppc_medium=CPC&amp;cstm_ppc_keyword=Sky%20siddha&amp;cstm_ppc_placement=&amp;cstm_ppc_device=c&amp;utm_source=GoogleSearch&amp;utm_medium=cpc&amp;utm_campaign=Brand&amp;srd=685508f0735daf3bb3929308&amp;gad_source=1&amp;gad_campaignid=22578929511&amp;gbraid=0AAAAA_tUN-zaiU90wjEkrjPhpysLe5C0M&amp;gclid=CjwKCAjwy7HEBhBJEiwA5hQNom5NFFLFS5GUuw7GpKUPV6NKgEraW7KJjQ2a4er1NsZbuLbXYahnphoCxycQAvD_BwE#amenities"/>
    <hyperlink ref="K17" r:id="rId4"/>
    <hyperlink ref="I39" r:id="rId5"/>
  </hyperlinks>
  <printOptions horizontalCentered="1"/>
  <pageMargins left="0.39370078740157483" right="0.39370078740157483" top="0.82677165354330717" bottom="0.78740157480314965" header="0.15748031496062992" footer="0.19685039370078741"/>
  <pageSetup paperSize="2" orientation="portrait" r:id="rId6"/>
  <headerFooter>
    <oddHeader>&amp;C&amp;G</oddHeader>
    <oddFooter>&amp;L&amp;"Times New Roman,Bold"&amp;12Ref No: &amp;F&amp;C&amp;G&amp;R&amp;"Times New Roman,Bold"&amp;12&amp;P</oddFooter>
  </headerFooter>
  <rowBreaks count="5" manualBreakCount="5">
    <brk id="75" max="16383" man="1"/>
    <brk id="166" max="7" man="1"/>
    <brk id="213" max="7" man="1"/>
    <brk id="257" max="7" man="1"/>
    <brk id="301" max="7" man="1"/>
  </rowBreaks>
  <drawing r:id="rId7"/>
  <legacyDrawing r:id="rId8"/>
  <legacyDrawingHF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C10" sqref="C10"/>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328" t="s">
        <v>103</v>
      </c>
      <c r="C3" s="328"/>
      <c r="D3" s="328"/>
      <c r="E3" s="328"/>
      <c r="F3" s="328"/>
      <c r="G3" s="328"/>
      <c r="H3" s="328"/>
    </row>
    <row r="4" spans="1:9" x14ac:dyDescent="0.25">
      <c r="A4" s="2"/>
      <c r="B4" s="3" t="s">
        <v>104</v>
      </c>
      <c r="C4" s="3" t="s">
        <v>105</v>
      </c>
      <c r="D4" s="3" t="s">
        <v>65</v>
      </c>
      <c r="E4" s="3" t="s">
        <v>106</v>
      </c>
      <c r="F4" s="3" t="s">
        <v>112</v>
      </c>
      <c r="G4" s="3" t="s">
        <v>113</v>
      </c>
      <c r="H4" s="3" t="s">
        <v>107</v>
      </c>
    </row>
    <row r="5" spans="1:9" ht="15" customHeight="1" x14ac:dyDescent="0.25">
      <c r="A5" s="2"/>
      <c r="B5" s="5" t="s">
        <v>108</v>
      </c>
      <c r="C5" s="6"/>
      <c r="D5" s="5"/>
      <c r="E5" s="5"/>
      <c r="F5" s="7">
        <f>E5*1.6</f>
        <v>0</v>
      </c>
      <c r="G5" s="7" t="e">
        <f>H5/F5</f>
        <v>#DIV/0!</v>
      </c>
      <c r="H5" s="8"/>
    </row>
    <row r="6" spans="1:9" x14ac:dyDescent="0.25">
      <c r="A6" s="2"/>
      <c r="B6" s="5" t="s">
        <v>108</v>
      </c>
      <c r="C6" s="9"/>
      <c r="D6" s="5"/>
      <c r="E6" s="5"/>
      <c r="F6" s="7">
        <f t="shared" ref="F6:F11" si="0">E6*1.6</f>
        <v>0</v>
      </c>
      <c r="G6" s="7" t="e">
        <f t="shared" ref="G6:G11" si="1">H6/F6</f>
        <v>#DIV/0!</v>
      </c>
      <c r="H6" s="8"/>
    </row>
    <row r="7" spans="1:9" ht="15" customHeight="1" x14ac:dyDescent="0.25">
      <c r="A7" s="2"/>
      <c r="B7" s="5" t="s">
        <v>108</v>
      </c>
      <c r="C7" s="6"/>
      <c r="D7" s="5"/>
      <c r="E7" s="5"/>
      <c r="F7" s="7">
        <f t="shared" si="0"/>
        <v>0</v>
      </c>
      <c r="G7" s="7" t="e">
        <f t="shared" si="1"/>
        <v>#DIV/0!</v>
      </c>
      <c r="H7" s="8"/>
    </row>
    <row r="8" spans="1:9" x14ac:dyDescent="0.25">
      <c r="A8" s="2"/>
      <c r="B8" s="5" t="s">
        <v>108</v>
      </c>
      <c r="C8" s="9"/>
      <c r="D8" s="5"/>
      <c r="E8" s="5"/>
      <c r="F8" s="7">
        <f t="shared" si="0"/>
        <v>0</v>
      </c>
      <c r="G8" s="7" t="e">
        <f t="shared" si="1"/>
        <v>#DIV/0!</v>
      </c>
      <c r="H8" s="8"/>
    </row>
    <row r="9" spans="1:9" ht="15" customHeight="1" x14ac:dyDescent="0.25">
      <c r="A9" s="2"/>
      <c r="B9" s="5" t="s">
        <v>108</v>
      </c>
      <c r="C9" s="9"/>
      <c r="D9" s="5"/>
      <c r="E9" s="5"/>
      <c r="F9" s="7">
        <f t="shared" si="0"/>
        <v>0</v>
      </c>
      <c r="G9" s="7" t="e">
        <f t="shared" si="1"/>
        <v>#DIV/0!</v>
      </c>
      <c r="H9" s="8"/>
    </row>
    <row r="10" spans="1:9" ht="15" customHeight="1" x14ac:dyDescent="0.25">
      <c r="A10" s="2"/>
      <c r="B10" s="5" t="s">
        <v>109</v>
      </c>
      <c r="C10" s="6"/>
      <c r="D10" s="5"/>
      <c r="E10" s="5"/>
      <c r="F10" s="7">
        <f t="shared" si="0"/>
        <v>0</v>
      </c>
      <c r="G10" s="7" t="e">
        <f t="shared" si="1"/>
        <v>#DIV/0!</v>
      </c>
      <c r="H10" s="8"/>
    </row>
    <row r="11" spans="1:9" ht="15" customHeight="1" x14ac:dyDescent="0.25">
      <c r="A11" s="2"/>
      <c r="B11" s="5" t="s">
        <v>109</v>
      </c>
      <c r="C11" s="6"/>
      <c r="D11" s="5"/>
      <c r="E11" s="5"/>
      <c r="F11" s="7">
        <f t="shared" si="0"/>
        <v>0</v>
      </c>
      <c r="G11" s="7" t="e">
        <f t="shared" si="1"/>
        <v>#DIV/0!</v>
      </c>
      <c r="H11" s="8"/>
    </row>
    <row r="12" spans="1:9" ht="15" customHeight="1" x14ac:dyDescent="0.25">
      <c r="A12" s="2"/>
      <c r="B12" s="10" t="s">
        <v>110</v>
      </c>
      <c r="C12" s="5"/>
      <c r="D12" s="5"/>
      <c r="E12" s="5"/>
      <c r="F12" s="5"/>
      <c r="G12" s="11" t="e">
        <f>AVERAGE(G5:G11)</f>
        <v>#DIV/0!</v>
      </c>
      <c r="H12" s="5"/>
    </row>
    <row r="13" spans="1:9" ht="15" customHeight="1" x14ac:dyDescent="0.25">
      <c r="B13" s="10" t="s">
        <v>111</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53"/>
      <c r="C4" s="53" t="s">
        <v>11</v>
      </c>
      <c r="D4" s="54" t="s">
        <v>174</v>
      </c>
      <c r="E4" s="54" t="s">
        <v>184</v>
      </c>
      <c r="F4" s="54" t="s">
        <v>169</v>
      </c>
      <c r="G4" s="54" t="s">
        <v>189</v>
      </c>
      <c r="H4" s="54" t="s">
        <v>207</v>
      </c>
      <c r="J4" t="s">
        <v>189</v>
      </c>
      <c r="K4" t="s">
        <v>205</v>
      </c>
    </row>
    <row r="5" spans="2:11" x14ac:dyDescent="0.25">
      <c r="B5" s="53"/>
      <c r="C5" s="53"/>
      <c r="D5" s="54" t="s">
        <v>175</v>
      </c>
      <c r="E5" s="54" t="s">
        <v>182</v>
      </c>
      <c r="F5" s="54" t="s">
        <v>204</v>
      </c>
      <c r="G5" s="54" t="s">
        <v>190</v>
      </c>
      <c r="H5" s="54" t="s">
        <v>208</v>
      </c>
    </row>
    <row r="6" spans="2:11" x14ac:dyDescent="0.25">
      <c r="B6" s="53"/>
      <c r="C6" s="53"/>
      <c r="D6" s="54" t="s">
        <v>176</v>
      </c>
      <c r="E6" s="54" t="s">
        <v>183</v>
      </c>
      <c r="F6" s="54" t="s">
        <v>205</v>
      </c>
      <c r="G6" s="54" t="s">
        <v>191</v>
      </c>
      <c r="H6" s="54" t="s">
        <v>221</v>
      </c>
    </row>
    <row r="7" spans="2:11" x14ac:dyDescent="0.25">
      <c r="B7" s="53"/>
      <c r="C7" s="53"/>
      <c r="D7" s="54" t="s">
        <v>177</v>
      </c>
      <c r="E7" s="54" t="s">
        <v>185</v>
      </c>
      <c r="F7" s="54" t="s">
        <v>206</v>
      </c>
      <c r="G7" s="54" t="s">
        <v>192</v>
      </c>
      <c r="H7" s="54" t="s">
        <v>209</v>
      </c>
    </row>
    <row r="8" spans="2:11" x14ac:dyDescent="0.25">
      <c r="B8" s="53"/>
      <c r="C8" s="53"/>
      <c r="D8" s="54" t="s">
        <v>178</v>
      </c>
      <c r="E8" s="54" t="s">
        <v>186</v>
      </c>
      <c r="F8" s="54"/>
      <c r="G8" s="54" t="s">
        <v>193</v>
      </c>
      <c r="H8" s="54" t="s">
        <v>210</v>
      </c>
    </row>
    <row r="9" spans="2:11" x14ac:dyDescent="0.25">
      <c r="B9" s="53"/>
      <c r="C9" s="53"/>
      <c r="D9" s="54" t="s">
        <v>179</v>
      </c>
      <c r="E9" s="54" t="s">
        <v>184</v>
      </c>
      <c r="F9" s="54"/>
      <c r="G9" s="54" t="s">
        <v>194</v>
      </c>
      <c r="H9" s="54" t="s">
        <v>211</v>
      </c>
    </row>
    <row r="10" spans="2:11" x14ac:dyDescent="0.25">
      <c r="B10" s="53"/>
      <c r="C10" s="53"/>
      <c r="D10" s="54" t="s">
        <v>180</v>
      </c>
      <c r="E10" s="54" t="s">
        <v>187</v>
      </c>
      <c r="F10" s="54"/>
      <c r="G10" s="54" t="s">
        <v>195</v>
      </c>
      <c r="H10" s="54" t="s">
        <v>212</v>
      </c>
    </row>
    <row r="11" spans="2:11" x14ac:dyDescent="0.25">
      <c r="B11" s="53"/>
      <c r="C11" s="53"/>
      <c r="D11" s="54" t="s">
        <v>181</v>
      </c>
      <c r="E11" s="54" t="s">
        <v>188</v>
      </c>
      <c r="F11" s="54"/>
      <c r="G11" s="54" t="s">
        <v>196</v>
      </c>
      <c r="H11" s="54" t="s">
        <v>213</v>
      </c>
    </row>
    <row r="12" spans="2:11" x14ac:dyDescent="0.25">
      <c r="B12" s="53"/>
      <c r="C12" s="53"/>
      <c r="D12" s="54"/>
      <c r="E12" s="54"/>
      <c r="F12" s="54"/>
      <c r="G12" s="54" t="s">
        <v>197</v>
      </c>
      <c r="H12" s="54" t="s">
        <v>214</v>
      </c>
    </row>
    <row r="13" spans="2:11" x14ac:dyDescent="0.25">
      <c r="B13" s="53"/>
      <c r="C13" s="53"/>
      <c r="D13" s="54"/>
      <c r="E13" s="54"/>
      <c r="F13" s="54"/>
      <c r="G13" s="54" t="s">
        <v>198</v>
      </c>
      <c r="H13" s="54" t="s">
        <v>215</v>
      </c>
    </row>
    <row r="14" spans="2:11" x14ac:dyDescent="0.25">
      <c r="B14" s="53"/>
      <c r="C14" s="53"/>
      <c r="D14" s="54"/>
      <c r="E14" s="54"/>
      <c r="F14" s="54"/>
      <c r="G14" s="54" t="s">
        <v>199</v>
      </c>
      <c r="H14" s="54" t="s">
        <v>216</v>
      </c>
    </row>
    <row r="15" spans="2:11" x14ac:dyDescent="0.25">
      <c r="B15" s="53"/>
      <c r="C15" s="53"/>
      <c r="D15" s="54"/>
      <c r="E15" s="54"/>
      <c r="F15" s="54"/>
      <c r="G15" s="54" t="s">
        <v>200</v>
      </c>
      <c r="H15" s="54" t="s">
        <v>217</v>
      </c>
    </row>
    <row r="16" spans="2:11" x14ac:dyDescent="0.25">
      <c r="B16" s="53"/>
      <c r="C16" s="53"/>
      <c r="D16" s="54"/>
      <c r="E16" s="54"/>
      <c r="F16" s="54"/>
      <c r="G16" s="54" t="s">
        <v>201</v>
      </c>
      <c r="H16" s="54" t="s">
        <v>218</v>
      </c>
    </row>
    <row r="17" spans="2:8" x14ac:dyDescent="0.25">
      <c r="B17" s="53"/>
      <c r="C17" s="53"/>
      <c r="D17" s="54"/>
      <c r="E17" s="54"/>
      <c r="F17" s="54"/>
      <c r="G17" s="54" t="s">
        <v>202</v>
      </c>
      <c r="H17" s="54" t="s">
        <v>219</v>
      </c>
    </row>
    <row r="18" spans="2:8" x14ac:dyDescent="0.25">
      <c r="B18" s="53"/>
      <c r="C18" s="53"/>
      <c r="D18" s="54"/>
      <c r="E18" s="54"/>
      <c r="F18" s="54"/>
      <c r="G18" s="54" t="s">
        <v>203</v>
      </c>
      <c r="H18" s="54" t="s">
        <v>220</v>
      </c>
    </row>
    <row r="24" spans="2:8" x14ac:dyDescent="0.25">
      <c r="C24" t="s">
        <v>166</v>
      </c>
    </row>
    <row r="25" spans="2:8" x14ac:dyDescent="0.25">
      <c r="C25" t="s">
        <v>222</v>
      </c>
    </row>
    <row r="26" spans="2:8" x14ac:dyDescent="0.25">
      <c r="C26" t="s">
        <v>223</v>
      </c>
    </row>
    <row r="27" spans="2:8" x14ac:dyDescent="0.25">
      <c r="C27" t="s">
        <v>224</v>
      </c>
    </row>
    <row r="28" spans="2:8" x14ac:dyDescent="0.25">
      <c r="C28" t="s">
        <v>225</v>
      </c>
    </row>
    <row r="29" spans="2:8" x14ac:dyDescent="0.25">
      <c r="C29" t="s">
        <v>226</v>
      </c>
    </row>
    <row r="30" spans="2:8" x14ac:dyDescent="0.25">
      <c r="C30" t="s">
        <v>166</v>
      </c>
    </row>
    <row r="33" spans="3:11" x14ac:dyDescent="0.25">
      <c r="J33">
        <v>1</v>
      </c>
      <c r="K33">
        <v>2</v>
      </c>
    </row>
    <row r="34" spans="3:11" x14ac:dyDescent="0.25">
      <c r="C34" s="56" t="s">
        <v>231</v>
      </c>
      <c r="D34" s="54" t="s">
        <v>229</v>
      </c>
      <c r="E34" s="54" t="s">
        <v>234</v>
      </c>
      <c r="F34" s="54" t="s">
        <v>232</v>
      </c>
      <c r="G34" s="54" t="s">
        <v>233</v>
      </c>
      <c r="H34" s="54" t="s">
        <v>235</v>
      </c>
      <c r="J34" t="s">
        <v>189</v>
      </c>
      <c r="K34" t="s">
        <v>205</v>
      </c>
    </row>
    <row r="35" spans="3:11" x14ac:dyDescent="0.25">
      <c r="C35" s="53" t="s">
        <v>230</v>
      </c>
      <c r="D35" s="54" t="s">
        <v>167</v>
      </c>
      <c r="E35" s="54" t="s">
        <v>239</v>
      </c>
      <c r="F35" s="54" t="s">
        <v>241</v>
      </c>
      <c r="G35" s="54" t="s">
        <v>243</v>
      </c>
      <c r="H35" s="54"/>
    </row>
    <row r="36" spans="3:11" x14ac:dyDescent="0.25">
      <c r="C36" s="53"/>
      <c r="D36" s="54" t="s">
        <v>236</v>
      </c>
      <c r="E36" s="54" t="s">
        <v>240</v>
      </c>
      <c r="F36" s="54" t="s">
        <v>242</v>
      </c>
      <c r="G36" s="54" t="s">
        <v>244</v>
      </c>
      <c r="H36" s="54"/>
    </row>
    <row r="37" spans="3:11" x14ac:dyDescent="0.25">
      <c r="C37" s="53"/>
      <c r="D37" s="54" t="s">
        <v>237</v>
      </c>
      <c r="E37" s="54"/>
      <c r="F37" s="54"/>
      <c r="G37" s="54" t="s">
        <v>245</v>
      </c>
      <c r="H37" s="54"/>
    </row>
    <row r="38" spans="3:11" x14ac:dyDescent="0.25">
      <c r="C38" s="53"/>
      <c r="D38" s="54" t="s">
        <v>238</v>
      </c>
      <c r="E38" s="54"/>
      <c r="F38" s="54"/>
      <c r="G38" s="54" t="s">
        <v>245</v>
      </c>
      <c r="H38" s="54"/>
    </row>
    <row r="39" spans="3:11" x14ac:dyDescent="0.25">
      <c r="C39" s="53"/>
      <c r="D39" s="54"/>
      <c r="E39" s="54"/>
      <c r="F39" s="54"/>
      <c r="G39" s="54" t="s">
        <v>246</v>
      </c>
      <c r="H39" s="54"/>
    </row>
    <row r="40" spans="3:11" x14ac:dyDescent="0.25">
      <c r="C40" s="53"/>
      <c r="D40" s="54"/>
      <c r="E40" s="54"/>
      <c r="F40" s="54"/>
      <c r="G40" s="54" t="s">
        <v>247</v>
      </c>
      <c r="H40" s="54"/>
    </row>
    <row r="41" spans="3:11" x14ac:dyDescent="0.25">
      <c r="C41" s="53"/>
      <c r="D41" s="54"/>
      <c r="E41" s="54"/>
      <c r="F41" s="54"/>
      <c r="G41" s="54"/>
      <c r="H41" s="54"/>
    </row>
    <row r="43" spans="3:11" x14ac:dyDescent="0.25">
      <c r="C43" t="s">
        <v>248</v>
      </c>
    </row>
    <row r="44" spans="3:11" x14ac:dyDescent="0.25">
      <c r="C44" t="s">
        <v>169</v>
      </c>
      <c r="D44" t="s">
        <v>249</v>
      </c>
    </row>
    <row r="45" spans="3:11" x14ac:dyDescent="0.25">
      <c r="D45" t="s">
        <v>250</v>
      </c>
    </row>
    <row r="46" spans="3:11" x14ac:dyDescent="0.25">
      <c r="D46" t="s">
        <v>251</v>
      </c>
    </row>
    <row r="47" spans="3:11" x14ac:dyDescent="0.25">
      <c r="D47" t="s">
        <v>252</v>
      </c>
    </row>
    <row r="48" spans="3:11" x14ac:dyDescent="0.25">
      <c r="D48" t="s">
        <v>253</v>
      </c>
    </row>
    <row r="49" spans="3:4" x14ac:dyDescent="0.25">
      <c r="C49" t="s">
        <v>174</v>
      </c>
      <c r="D49" t="s">
        <v>254</v>
      </c>
    </row>
    <row r="50" spans="3:4" x14ac:dyDescent="0.25">
      <c r="D50" t="s">
        <v>255</v>
      </c>
    </row>
    <row r="51" spans="3:4" x14ac:dyDescent="0.25">
      <c r="D51" t="s">
        <v>256</v>
      </c>
    </row>
    <row r="52" spans="3:4" x14ac:dyDescent="0.25">
      <c r="D52" t="s">
        <v>259</v>
      </c>
    </row>
    <row r="53" spans="3:4" x14ac:dyDescent="0.25">
      <c r="D53" t="s">
        <v>257</v>
      </c>
    </row>
    <row r="54" spans="3:4" x14ac:dyDescent="0.25">
      <c r="D54" t="s">
        <v>258</v>
      </c>
    </row>
    <row r="55" spans="3:4" x14ac:dyDescent="0.25">
      <c r="D55" t="s">
        <v>260</v>
      </c>
    </row>
    <row r="56" spans="3:4" x14ac:dyDescent="0.25">
      <c r="D56" t="s">
        <v>261</v>
      </c>
    </row>
    <row r="57" spans="3:4" x14ac:dyDescent="0.25">
      <c r="D57" t="s">
        <v>262</v>
      </c>
    </row>
    <row r="58" spans="3:4" x14ac:dyDescent="0.25">
      <c r="D58" t="s">
        <v>264</v>
      </c>
    </row>
    <row r="59" spans="3:4" x14ac:dyDescent="0.25">
      <c r="D59" t="s">
        <v>273</v>
      </c>
    </row>
    <row r="60" spans="3:4" x14ac:dyDescent="0.25">
      <c r="C60" t="s">
        <v>189</v>
      </c>
      <c r="D60" t="s">
        <v>265</v>
      </c>
    </row>
    <row r="61" spans="3:4" x14ac:dyDescent="0.25">
      <c r="D61" t="s">
        <v>263</v>
      </c>
    </row>
    <row r="62" spans="3:4" x14ac:dyDescent="0.25">
      <c r="D62" t="s">
        <v>253</v>
      </c>
    </row>
    <row r="63" spans="3:4" x14ac:dyDescent="0.25">
      <c r="D63" t="s">
        <v>266</v>
      </c>
    </row>
    <row r="64" spans="3:4" x14ac:dyDescent="0.25">
      <c r="D64" t="s">
        <v>267</v>
      </c>
    </row>
    <row r="65" spans="3:4" x14ac:dyDescent="0.25">
      <c r="D65" t="s">
        <v>268</v>
      </c>
    </row>
    <row r="66" spans="3:4" x14ac:dyDescent="0.25">
      <c r="D66" t="s">
        <v>269</v>
      </c>
    </row>
    <row r="67" spans="3:4" x14ac:dyDescent="0.25">
      <c r="C67" t="s">
        <v>184</v>
      </c>
      <c r="D67" t="s">
        <v>270</v>
      </c>
    </row>
    <row r="68" spans="3:4" x14ac:dyDescent="0.25">
      <c r="D68" t="s">
        <v>271</v>
      </c>
    </row>
    <row r="69" spans="3:4" x14ac:dyDescent="0.25">
      <c r="D69" t="s">
        <v>272</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53"/>
  <sheetViews>
    <sheetView topLeftCell="A38" zoomScale="85" zoomScaleNormal="85" workbookViewId="0">
      <selection activeCell="C51" sqref="C51"/>
    </sheetView>
  </sheetViews>
  <sheetFormatPr defaultRowHeight="15" x14ac:dyDescent="0.25"/>
  <cols>
    <col min="2" max="2" width="3" bestFit="1" customWidth="1"/>
    <col min="3" max="3" width="155.28515625" customWidth="1"/>
  </cols>
  <sheetData>
    <row r="2" spans="2:3" ht="15" customHeight="1" x14ac:dyDescent="0.25">
      <c r="B2" s="57">
        <v>1</v>
      </c>
      <c r="C2" s="59" t="s">
        <v>278</v>
      </c>
    </row>
    <row r="3" spans="2:3" x14ac:dyDescent="0.25">
      <c r="B3" s="57">
        <v>2</v>
      </c>
      <c r="C3" s="58" t="s">
        <v>279</v>
      </c>
    </row>
    <row r="4" spans="2:3" x14ac:dyDescent="0.25">
      <c r="B4" s="57">
        <v>3</v>
      </c>
      <c r="C4" s="57" t="s">
        <v>280</v>
      </c>
    </row>
    <row r="5" spans="2:3" x14ac:dyDescent="0.25">
      <c r="B5" s="57">
        <v>4</v>
      </c>
      <c r="C5" s="58" t="s">
        <v>281</v>
      </c>
    </row>
    <row r="6" spans="2:3" x14ac:dyDescent="0.25">
      <c r="B6" s="57">
        <v>5</v>
      </c>
      <c r="C6" s="57" t="s">
        <v>282</v>
      </c>
    </row>
    <row r="7" spans="2:3" ht="30" x14ac:dyDescent="0.25">
      <c r="B7" s="57">
        <v>6</v>
      </c>
      <c r="C7" s="58" t="s">
        <v>283</v>
      </c>
    </row>
    <row r="8" spans="2:3" ht="75" x14ac:dyDescent="0.25">
      <c r="B8" s="57">
        <v>7</v>
      </c>
      <c r="C8" s="58" t="s">
        <v>284</v>
      </c>
    </row>
    <row r="9" spans="2:3" x14ac:dyDescent="0.25">
      <c r="B9" s="57">
        <v>8</v>
      </c>
      <c r="C9" s="57" t="s">
        <v>285</v>
      </c>
    </row>
    <row r="10" spans="2:3" x14ac:dyDescent="0.25">
      <c r="B10" s="57">
        <v>9</v>
      </c>
      <c r="C10" s="57" t="s">
        <v>286</v>
      </c>
    </row>
    <row r="11" spans="2:3" x14ac:dyDescent="0.25">
      <c r="B11" s="57">
        <v>10</v>
      </c>
      <c r="C11" s="57" t="s">
        <v>287</v>
      </c>
    </row>
    <row r="12" spans="2:3" x14ac:dyDescent="0.25">
      <c r="B12" s="57">
        <v>11</v>
      </c>
      <c r="C12" s="57" t="s">
        <v>288</v>
      </c>
    </row>
    <row r="13" spans="2:3" x14ac:dyDescent="0.25">
      <c r="B13" s="57">
        <v>12</v>
      </c>
      <c r="C13" s="57" t="s">
        <v>289</v>
      </c>
    </row>
    <row r="14" spans="2:3" x14ac:dyDescent="0.25">
      <c r="B14" s="57">
        <v>13</v>
      </c>
      <c r="C14" s="57" t="s">
        <v>290</v>
      </c>
    </row>
    <row r="15" spans="2:3" x14ac:dyDescent="0.25">
      <c r="B15" s="57">
        <v>14</v>
      </c>
      <c r="C15" s="57" t="s">
        <v>280</v>
      </c>
    </row>
    <row r="16" spans="2:3" x14ac:dyDescent="0.25">
      <c r="B16" s="57">
        <v>15</v>
      </c>
      <c r="C16" s="57" t="s">
        <v>293</v>
      </c>
    </row>
    <row r="17" spans="2:3" x14ac:dyDescent="0.25">
      <c r="B17" s="78">
        <v>16</v>
      </c>
      <c r="C17" s="63" t="s">
        <v>294</v>
      </c>
    </row>
    <row r="18" spans="2:3" x14ac:dyDescent="0.25">
      <c r="B18" s="62">
        <v>17</v>
      </c>
      <c r="C18" s="63" t="s">
        <v>295</v>
      </c>
    </row>
    <row r="19" spans="2:3" x14ac:dyDescent="0.25">
      <c r="B19" s="61">
        <v>18</v>
      </c>
      <c r="C19" s="57" t="s">
        <v>296</v>
      </c>
    </row>
    <row r="20" spans="2:3" x14ac:dyDescent="0.25">
      <c r="B20" s="62">
        <v>19</v>
      </c>
      <c r="C20" s="57" t="s">
        <v>332</v>
      </c>
    </row>
    <row r="21" spans="2:3" x14ac:dyDescent="0.25">
      <c r="B21" s="57">
        <v>20</v>
      </c>
      <c r="C21" s="57" t="s">
        <v>297</v>
      </c>
    </row>
    <row r="22" spans="2:3" x14ac:dyDescent="0.25">
      <c r="B22" s="62">
        <v>21</v>
      </c>
      <c r="C22" s="57" t="s">
        <v>296</v>
      </c>
    </row>
    <row r="23" spans="2:3" s="73" customFormat="1" ht="29.25" customHeight="1" x14ac:dyDescent="0.25">
      <c r="B23" s="72">
        <v>22</v>
      </c>
      <c r="C23" s="59" t="s">
        <v>324</v>
      </c>
    </row>
    <row r="24" spans="2:3" s="73" customFormat="1" ht="30.75" customHeight="1" x14ac:dyDescent="0.25">
      <c r="B24" s="74">
        <v>23</v>
      </c>
      <c r="C24" s="59" t="s">
        <v>325</v>
      </c>
    </row>
    <row r="25" spans="2:3" x14ac:dyDescent="0.25">
      <c r="B25" s="57">
        <v>24</v>
      </c>
      <c r="C25" s="57" t="s">
        <v>328</v>
      </c>
    </row>
    <row r="26" spans="2:3" x14ac:dyDescent="0.25">
      <c r="B26" s="62">
        <v>25</v>
      </c>
      <c r="C26" s="57" t="s">
        <v>326</v>
      </c>
    </row>
    <row r="27" spans="2:3" x14ac:dyDescent="0.25">
      <c r="B27" s="74">
        <v>26</v>
      </c>
      <c r="C27" s="57" t="s">
        <v>327</v>
      </c>
    </row>
    <row r="28" spans="2:3" x14ac:dyDescent="0.25">
      <c r="B28" s="62">
        <v>27</v>
      </c>
      <c r="C28" s="57" t="s">
        <v>329</v>
      </c>
    </row>
    <row r="29" spans="2:3" ht="60" x14ac:dyDescent="0.25">
      <c r="B29" s="77">
        <v>28</v>
      </c>
      <c r="C29" s="58" t="s">
        <v>330</v>
      </c>
    </row>
    <row r="30" spans="2:3" x14ac:dyDescent="0.25">
      <c r="B30" s="74">
        <v>29</v>
      </c>
      <c r="C30" s="57" t="s">
        <v>331</v>
      </c>
    </row>
    <row r="31" spans="2:3" ht="30" x14ac:dyDescent="0.25">
      <c r="B31" s="74">
        <v>30</v>
      </c>
      <c r="C31" s="58" t="s">
        <v>333</v>
      </c>
    </row>
    <row r="32" spans="2:3" x14ac:dyDescent="0.25">
      <c r="B32" s="74">
        <v>31</v>
      </c>
      <c r="C32" s="57" t="s">
        <v>334</v>
      </c>
    </row>
    <row r="33" spans="2:4" x14ac:dyDescent="0.25">
      <c r="B33" s="74">
        <v>32</v>
      </c>
      <c r="C33" s="57" t="s">
        <v>335</v>
      </c>
    </row>
    <row r="34" spans="2:4" ht="36.75" customHeight="1" x14ac:dyDescent="0.25">
      <c r="B34" s="74">
        <v>33</v>
      </c>
      <c r="C34" s="63" t="s">
        <v>336</v>
      </c>
    </row>
    <row r="35" spans="2:4" x14ac:dyDescent="0.25">
      <c r="B35" s="72">
        <v>34</v>
      </c>
      <c r="C35" s="57" t="s">
        <v>344</v>
      </c>
    </row>
    <row r="36" spans="2:4" ht="60" x14ac:dyDescent="0.25">
      <c r="B36" s="72">
        <v>35</v>
      </c>
      <c r="C36" s="58" t="s">
        <v>346</v>
      </c>
    </row>
    <row r="37" spans="2:4" x14ac:dyDescent="0.25">
      <c r="B37" s="57">
        <v>36</v>
      </c>
      <c r="C37" s="58" t="s">
        <v>357</v>
      </c>
    </row>
    <row r="38" spans="2:4" x14ac:dyDescent="0.25">
      <c r="B38" s="57">
        <f t="shared" ref="B38:B44" si="0">B37+1</f>
        <v>37</v>
      </c>
      <c r="C38" s="57" t="s">
        <v>353</v>
      </c>
    </row>
    <row r="39" spans="2:4" x14ac:dyDescent="0.25">
      <c r="B39" s="57">
        <f t="shared" si="0"/>
        <v>38</v>
      </c>
      <c r="C39" s="57" t="s">
        <v>354</v>
      </c>
    </row>
    <row r="40" spans="2:4" x14ac:dyDescent="0.25">
      <c r="B40" s="57">
        <f t="shared" si="0"/>
        <v>39</v>
      </c>
      <c r="C40" s="57" t="s">
        <v>355</v>
      </c>
    </row>
    <row r="41" spans="2:4" x14ac:dyDescent="0.25">
      <c r="B41" s="57">
        <f t="shared" si="0"/>
        <v>40</v>
      </c>
      <c r="C41" s="57" t="s">
        <v>356</v>
      </c>
    </row>
    <row r="42" spans="2:4" ht="30.75" thickBot="1" x14ac:dyDescent="0.3">
      <c r="B42" s="81">
        <f t="shared" si="0"/>
        <v>41</v>
      </c>
      <c r="C42" s="82" t="s">
        <v>358</v>
      </c>
    </row>
    <row r="43" spans="2:4" ht="30" x14ac:dyDescent="0.25">
      <c r="B43" s="85">
        <f t="shared" si="0"/>
        <v>42</v>
      </c>
      <c r="C43" s="90" t="s">
        <v>363</v>
      </c>
      <c r="D43" t="s">
        <v>364</v>
      </c>
    </row>
    <row r="44" spans="2:4" ht="15.75" thickBot="1" x14ac:dyDescent="0.3">
      <c r="B44" s="87">
        <f t="shared" si="0"/>
        <v>43</v>
      </c>
      <c r="C44" s="89" t="s">
        <v>359</v>
      </c>
    </row>
    <row r="45" spans="2:4" ht="15.75" thickBot="1" x14ac:dyDescent="0.3">
      <c r="B45" s="83">
        <f t="shared" ref="B45:B53" si="1">B44+1</f>
        <v>44</v>
      </c>
      <c r="C45" s="84" t="s">
        <v>360</v>
      </c>
    </row>
    <row r="46" spans="2:4" ht="30" x14ac:dyDescent="0.25">
      <c r="B46" s="85">
        <f t="shared" si="1"/>
        <v>45</v>
      </c>
      <c r="C46" s="86" t="s">
        <v>361</v>
      </c>
    </row>
    <row r="47" spans="2:4" ht="15.75" thickBot="1" x14ac:dyDescent="0.3">
      <c r="B47" s="87">
        <f t="shared" si="1"/>
        <v>46</v>
      </c>
      <c r="C47" s="88" t="s">
        <v>362</v>
      </c>
    </row>
    <row r="48" spans="2:4" x14ac:dyDescent="0.25">
      <c r="B48" s="91">
        <f t="shared" si="1"/>
        <v>47</v>
      </c>
      <c r="C48" s="92" t="s">
        <v>365</v>
      </c>
    </row>
    <row r="49" spans="2:4" x14ac:dyDescent="0.25">
      <c r="B49" s="91">
        <f t="shared" si="1"/>
        <v>48</v>
      </c>
      <c r="C49" s="92" t="s">
        <v>366</v>
      </c>
    </row>
    <row r="50" spans="2:4" x14ac:dyDescent="0.25">
      <c r="B50" s="91">
        <f t="shared" si="1"/>
        <v>49</v>
      </c>
      <c r="C50" s="92" t="s">
        <v>368</v>
      </c>
      <c r="D50" t="s">
        <v>367</v>
      </c>
    </row>
    <row r="51" spans="2:4" ht="30" x14ac:dyDescent="0.25">
      <c r="B51" s="93">
        <f t="shared" si="1"/>
        <v>50</v>
      </c>
      <c r="C51" s="94" t="s">
        <v>369</v>
      </c>
    </row>
    <row r="52" spans="2:4" x14ac:dyDescent="0.25">
      <c r="B52" s="93">
        <f t="shared" si="1"/>
        <v>51</v>
      </c>
      <c r="C52" s="95" t="s">
        <v>372</v>
      </c>
      <c r="D52" t="s">
        <v>373</v>
      </c>
    </row>
    <row r="53" spans="2:4" x14ac:dyDescent="0.25">
      <c r="B53" s="93">
        <f t="shared" si="1"/>
        <v>52</v>
      </c>
      <c r="C53" s="95" t="s">
        <v>375</v>
      </c>
      <c r="D53" t="s">
        <v>376</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RowHeight="15" x14ac:dyDescent="0.25"/>
  <cols>
    <col min="1" max="1" width="9.140625" style="53"/>
    <col min="2" max="2" width="12.28515625" style="53" customWidth="1"/>
    <col min="3" max="16384" width="9.140625" style="53"/>
  </cols>
  <sheetData>
    <row r="2" spans="1:12" x14ac:dyDescent="0.25">
      <c r="B2" s="66" t="s">
        <v>298</v>
      </c>
      <c r="C2" s="329"/>
      <c r="D2" s="329"/>
    </row>
    <row r="3" spans="1:12" x14ac:dyDescent="0.25">
      <c r="D3" s="67"/>
      <c r="E3" s="67"/>
      <c r="F3" s="67"/>
      <c r="G3" s="67"/>
      <c r="H3" s="67"/>
      <c r="I3" s="67"/>
    </row>
    <row r="4" spans="1:12" x14ac:dyDescent="0.25">
      <c r="A4" s="66" t="s">
        <v>65</v>
      </c>
      <c r="B4" s="68" t="s">
        <v>299</v>
      </c>
      <c r="C4" s="330" t="s">
        <v>300</v>
      </c>
      <c r="D4" s="330"/>
      <c r="E4" s="330"/>
      <c r="F4" s="68"/>
      <c r="G4" s="331" t="s">
        <v>301</v>
      </c>
      <c r="H4" s="331"/>
      <c r="I4" s="331"/>
      <c r="J4" s="332" t="s">
        <v>302</v>
      </c>
      <c r="K4" s="332"/>
      <c r="L4" s="332"/>
    </row>
    <row r="5" spans="1:12" x14ac:dyDescent="0.25">
      <c r="A5" s="66"/>
      <c r="B5" s="68"/>
      <c r="C5" s="68" t="s">
        <v>303</v>
      </c>
      <c r="D5" s="68" t="s">
        <v>304</v>
      </c>
      <c r="E5" s="68" t="s">
        <v>305</v>
      </c>
      <c r="F5" s="68"/>
      <c r="G5" s="68" t="s">
        <v>303</v>
      </c>
      <c r="H5" s="68" t="s">
        <v>304</v>
      </c>
      <c r="I5" s="68" t="s">
        <v>305</v>
      </c>
      <c r="J5" s="68" t="s">
        <v>303</v>
      </c>
      <c r="K5" s="68" t="s">
        <v>304</v>
      </c>
      <c r="L5" s="68" t="s">
        <v>305</v>
      </c>
    </row>
    <row r="6" spans="1:12" x14ac:dyDescent="0.25">
      <c r="B6" s="54" t="s">
        <v>306</v>
      </c>
      <c r="C6" s="54"/>
      <c r="D6" s="54"/>
      <c r="E6" s="54">
        <f>C6*D6</f>
        <v>0</v>
      </c>
      <c r="F6" s="54" t="s">
        <v>323</v>
      </c>
      <c r="G6" s="54"/>
      <c r="H6" s="54"/>
      <c r="I6" s="54">
        <f>G6*H6</f>
        <v>0</v>
      </c>
      <c r="J6" s="54"/>
      <c r="K6" s="54"/>
      <c r="L6" s="54">
        <f>J6*K6</f>
        <v>0</v>
      </c>
    </row>
    <row r="7" spans="1:12" x14ac:dyDescent="0.25">
      <c r="B7" s="54"/>
      <c r="C7" s="54"/>
      <c r="D7" s="54"/>
      <c r="E7" s="54">
        <f t="shared" ref="E7:E41" si="0">C7*D7</f>
        <v>0</v>
      </c>
      <c r="F7" s="54" t="s">
        <v>323</v>
      </c>
      <c r="G7" s="54"/>
      <c r="H7" s="54"/>
      <c r="I7" s="54">
        <f t="shared" ref="I7:I35" si="1">G7*H7</f>
        <v>0</v>
      </c>
      <c r="J7" s="54"/>
      <c r="K7" s="54"/>
      <c r="L7" s="54">
        <f t="shared" ref="L7:L35" si="2">J7*K7</f>
        <v>0</v>
      </c>
    </row>
    <row r="8" spans="1:12" x14ac:dyDescent="0.25">
      <c r="B8" s="54"/>
      <c r="C8" s="54"/>
      <c r="D8" s="54"/>
      <c r="E8" s="54">
        <f t="shared" si="0"/>
        <v>0</v>
      </c>
      <c r="F8" s="54"/>
      <c r="G8" s="54"/>
      <c r="H8" s="54"/>
      <c r="I8" s="54">
        <f t="shared" si="1"/>
        <v>0</v>
      </c>
      <c r="J8" s="54"/>
      <c r="K8" s="54"/>
      <c r="L8" s="54">
        <f t="shared" si="2"/>
        <v>0</v>
      </c>
    </row>
    <row r="9" spans="1:12" x14ac:dyDescent="0.25">
      <c r="B9" s="54"/>
      <c r="C9" s="54"/>
      <c r="D9" s="54"/>
      <c r="E9" s="54">
        <f t="shared" si="0"/>
        <v>0</v>
      </c>
      <c r="F9" s="54" t="s">
        <v>307</v>
      </c>
      <c r="G9" s="54"/>
      <c r="H9" s="54"/>
      <c r="I9" s="54">
        <f t="shared" si="1"/>
        <v>0</v>
      </c>
      <c r="J9" s="54"/>
      <c r="K9" s="54"/>
      <c r="L9" s="54">
        <f t="shared" si="2"/>
        <v>0</v>
      </c>
    </row>
    <row r="10" spans="1:12" x14ac:dyDescent="0.25">
      <c r="B10" s="54" t="s">
        <v>308</v>
      </c>
      <c r="C10" s="54"/>
      <c r="D10" s="54"/>
      <c r="E10" s="54">
        <f t="shared" si="0"/>
        <v>0</v>
      </c>
      <c r="F10" s="54" t="s">
        <v>307</v>
      </c>
      <c r="G10" s="54"/>
      <c r="H10" s="54"/>
      <c r="I10" s="54">
        <f t="shared" si="1"/>
        <v>0</v>
      </c>
      <c r="J10" s="54"/>
      <c r="K10" s="54"/>
      <c r="L10" s="54">
        <f t="shared" si="2"/>
        <v>0</v>
      </c>
    </row>
    <row r="11" spans="1:12" x14ac:dyDescent="0.25">
      <c r="B11" s="54"/>
      <c r="C11" s="54"/>
      <c r="D11" s="54"/>
      <c r="E11" s="54">
        <f t="shared" si="0"/>
        <v>0</v>
      </c>
      <c r="F11" s="54" t="s">
        <v>309</v>
      </c>
      <c r="G11" s="54"/>
      <c r="H11" s="54"/>
      <c r="I11" s="54">
        <f t="shared" si="1"/>
        <v>0</v>
      </c>
      <c r="J11" s="54"/>
      <c r="K11" s="54"/>
      <c r="L11" s="54">
        <f t="shared" si="2"/>
        <v>0</v>
      </c>
    </row>
    <row r="12" spans="1:12" x14ac:dyDescent="0.25">
      <c r="B12" s="54"/>
      <c r="C12" s="54"/>
      <c r="D12" s="54"/>
      <c r="E12" s="54">
        <f t="shared" si="0"/>
        <v>0</v>
      </c>
      <c r="F12" s="54"/>
      <c r="G12" s="54"/>
      <c r="H12" s="54"/>
      <c r="I12" s="54">
        <f t="shared" si="1"/>
        <v>0</v>
      </c>
      <c r="J12" s="54"/>
      <c r="K12" s="54"/>
      <c r="L12" s="54">
        <f t="shared" si="2"/>
        <v>0</v>
      </c>
    </row>
    <row r="13" spans="1:12" x14ac:dyDescent="0.25">
      <c r="B13" s="54"/>
      <c r="C13" s="54"/>
      <c r="D13" s="54"/>
      <c r="E13" s="54">
        <f t="shared" si="0"/>
        <v>0</v>
      </c>
      <c r="F13" s="54"/>
      <c r="G13" s="54"/>
      <c r="H13" s="54"/>
      <c r="I13" s="54">
        <f t="shared" si="1"/>
        <v>0</v>
      </c>
      <c r="J13" s="54"/>
      <c r="K13" s="54"/>
      <c r="L13" s="54">
        <f t="shared" si="2"/>
        <v>0</v>
      </c>
    </row>
    <row r="14" spans="1:12" x14ac:dyDescent="0.25">
      <c r="B14" s="54" t="s">
        <v>310</v>
      </c>
      <c r="C14" s="54"/>
      <c r="D14" s="54"/>
      <c r="E14" s="54">
        <f t="shared" si="0"/>
        <v>0</v>
      </c>
      <c r="F14" s="54" t="s">
        <v>307</v>
      </c>
      <c r="G14" s="54"/>
      <c r="H14" s="54"/>
      <c r="I14" s="54">
        <f t="shared" si="1"/>
        <v>0</v>
      </c>
      <c r="J14" s="54"/>
      <c r="K14" s="54"/>
      <c r="L14" s="54">
        <f t="shared" si="2"/>
        <v>0</v>
      </c>
    </row>
    <row r="15" spans="1:12" x14ac:dyDescent="0.25">
      <c r="B15" s="54"/>
      <c r="C15" s="54"/>
      <c r="D15" s="54"/>
      <c r="E15" s="54">
        <f t="shared" si="0"/>
        <v>0</v>
      </c>
      <c r="F15" s="54" t="s">
        <v>309</v>
      </c>
      <c r="G15" s="54"/>
      <c r="H15" s="54"/>
      <c r="I15" s="54">
        <f t="shared" si="1"/>
        <v>0</v>
      </c>
      <c r="J15" s="54"/>
      <c r="K15" s="54"/>
      <c r="L15" s="54">
        <f t="shared" si="2"/>
        <v>0</v>
      </c>
    </row>
    <row r="16" spans="1:12" x14ac:dyDescent="0.25">
      <c r="B16" s="54"/>
      <c r="C16" s="54"/>
      <c r="D16" s="54"/>
      <c r="E16" s="54">
        <f t="shared" si="0"/>
        <v>0</v>
      </c>
      <c r="F16" s="54"/>
      <c r="G16" s="54"/>
      <c r="H16" s="54"/>
      <c r="I16" s="54">
        <f t="shared" si="1"/>
        <v>0</v>
      </c>
      <c r="J16" s="54"/>
      <c r="K16" s="54"/>
      <c r="L16" s="54">
        <f t="shared" si="2"/>
        <v>0</v>
      </c>
    </row>
    <row r="17" spans="2:12" x14ac:dyDescent="0.25">
      <c r="B17" s="54"/>
      <c r="C17" s="54"/>
      <c r="D17" s="54"/>
      <c r="E17" s="54">
        <f t="shared" si="0"/>
        <v>0</v>
      </c>
      <c r="F17" s="54"/>
      <c r="G17" s="54"/>
      <c r="H17" s="54"/>
      <c r="I17" s="54">
        <f t="shared" si="1"/>
        <v>0</v>
      </c>
      <c r="J17" s="54"/>
      <c r="K17" s="54"/>
      <c r="L17" s="54">
        <f t="shared" si="2"/>
        <v>0</v>
      </c>
    </row>
    <row r="18" spans="2:12" x14ac:dyDescent="0.25">
      <c r="B18" s="54" t="s">
        <v>311</v>
      </c>
      <c r="C18" s="54"/>
      <c r="D18" s="54"/>
      <c r="E18" s="54">
        <f t="shared" si="0"/>
        <v>0</v>
      </c>
      <c r="F18" s="54" t="s">
        <v>307</v>
      </c>
      <c r="G18" s="54"/>
      <c r="H18" s="54"/>
      <c r="I18" s="54">
        <f t="shared" si="1"/>
        <v>0</v>
      </c>
      <c r="J18" s="54"/>
      <c r="K18" s="54"/>
      <c r="L18" s="54">
        <f t="shared" si="2"/>
        <v>0</v>
      </c>
    </row>
    <row r="19" spans="2:12" x14ac:dyDescent="0.25">
      <c r="B19" s="54"/>
      <c r="C19" s="54"/>
      <c r="D19" s="54"/>
      <c r="E19" s="54">
        <f t="shared" si="0"/>
        <v>0</v>
      </c>
      <c r="F19" s="54" t="s">
        <v>309</v>
      </c>
      <c r="G19" s="54"/>
      <c r="H19" s="54"/>
      <c r="I19" s="54">
        <f t="shared" si="1"/>
        <v>0</v>
      </c>
      <c r="J19" s="54"/>
      <c r="K19" s="54"/>
      <c r="L19" s="54">
        <f t="shared" si="2"/>
        <v>0</v>
      </c>
    </row>
    <row r="20" spans="2:12" x14ac:dyDescent="0.25">
      <c r="B20" s="54"/>
      <c r="C20" s="54"/>
      <c r="D20" s="54"/>
      <c r="E20" s="54">
        <f t="shared" si="0"/>
        <v>0</v>
      </c>
      <c r="F20" s="54"/>
      <c r="G20" s="54"/>
      <c r="H20" s="54"/>
      <c r="I20" s="54">
        <f t="shared" si="1"/>
        <v>0</v>
      </c>
      <c r="J20" s="54"/>
      <c r="K20" s="54"/>
      <c r="L20" s="54">
        <f t="shared" si="2"/>
        <v>0</v>
      </c>
    </row>
    <row r="21" spans="2:12" x14ac:dyDescent="0.25">
      <c r="B21" s="54" t="s">
        <v>312</v>
      </c>
      <c r="C21" s="54"/>
      <c r="D21" s="54"/>
      <c r="E21" s="54">
        <f t="shared" si="0"/>
        <v>0</v>
      </c>
      <c r="F21" s="54" t="s">
        <v>307</v>
      </c>
      <c r="G21" s="54"/>
      <c r="H21" s="54"/>
      <c r="I21" s="54">
        <f t="shared" si="1"/>
        <v>0</v>
      </c>
      <c r="J21" s="54"/>
      <c r="K21" s="54"/>
      <c r="L21" s="54">
        <f t="shared" si="2"/>
        <v>0</v>
      </c>
    </row>
    <row r="22" spans="2:12" x14ac:dyDescent="0.25">
      <c r="B22" s="54"/>
      <c r="C22" s="54"/>
      <c r="D22" s="54"/>
      <c r="E22" s="54">
        <f t="shared" si="0"/>
        <v>0</v>
      </c>
      <c r="F22" s="54" t="s">
        <v>309</v>
      </c>
      <c r="G22" s="54"/>
      <c r="H22" s="54"/>
      <c r="I22" s="54">
        <f t="shared" si="1"/>
        <v>0</v>
      </c>
      <c r="J22" s="54"/>
      <c r="K22" s="54"/>
      <c r="L22" s="54">
        <f t="shared" si="2"/>
        <v>0</v>
      </c>
    </row>
    <row r="23" spans="2:12" x14ac:dyDescent="0.25">
      <c r="B23" s="54"/>
      <c r="C23" s="54"/>
      <c r="D23" s="54"/>
      <c r="E23" s="54">
        <f t="shared" si="0"/>
        <v>0</v>
      </c>
      <c r="F23" s="54"/>
      <c r="G23" s="54"/>
      <c r="H23" s="54"/>
      <c r="I23" s="54">
        <f t="shared" si="1"/>
        <v>0</v>
      </c>
      <c r="J23" s="54"/>
      <c r="K23" s="54"/>
      <c r="L23" s="54">
        <f t="shared" si="2"/>
        <v>0</v>
      </c>
    </row>
    <row r="24" spans="2:12" x14ac:dyDescent="0.25">
      <c r="B24" s="54" t="s">
        <v>313</v>
      </c>
      <c r="C24" s="54"/>
      <c r="D24" s="54"/>
      <c r="E24" s="54">
        <f t="shared" si="0"/>
        <v>0</v>
      </c>
      <c r="F24" s="54" t="s">
        <v>314</v>
      </c>
      <c r="G24" s="54"/>
      <c r="H24" s="54"/>
      <c r="I24" s="54">
        <f t="shared" si="1"/>
        <v>0</v>
      </c>
      <c r="J24" s="54"/>
      <c r="K24" s="54"/>
      <c r="L24" s="54">
        <f t="shared" si="2"/>
        <v>0</v>
      </c>
    </row>
    <row r="25" spans="2:12" x14ac:dyDescent="0.25">
      <c r="B25" s="54"/>
      <c r="C25" s="54"/>
      <c r="D25" s="54"/>
      <c r="E25" s="54">
        <f>C25*D25</f>
        <v>0</v>
      </c>
      <c r="F25" s="54" t="s">
        <v>314</v>
      </c>
      <c r="G25" s="54"/>
      <c r="H25" s="54"/>
      <c r="I25" s="54">
        <f>G25*H25</f>
        <v>0</v>
      </c>
      <c r="J25" s="54"/>
      <c r="K25" s="54"/>
      <c r="L25" s="54">
        <f>J25*K25</f>
        <v>0</v>
      </c>
    </row>
    <row r="26" spans="2:12" x14ac:dyDescent="0.25">
      <c r="B26" s="54"/>
      <c r="C26" s="54"/>
      <c r="D26" s="54"/>
      <c r="E26" s="54">
        <f>C26*D26</f>
        <v>0</v>
      </c>
      <c r="F26" s="54" t="s">
        <v>314</v>
      </c>
      <c r="G26" s="54"/>
      <c r="H26" s="54"/>
      <c r="I26" s="54">
        <f>G26*H26</f>
        <v>0</v>
      </c>
      <c r="J26" s="54"/>
      <c r="K26" s="54"/>
      <c r="L26" s="54">
        <f>J26*K26</f>
        <v>0</v>
      </c>
    </row>
    <row r="27" spans="2:12" x14ac:dyDescent="0.25">
      <c r="B27" s="54"/>
      <c r="C27" s="54"/>
      <c r="D27" s="54"/>
      <c r="E27" s="54">
        <f>C27*D27</f>
        <v>0</v>
      </c>
      <c r="F27" s="54" t="s">
        <v>314</v>
      </c>
      <c r="G27" s="54"/>
      <c r="H27" s="54"/>
      <c r="I27" s="54">
        <f>G27*H27</f>
        <v>0</v>
      </c>
      <c r="J27" s="54"/>
      <c r="K27" s="54"/>
      <c r="L27" s="54">
        <f>J27*K27</f>
        <v>0</v>
      </c>
    </row>
    <row r="28" spans="2:12" x14ac:dyDescent="0.25">
      <c r="B28" s="54" t="s">
        <v>315</v>
      </c>
      <c r="C28" s="54"/>
      <c r="D28" s="54"/>
      <c r="E28" s="54">
        <f t="shared" si="0"/>
        <v>0</v>
      </c>
      <c r="F28" s="54" t="s">
        <v>314</v>
      </c>
      <c r="G28" s="54"/>
      <c r="H28" s="54"/>
      <c r="I28" s="54">
        <f t="shared" si="1"/>
        <v>0</v>
      </c>
      <c r="J28" s="54"/>
      <c r="K28" s="54"/>
      <c r="L28" s="54">
        <f t="shared" si="2"/>
        <v>0</v>
      </c>
    </row>
    <row r="29" spans="2:12" x14ac:dyDescent="0.25">
      <c r="B29" s="54" t="s">
        <v>316</v>
      </c>
      <c r="C29" s="54"/>
      <c r="D29" s="54"/>
      <c r="E29" s="54">
        <f t="shared" si="0"/>
        <v>0</v>
      </c>
      <c r="F29" s="54" t="s">
        <v>314</v>
      </c>
      <c r="G29" s="54"/>
      <c r="H29" s="54"/>
      <c r="I29" s="54">
        <f t="shared" si="1"/>
        <v>0</v>
      </c>
      <c r="J29" s="54"/>
      <c r="K29" s="54"/>
      <c r="L29" s="54">
        <f t="shared" si="2"/>
        <v>0</v>
      </c>
    </row>
    <row r="30" spans="2:12" x14ac:dyDescent="0.25">
      <c r="B30" s="54" t="s">
        <v>320</v>
      </c>
      <c r="C30" s="54"/>
      <c r="D30" s="54"/>
      <c r="E30" s="54">
        <f t="shared" si="0"/>
        <v>0</v>
      </c>
      <c r="F30" s="54"/>
      <c r="G30" s="54"/>
      <c r="H30" s="54"/>
      <c r="I30" s="54">
        <f t="shared" si="1"/>
        <v>0</v>
      </c>
      <c r="J30" s="54"/>
      <c r="K30" s="54"/>
      <c r="L30" s="54">
        <f t="shared" si="2"/>
        <v>0</v>
      </c>
    </row>
    <row r="31" spans="2:12" x14ac:dyDescent="0.25">
      <c r="B31" s="54"/>
      <c r="C31" s="54"/>
      <c r="D31" s="54"/>
      <c r="E31" s="54">
        <f>C31*D31</f>
        <v>0</v>
      </c>
      <c r="F31" s="54"/>
      <c r="G31" s="54"/>
      <c r="H31" s="54"/>
      <c r="I31" s="54">
        <f>G31*H31</f>
        <v>0</v>
      </c>
      <c r="J31" s="54"/>
      <c r="K31" s="54"/>
      <c r="L31" s="54">
        <f>J31*K31</f>
        <v>0</v>
      </c>
    </row>
    <row r="32" spans="2:12" x14ac:dyDescent="0.25">
      <c r="B32" s="54"/>
      <c r="C32" s="54"/>
      <c r="D32" s="54"/>
      <c r="E32" s="54">
        <f>C32*D32</f>
        <v>0</v>
      </c>
      <c r="F32" s="54"/>
      <c r="G32" s="54"/>
      <c r="H32" s="54"/>
      <c r="I32" s="54">
        <f>G32*H32</f>
        <v>0</v>
      </c>
      <c r="J32" s="54"/>
      <c r="K32" s="54"/>
      <c r="L32" s="54">
        <f>J32*K32</f>
        <v>0</v>
      </c>
    </row>
    <row r="33" spans="2:12" x14ac:dyDescent="0.25">
      <c r="B33" s="54" t="s">
        <v>317</v>
      </c>
      <c r="C33" s="54"/>
      <c r="D33" s="54"/>
      <c r="E33" s="54">
        <f t="shared" si="0"/>
        <v>0</v>
      </c>
      <c r="F33" s="54"/>
      <c r="G33" s="54"/>
      <c r="H33" s="54"/>
      <c r="I33" s="54">
        <f t="shared" si="1"/>
        <v>0</v>
      </c>
      <c r="J33" s="54"/>
      <c r="K33" s="54"/>
      <c r="L33" s="54">
        <f t="shared" si="2"/>
        <v>0</v>
      </c>
    </row>
    <row r="34" spans="2:12" x14ac:dyDescent="0.25">
      <c r="B34" s="54" t="s">
        <v>321</v>
      </c>
      <c r="C34" s="54"/>
      <c r="D34" s="54"/>
      <c r="E34" s="54">
        <f t="shared" si="0"/>
        <v>0</v>
      </c>
      <c r="F34" s="54"/>
      <c r="G34" s="54"/>
      <c r="H34" s="54"/>
      <c r="I34" s="54">
        <f t="shared" si="1"/>
        <v>0</v>
      </c>
      <c r="J34" s="54"/>
      <c r="K34" s="54"/>
      <c r="L34" s="54">
        <f t="shared" si="2"/>
        <v>0</v>
      </c>
    </row>
    <row r="35" spans="2:12" x14ac:dyDescent="0.25">
      <c r="B35" s="54" t="s">
        <v>318</v>
      </c>
      <c r="C35" s="54"/>
      <c r="D35" s="54"/>
      <c r="E35" s="54">
        <f t="shared" si="0"/>
        <v>0</v>
      </c>
      <c r="F35" s="54"/>
      <c r="G35" s="54"/>
      <c r="H35" s="54"/>
      <c r="I35" s="54">
        <f t="shared" si="1"/>
        <v>0</v>
      </c>
      <c r="J35" s="54"/>
      <c r="K35" s="54"/>
      <c r="L35" s="54">
        <f t="shared" si="2"/>
        <v>0</v>
      </c>
    </row>
    <row r="36" spans="2:12" x14ac:dyDescent="0.25">
      <c r="B36" s="54" t="s">
        <v>319</v>
      </c>
      <c r="C36" s="54"/>
      <c r="D36" s="54"/>
      <c r="E36" s="54">
        <f t="shared" si="0"/>
        <v>0</v>
      </c>
      <c r="F36" s="54"/>
      <c r="G36" s="54"/>
      <c r="H36" s="54"/>
      <c r="I36" s="54">
        <f t="shared" ref="I36:I41" si="3">G36*H36</f>
        <v>0</v>
      </c>
      <c r="J36" s="54"/>
      <c r="K36" s="54"/>
      <c r="L36" s="54">
        <f t="shared" ref="L36:L41" si="4">J36*K36</f>
        <v>0</v>
      </c>
    </row>
    <row r="37" spans="2:12" x14ac:dyDescent="0.25">
      <c r="B37" s="54"/>
      <c r="C37" s="54"/>
      <c r="D37" s="54"/>
      <c r="E37" s="54">
        <f>C37*D37</f>
        <v>0</v>
      </c>
      <c r="F37" s="54"/>
      <c r="G37" s="54"/>
      <c r="H37" s="54"/>
      <c r="I37" s="54">
        <f t="shared" si="3"/>
        <v>0</v>
      </c>
      <c r="J37" s="54"/>
      <c r="K37" s="54"/>
      <c r="L37" s="54">
        <f t="shared" si="4"/>
        <v>0</v>
      </c>
    </row>
    <row r="38" spans="2:12" x14ac:dyDescent="0.25">
      <c r="B38" s="54" t="s">
        <v>322</v>
      </c>
      <c r="C38" s="54"/>
      <c r="D38" s="54"/>
      <c r="E38" s="54">
        <f>C38*D38</f>
        <v>0</v>
      </c>
      <c r="F38" s="54"/>
      <c r="G38" s="54"/>
      <c r="H38" s="54"/>
      <c r="I38" s="54">
        <f t="shared" si="3"/>
        <v>0</v>
      </c>
      <c r="J38" s="54"/>
      <c r="K38" s="54"/>
      <c r="L38" s="54">
        <f t="shared" si="4"/>
        <v>0</v>
      </c>
    </row>
    <row r="39" spans="2:12" x14ac:dyDescent="0.25">
      <c r="B39" s="54"/>
      <c r="C39" s="54"/>
      <c r="D39" s="54"/>
      <c r="E39" s="54">
        <f t="shared" si="0"/>
        <v>0</v>
      </c>
      <c r="F39" s="54"/>
      <c r="G39" s="54"/>
      <c r="H39" s="54"/>
      <c r="I39" s="54">
        <f t="shared" si="3"/>
        <v>0</v>
      </c>
      <c r="J39" s="54"/>
      <c r="K39" s="54"/>
      <c r="L39" s="54">
        <f t="shared" si="4"/>
        <v>0</v>
      </c>
    </row>
    <row r="40" spans="2:12" x14ac:dyDescent="0.25">
      <c r="B40" s="54"/>
      <c r="C40" s="54"/>
      <c r="D40" s="54"/>
      <c r="E40" s="54">
        <f t="shared" si="0"/>
        <v>0</v>
      </c>
      <c r="F40" s="54"/>
      <c r="G40" s="54"/>
      <c r="H40" s="54"/>
      <c r="I40" s="54">
        <f t="shared" si="3"/>
        <v>0</v>
      </c>
      <c r="J40" s="54"/>
      <c r="K40" s="54"/>
      <c r="L40" s="54">
        <f t="shared" si="4"/>
        <v>0</v>
      </c>
    </row>
    <row r="41" spans="2:12" x14ac:dyDescent="0.25">
      <c r="B41" s="54"/>
      <c r="C41" s="54"/>
      <c r="D41" s="54"/>
      <c r="E41" s="54">
        <f t="shared" si="0"/>
        <v>0</v>
      </c>
      <c r="F41" s="54"/>
      <c r="G41" s="54"/>
      <c r="H41" s="54"/>
      <c r="I41" s="54">
        <f t="shared" si="3"/>
        <v>0</v>
      </c>
      <c r="J41" s="54"/>
      <c r="K41" s="54"/>
      <c r="L41" s="54">
        <f t="shared" si="4"/>
        <v>0</v>
      </c>
    </row>
    <row r="42" spans="2:12" x14ac:dyDescent="0.25">
      <c r="B42" s="54" t="s">
        <v>146</v>
      </c>
      <c r="C42" s="54"/>
      <c r="D42" s="54">
        <f>E42*10.764</f>
        <v>0</v>
      </c>
      <c r="E42" s="71">
        <f>SUM(E6:E41)</f>
        <v>0</v>
      </c>
      <c r="F42" s="54"/>
      <c r="G42" s="54"/>
      <c r="H42" s="54">
        <f>I42*10.764</f>
        <v>0</v>
      </c>
      <c r="I42" s="70">
        <f>SUM(I6:I41)</f>
        <v>0</v>
      </c>
      <c r="J42" s="54"/>
      <c r="K42" s="54">
        <f>L42*10.764</f>
        <v>0</v>
      </c>
      <c r="L42" s="69">
        <f>SUM(L6:L41)</f>
        <v>0</v>
      </c>
    </row>
    <row r="44" spans="2:12" x14ac:dyDescent="0.25">
      <c r="D44" s="53">
        <f>D42+H42</f>
        <v>0</v>
      </c>
      <c r="E44" s="53">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VSJC-06</cp:lastModifiedBy>
  <cp:lastPrinted>2025-08-04T10:57:29Z</cp:lastPrinted>
  <dcterms:created xsi:type="dcterms:W3CDTF">2019-07-16T09:29:46Z</dcterms:created>
  <dcterms:modified xsi:type="dcterms:W3CDTF">2025-08-04T10:59:04Z</dcterms:modified>
</cp:coreProperties>
</file>