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8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Report!$A$1:$H$772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C48" i="1"/>
  <c r="D355" i="1"/>
  <c r="I549" i="1"/>
  <c r="I530" i="1"/>
  <c r="I512" i="1"/>
  <c r="I491" i="1"/>
  <c r="I452" i="1"/>
  <c r="I404" i="1"/>
  <c r="I352" i="1"/>
  <c r="I309" i="1"/>
  <c r="I270" i="1"/>
  <c r="I276" i="1"/>
  <c r="E399" i="1"/>
  <c r="E347" i="1"/>
  <c r="E307" i="1"/>
  <c r="E306" i="1"/>
  <c r="E267" i="1"/>
  <c r="E268" i="1"/>
  <c r="E548" i="1"/>
  <c r="D548" i="1"/>
  <c r="D547" i="1"/>
  <c r="F547" i="1" s="1"/>
  <c r="J546" i="1"/>
  <c r="D546" i="1"/>
  <c r="F546" i="1" s="1"/>
  <c r="A546" i="1"/>
  <c r="A547" i="1" s="1"/>
  <c r="A548" i="1" s="1"/>
  <c r="J545" i="1"/>
  <c r="G545" i="1"/>
  <c r="D545" i="1"/>
  <c r="A529" i="1"/>
  <c r="A511" i="1"/>
  <c r="D568" i="1"/>
  <c r="D567" i="1"/>
  <c r="D566" i="1"/>
  <c r="D565" i="1"/>
  <c r="D563" i="1"/>
  <c r="D562" i="1"/>
  <c r="D560" i="1"/>
  <c r="D558" i="1"/>
  <c r="D557" i="1"/>
  <c r="D555" i="1"/>
  <c r="D553" i="1"/>
  <c r="D552" i="1"/>
  <c r="D551" i="1"/>
  <c r="D550" i="1"/>
  <c r="D539" i="1"/>
  <c r="D534" i="1"/>
  <c r="D538" i="1"/>
  <c r="D533" i="1"/>
  <c r="D536" i="1"/>
  <c r="D531" i="1"/>
  <c r="D526" i="1"/>
  <c r="D537" i="1"/>
  <c r="D532" i="1"/>
  <c r="D527" i="1"/>
  <c r="D521" i="1"/>
  <c r="D520" i="1"/>
  <c r="D519" i="1"/>
  <c r="D518" i="1"/>
  <c r="D516" i="1"/>
  <c r="D515" i="1"/>
  <c r="D514" i="1"/>
  <c r="D513" i="1"/>
  <c r="D509" i="1"/>
  <c r="D508" i="1"/>
  <c r="D499" i="1"/>
  <c r="D500" i="1"/>
  <c r="D501" i="1"/>
  <c r="D502" i="1"/>
  <c r="D498" i="1"/>
  <c r="D496" i="1"/>
  <c r="D495" i="1"/>
  <c r="D494" i="1"/>
  <c r="D493" i="1"/>
  <c r="D492" i="1"/>
  <c r="D490" i="1"/>
  <c r="D489" i="1"/>
  <c r="D488" i="1"/>
  <c r="D487" i="1"/>
  <c r="D486" i="1"/>
  <c r="D483" i="1"/>
  <c r="D482" i="1"/>
  <c r="D477" i="1"/>
  <c r="D476" i="1"/>
  <c r="D471" i="1"/>
  <c r="D470" i="1"/>
  <c r="D463" i="1"/>
  <c r="D462" i="1"/>
  <c r="D461" i="1"/>
  <c r="D460" i="1"/>
  <c r="D459" i="1"/>
  <c r="D457" i="1"/>
  <c r="D456" i="1"/>
  <c r="D455" i="1"/>
  <c r="D454" i="1"/>
  <c r="D453" i="1"/>
  <c r="D451" i="1"/>
  <c r="D450" i="1"/>
  <c r="D449" i="1"/>
  <c r="D448" i="1"/>
  <c r="D447" i="1"/>
  <c r="D444" i="1"/>
  <c r="D443" i="1"/>
  <c r="D438" i="1"/>
  <c r="D437" i="1"/>
  <c r="D431" i="1"/>
  <c r="D424" i="1"/>
  <c r="D423" i="1"/>
  <c r="D420" i="1"/>
  <c r="D419" i="1"/>
  <c r="D417" i="1"/>
  <c r="D416" i="1"/>
  <c r="D413" i="1"/>
  <c r="D412" i="1"/>
  <c r="D410" i="1"/>
  <c r="D409" i="1"/>
  <c r="D408" i="1"/>
  <c r="D407" i="1"/>
  <c r="D406" i="1"/>
  <c r="D405" i="1"/>
  <c r="D403" i="1"/>
  <c r="D402" i="1"/>
  <c r="D401" i="1"/>
  <c r="D400" i="1"/>
  <c r="D399" i="1"/>
  <c r="D398" i="1"/>
  <c r="D395" i="1"/>
  <c r="D394" i="1"/>
  <c r="D393" i="1"/>
  <c r="D388" i="1"/>
  <c r="D387" i="1"/>
  <c r="D386" i="1"/>
  <c r="D380" i="1"/>
  <c r="D379" i="1"/>
  <c r="D372" i="1"/>
  <c r="D371" i="1"/>
  <c r="D368" i="1"/>
  <c r="D367" i="1"/>
  <c r="D365" i="1"/>
  <c r="D364" i="1"/>
  <c r="D361" i="1"/>
  <c r="D360" i="1"/>
  <c r="D358" i="1"/>
  <c r="D357" i="1"/>
  <c r="D354" i="1"/>
  <c r="D353" i="1"/>
  <c r="D356" i="1"/>
  <c r="D351" i="1"/>
  <c r="D350" i="1"/>
  <c r="D349" i="1"/>
  <c r="D348" i="1"/>
  <c r="D347" i="1"/>
  <c r="D346" i="1"/>
  <c r="D344" i="1"/>
  <c r="D343" i="1"/>
  <c r="D342" i="1"/>
  <c r="D341" i="1"/>
  <c r="D337" i="1"/>
  <c r="D336" i="1"/>
  <c r="D335" i="1"/>
  <c r="D334" i="1"/>
  <c r="D330" i="1"/>
  <c r="D329" i="1"/>
  <c r="D328" i="1"/>
  <c r="D327" i="1"/>
  <c r="D320" i="1"/>
  <c r="D319" i="1"/>
  <c r="D318" i="1"/>
  <c r="D317" i="1"/>
  <c r="D316" i="1"/>
  <c r="D308" i="1"/>
  <c r="D314" i="1"/>
  <c r="D313" i="1"/>
  <c r="D312" i="1"/>
  <c r="D311" i="1"/>
  <c r="D310" i="1"/>
  <c r="D307" i="1"/>
  <c r="D306" i="1"/>
  <c r="D305" i="1"/>
  <c r="D304" i="1"/>
  <c r="D281" i="1"/>
  <c r="D280" i="1"/>
  <c r="D279" i="1"/>
  <c r="D278" i="1"/>
  <c r="D277" i="1"/>
  <c r="D275" i="1"/>
  <c r="D274" i="1"/>
  <c r="D273" i="1"/>
  <c r="D272" i="1"/>
  <c r="D271" i="1"/>
  <c r="D268" i="1"/>
  <c r="D267" i="1"/>
  <c r="D269" i="1"/>
  <c r="D266" i="1"/>
  <c r="D265" i="1"/>
  <c r="D302" i="1"/>
  <c r="D263" i="1"/>
  <c r="D260" i="1"/>
  <c r="D259" i="1"/>
  <c r="D299" i="1"/>
  <c r="D298" i="1"/>
  <c r="D293" i="1"/>
  <c r="D292" i="1"/>
  <c r="D257" i="1"/>
  <c r="D254" i="1"/>
  <c r="D253" i="1"/>
  <c r="J287" i="1"/>
  <c r="D287" i="1"/>
  <c r="J286" i="1"/>
  <c r="D286" i="1"/>
  <c r="D251" i="1"/>
  <c r="D248" i="1"/>
  <c r="D247" i="1"/>
  <c r="D655" i="1"/>
  <c r="C188" i="1"/>
  <c r="C189" i="1" s="1"/>
  <c r="C190" i="1" s="1"/>
  <c r="C90" i="1"/>
  <c r="C92" i="1" s="1"/>
  <c r="C226" i="1" l="1"/>
  <c r="E226" i="1"/>
  <c r="C222" i="1"/>
  <c r="C228" i="1"/>
  <c r="C227" i="1"/>
  <c r="E223" i="1"/>
  <c r="E220" i="1"/>
  <c r="C223" i="1"/>
  <c r="C225" i="1"/>
  <c r="C221" i="1"/>
  <c r="E224" i="1"/>
  <c r="E221" i="1"/>
  <c r="E225" i="1"/>
  <c r="C220" i="1"/>
  <c r="F545" i="1"/>
  <c r="E222" i="1"/>
  <c r="C224" i="1"/>
  <c r="E228" i="1"/>
  <c r="F548" i="1"/>
  <c r="C91" i="1"/>
  <c r="C173" i="1"/>
  <c r="C229" i="1" l="1"/>
  <c r="D69" i="1"/>
  <c r="F502" i="1" l="1"/>
  <c r="F501" i="1"/>
  <c r="A501" i="1"/>
  <c r="F500" i="1"/>
  <c r="F499" i="1"/>
  <c r="A499" i="1"/>
  <c r="G498" i="1"/>
  <c r="F498" i="1"/>
  <c r="F496" i="1"/>
  <c r="F495" i="1"/>
  <c r="F494" i="1"/>
  <c r="F487" i="1"/>
  <c r="F493" i="1"/>
  <c r="F492" i="1"/>
  <c r="A495" i="1"/>
  <c r="A493" i="1"/>
  <c r="G492" i="1"/>
  <c r="F490" i="1"/>
  <c r="F489" i="1"/>
  <c r="F488" i="1"/>
  <c r="F486" i="1"/>
  <c r="A489" i="1"/>
  <c r="A487" i="1"/>
  <c r="G486" i="1"/>
  <c r="F483" i="1"/>
  <c r="F482" i="1"/>
  <c r="F477" i="1"/>
  <c r="F476" i="1"/>
  <c r="A475" i="1"/>
  <c r="A476" i="1" s="1"/>
  <c r="A477" i="1" s="1"/>
  <c r="A478" i="1" s="1"/>
  <c r="G474" i="1"/>
  <c r="F471" i="1"/>
  <c r="A481" i="1"/>
  <c r="A482" i="1" s="1"/>
  <c r="A483" i="1" s="1"/>
  <c r="A484" i="1" s="1"/>
  <c r="G480" i="1"/>
  <c r="G468" i="1"/>
  <c r="A469" i="1"/>
  <c r="A470" i="1" s="1"/>
  <c r="A471" i="1" s="1"/>
  <c r="A472" i="1" s="1"/>
  <c r="J165" i="1"/>
  <c r="J164" i="1"/>
  <c r="J163" i="1"/>
  <c r="J162" i="1"/>
  <c r="H154" i="1"/>
  <c r="F470" i="1" l="1"/>
  <c r="G225" i="1" s="1"/>
  <c r="D161" i="1"/>
  <c r="D159" i="1"/>
  <c r="J157" i="1"/>
  <c r="J156" i="1"/>
  <c r="D166" i="1"/>
  <c r="D165" i="1"/>
  <c r="D164" i="1"/>
  <c r="D163" i="1"/>
  <c r="D162" i="1"/>
  <c r="D160" i="1"/>
  <c r="J159" i="1"/>
  <c r="J160" i="1" s="1"/>
  <c r="J158" i="1"/>
  <c r="C157" i="1" s="1"/>
  <c r="J153" i="1"/>
  <c r="J155" i="1" s="1"/>
  <c r="C104" i="1"/>
  <c r="C118" i="1"/>
  <c r="C132" i="1"/>
  <c r="C146" i="1"/>
  <c r="D157" i="1" l="1"/>
  <c r="J161" i="1"/>
  <c r="J166" i="1" s="1"/>
  <c r="C158" i="1" s="1"/>
  <c r="F267" i="1"/>
  <c r="F263" i="1"/>
  <c r="F260" i="1"/>
  <c r="G259" i="1"/>
  <c r="F259" i="1"/>
  <c r="F257" i="1"/>
  <c r="F254" i="1"/>
  <c r="G253" i="1"/>
  <c r="F253" i="1"/>
  <c r="F251" i="1"/>
  <c r="F248" i="1"/>
  <c r="F281" i="1"/>
  <c r="F280" i="1"/>
  <c r="F279" i="1"/>
  <c r="F278" i="1"/>
  <c r="G277" i="1"/>
  <c r="F277" i="1"/>
  <c r="F275" i="1"/>
  <c r="F274" i="1"/>
  <c r="F273" i="1"/>
  <c r="F272" i="1"/>
  <c r="G271" i="1"/>
  <c r="F271" i="1"/>
  <c r="F269" i="1"/>
  <c r="F268" i="1"/>
  <c r="F266" i="1"/>
  <c r="G265" i="1"/>
  <c r="F265" i="1"/>
  <c r="G247" i="1"/>
  <c r="J95" i="1"/>
  <c r="J94" i="1"/>
  <c r="J93" i="1"/>
  <c r="J92" i="1"/>
  <c r="H84" i="1"/>
  <c r="E157" i="1" l="1"/>
  <c r="J154" i="1"/>
  <c r="D158" i="1"/>
  <c r="I154" i="1" s="1"/>
  <c r="G157" i="1"/>
  <c r="F247" i="1"/>
  <c r="G220" i="1" s="1"/>
  <c r="J89" i="1"/>
  <c r="J83" i="1"/>
  <c r="J85" i="1" s="1"/>
  <c r="D95" i="1"/>
  <c r="D93" i="1"/>
  <c r="D91" i="1"/>
  <c r="D89" i="1"/>
  <c r="J87" i="1"/>
  <c r="J86" i="1"/>
  <c r="J88" i="1"/>
  <c r="C87" i="1" s="1"/>
  <c r="D96" i="1"/>
  <c r="D94" i="1"/>
  <c r="D92" i="1"/>
  <c r="D90" i="1"/>
  <c r="J561" i="1"/>
  <c r="J560" i="1"/>
  <c r="J551" i="1"/>
  <c r="J550" i="1"/>
  <c r="I155" i="1" l="1"/>
  <c r="I153" i="1" s="1"/>
  <c r="C155" i="1" s="1"/>
  <c r="J90" i="1"/>
  <c r="J91" i="1" s="1"/>
  <c r="D87" i="1"/>
  <c r="E7" i="1"/>
  <c r="C174" i="1"/>
  <c r="J96" i="1" l="1"/>
  <c r="C88" i="1" s="1"/>
  <c r="G87" i="1" s="1"/>
  <c r="F560" i="1"/>
  <c r="F563" i="1"/>
  <c r="F562" i="1"/>
  <c r="F555" i="1"/>
  <c r="F558" i="1"/>
  <c r="F557" i="1"/>
  <c r="F568" i="1"/>
  <c r="F567" i="1"/>
  <c r="F566" i="1"/>
  <c r="F565" i="1"/>
  <c r="F552" i="1"/>
  <c r="F553" i="1"/>
  <c r="F550" i="1"/>
  <c r="A566" i="1"/>
  <c r="A567" i="1" s="1"/>
  <c r="A568" i="1" s="1"/>
  <c r="G565" i="1"/>
  <c r="G550" i="1"/>
  <c r="A551" i="1"/>
  <c r="A552" i="1" s="1"/>
  <c r="A553" i="1" s="1"/>
  <c r="G555" i="1"/>
  <c r="A556" i="1"/>
  <c r="A557" i="1" s="1"/>
  <c r="A558" i="1" s="1"/>
  <c r="G560" i="1"/>
  <c r="A561" i="1"/>
  <c r="A562" i="1" s="1"/>
  <c r="A563" i="1" s="1"/>
  <c r="C181" i="1"/>
  <c r="J193" i="1"/>
  <c r="J192" i="1"/>
  <c r="J191" i="1"/>
  <c r="D88" i="1" l="1"/>
  <c r="I84" i="1" s="1"/>
  <c r="I85" i="1" s="1"/>
  <c r="E87" i="1"/>
  <c r="J84" i="1"/>
  <c r="F551" i="1"/>
  <c r="G228" i="1" s="1"/>
  <c r="I83" i="1" l="1"/>
  <c r="C85" i="1" s="1"/>
  <c r="J137" i="1"/>
  <c r="J136" i="1"/>
  <c r="J135" i="1"/>
  <c r="J134" i="1"/>
  <c r="F424" i="1"/>
  <c r="F423" i="1"/>
  <c r="F420" i="1"/>
  <c r="F419" i="1"/>
  <c r="F417" i="1"/>
  <c r="F416" i="1"/>
  <c r="F413" i="1"/>
  <c r="F412" i="1"/>
  <c r="F410" i="1"/>
  <c r="F409" i="1"/>
  <c r="F408" i="1"/>
  <c r="F407" i="1"/>
  <c r="F406" i="1"/>
  <c r="F405" i="1"/>
  <c r="F403" i="1"/>
  <c r="F402" i="1"/>
  <c r="F401" i="1"/>
  <c r="F400" i="1"/>
  <c r="F399" i="1"/>
  <c r="F398" i="1"/>
  <c r="F395" i="1"/>
  <c r="F394" i="1"/>
  <c r="F393" i="1"/>
  <c r="F386" i="1"/>
  <c r="F380" i="1"/>
  <c r="F379" i="1"/>
  <c r="J376" i="1"/>
  <c r="A420" i="1"/>
  <c r="A421" i="1" s="1"/>
  <c r="A422" i="1" s="1"/>
  <c r="A423" i="1" s="1"/>
  <c r="A424" i="1" s="1"/>
  <c r="G419" i="1"/>
  <c r="A413" i="1"/>
  <c r="A414" i="1" s="1"/>
  <c r="A415" i="1" s="1"/>
  <c r="A416" i="1" s="1"/>
  <c r="A417" i="1" s="1"/>
  <c r="G412" i="1"/>
  <c r="A406" i="1"/>
  <c r="A407" i="1" s="1"/>
  <c r="A408" i="1" s="1"/>
  <c r="A409" i="1" s="1"/>
  <c r="A410" i="1" s="1"/>
  <c r="G405" i="1"/>
  <c r="A392" i="1"/>
  <c r="A393" i="1" s="1"/>
  <c r="A394" i="1" s="1"/>
  <c r="A395" i="1" s="1"/>
  <c r="A396" i="1" s="1"/>
  <c r="G391" i="1"/>
  <c r="A399" i="1"/>
  <c r="A400" i="1" s="1"/>
  <c r="A401" i="1" s="1"/>
  <c r="A402" i="1" s="1"/>
  <c r="A403" i="1" s="1"/>
  <c r="G398" i="1"/>
  <c r="G384" i="1"/>
  <c r="A382" i="1"/>
  <c r="A380" i="1"/>
  <c r="A378" i="1"/>
  <c r="G377" i="1"/>
  <c r="F388" i="1"/>
  <c r="F387" i="1"/>
  <c r="A385" i="1"/>
  <c r="A386" i="1" s="1"/>
  <c r="A387" i="1" s="1"/>
  <c r="A388" i="1" s="1"/>
  <c r="A389" i="1" s="1"/>
  <c r="J42" i="1"/>
  <c r="H126" i="1"/>
  <c r="G223" i="1" l="1"/>
  <c r="J130" i="1"/>
  <c r="C129" i="1" s="1"/>
  <c r="D138" i="1"/>
  <c r="D134" i="1"/>
  <c r="D137" i="1"/>
  <c r="D133" i="1"/>
  <c r="J129" i="1"/>
  <c r="J128" i="1"/>
  <c r="D136" i="1"/>
  <c r="D132" i="1"/>
  <c r="J131" i="1"/>
  <c r="J125" i="1"/>
  <c r="J127" i="1" s="1"/>
  <c r="D135" i="1"/>
  <c r="D131" i="1"/>
  <c r="J151" i="1"/>
  <c r="J150" i="1"/>
  <c r="J149" i="1"/>
  <c r="J148" i="1"/>
  <c r="J123" i="1"/>
  <c r="J122" i="1"/>
  <c r="J121" i="1"/>
  <c r="J120" i="1"/>
  <c r="H140" i="1"/>
  <c r="J132" i="1" l="1"/>
  <c r="J133" i="1" s="1"/>
  <c r="D129" i="1"/>
  <c r="J145" i="1"/>
  <c r="D143" i="1"/>
  <c r="J139" i="1"/>
  <c r="J141" i="1" s="1"/>
  <c r="D151" i="1"/>
  <c r="D149" i="1"/>
  <c r="D147" i="1"/>
  <c r="D145" i="1"/>
  <c r="J143" i="1"/>
  <c r="J142" i="1"/>
  <c r="J144" i="1"/>
  <c r="D152" i="1"/>
  <c r="D150" i="1"/>
  <c r="D148" i="1"/>
  <c r="D146" i="1"/>
  <c r="F463" i="1"/>
  <c r="F462" i="1"/>
  <c r="A462" i="1"/>
  <c r="F461" i="1"/>
  <c r="F460" i="1"/>
  <c r="A460" i="1"/>
  <c r="G459" i="1"/>
  <c r="F459" i="1"/>
  <c r="F372" i="1"/>
  <c r="A372" i="1"/>
  <c r="F371" i="1"/>
  <c r="A370" i="1"/>
  <c r="F368" i="1"/>
  <c r="A368" i="1"/>
  <c r="G367" i="1"/>
  <c r="F367" i="1"/>
  <c r="F351" i="1"/>
  <c r="F350" i="1"/>
  <c r="F349" i="1"/>
  <c r="F348" i="1"/>
  <c r="F347" i="1"/>
  <c r="F346" i="1"/>
  <c r="A351" i="1"/>
  <c r="A349" i="1"/>
  <c r="A347" i="1"/>
  <c r="G346" i="1"/>
  <c r="J138" i="1" l="1"/>
  <c r="J126" i="1" s="1"/>
  <c r="E129" i="1"/>
  <c r="G129" i="1"/>
  <c r="D130" i="1"/>
  <c r="I126" i="1" s="1"/>
  <c r="J146" i="1"/>
  <c r="E3" i="1"/>
  <c r="F457" i="1"/>
  <c r="F456" i="1"/>
  <c r="A456" i="1"/>
  <c r="F455" i="1"/>
  <c r="F454" i="1"/>
  <c r="A454" i="1"/>
  <c r="G453" i="1"/>
  <c r="F453" i="1"/>
  <c r="F448" i="1"/>
  <c r="F447" i="1"/>
  <c r="F450" i="1"/>
  <c r="A450" i="1"/>
  <c r="F449" i="1"/>
  <c r="A448" i="1"/>
  <c r="G447" i="1"/>
  <c r="G441" i="1"/>
  <c r="G435" i="1"/>
  <c r="F444" i="1"/>
  <c r="A444" i="1"/>
  <c r="F443" i="1"/>
  <c r="A442" i="1"/>
  <c r="F438" i="1"/>
  <c r="A438" i="1"/>
  <c r="F437" i="1"/>
  <c r="A436" i="1"/>
  <c r="F431" i="1"/>
  <c r="A432" i="1"/>
  <c r="A430" i="1"/>
  <c r="G429" i="1"/>
  <c r="F365" i="1"/>
  <c r="A365" i="1"/>
  <c r="F364" i="1"/>
  <c r="A363" i="1"/>
  <c r="F361" i="1"/>
  <c r="A361" i="1"/>
  <c r="G360" i="1"/>
  <c r="F360" i="1"/>
  <c r="F354" i="1"/>
  <c r="F353" i="1"/>
  <c r="F358" i="1"/>
  <c r="A358" i="1"/>
  <c r="F357" i="1"/>
  <c r="F356" i="1"/>
  <c r="A356" i="1"/>
  <c r="F355" i="1"/>
  <c r="A354" i="1"/>
  <c r="G353" i="1"/>
  <c r="F344" i="1"/>
  <c r="A344" i="1"/>
  <c r="F343" i="1"/>
  <c r="F342" i="1"/>
  <c r="A342" i="1"/>
  <c r="F341" i="1"/>
  <c r="A340" i="1"/>
  <c r="G339" i="1"/>
  <c r="F337" i="1"/>
  <c r="A337" i="1"/>
  <c r="F336" i="1"/>
  <c r="F335" i="1"/>
  <c r="A335" i="1"/>
  <c r="F334" i="1"/>
  <c r="A333" i="1"/>
  <c r="G332" i="1"/>
  <c r="A326" i="1"/>
  <c r="F330" i="1"/>
  <c r="F329" i="1"/>
  <c r="A330" i="1"/>
  <c r="I355" i="1" l="1"/>
  <c r="J355" i="1" s="1"/>
  <c r="K355" i="1" s="1"/>
  <c r="J354" i="1"/>
  <c r="I127" i="1"/>
  <c r="I125" i="1" s="1"/>
  <c r="C127" i="1" s="1"/>
  <c r="F451" i="1"/>
  <c r="G224" i="1" s="1"/>
  <c r="J147" i="1"/>
  <c r="J152" i="1" s="1"/>
  <c r="C144" i="1" s="1"/>
  <c r="G143" i="1" s="1"/>
  <c r="F328" i="1"/>
  <c r="A328" i="1"/>
  <c r="G325" i="1"/>
  <c r="F327" i="1"/>
  <c r="G222" i="1" l="1"/>
  <c r="D144" i="1"/>
  <c r="I140" i="1" s="1"/>
  <c r="I141" i="1" s="1"/>
  <c r="J140" i="1"/>
  <c r="E143" i="1"/>
  <c r="C167" i="1"/>
  <c r="J179" i="1"/>
  <c r="J178" i="1"/>
  <c r="J177" i="1"/>
  <c r="F527" i="1"/>
  <c r="F526" i="1"/>
  <c r="A527" i="1"/>
  <c r="G526" i="1"/>
  <c r="F521" i="1"/>
  <c r="A521" i="1"/>
  <c r="F520" i="1"/>
  <c r="F519" i="1"/>
  <c r="A519" i="1"/>
  <c r="G518" i="1"/>
  <c r="F518" i="1"/>
  <c r="F516" i="1"/>
  <c r="F515" i="1"/>
  <c r="F513" i="1"/>
  <c r="A516" i="1"/>
  <c r="A514" i="1"/>
  <c r="G513" i="1"/>
  <c r="F509" i="1"/>
  <c r="A509" i="1"/>
  <c r="G508" i="1"/>
  <c r="F320" i="1"/>
  <c r="F319" i="1"/>
  <c r="F318" i="1"/>
  <c r="G316" i="1"/>
  <c r="F316" i="1"/>
  <c r="F314" i="1"/>
  <c r="F313" i="1"/>
  <c r="F312" i="1"/>
  <c r="F311" i="1"/>
  <c r="G310" i="1"/>
  <c r="F310" i="1"/>
  <c r="F308" i="1"/>
  <c r="F307" i="1"/>
  <c r="F306" i="1"/>
  <c r="F304" i="1"/>
  <c r="G304" i="1"/>
  <c r="F302" i="1"/>
  <c r="F299" i="1"/>
  <c r="F298" i="1"/>
  <c r="A299" i="1"/>
  <c r="G298" i="1"/>
  <c r="F293" i="1"/>
  <c r="A293" i="1"/>
  <c r="G292" i="1"/>
  <c r="F292" i="1"/>
  <c r="I139" i="1" l="1"/>
  <c r="C141" i="1" s="1"/>
  <c r="F508" i="1"/>
  <c r="E227" i="1"/>
  <c r="F514" i="1"/>
  <c r="F317" i="1"/>
  <c r="F305" i="1"/>
  <c r="G226" i="1" l="1"/>
  <c r="E229" i="1"/>
  <c r="G286" i="1"/>
  <c r="F287" i="1"/>
  <c r="A287" i="1"/>
  <c r="F286" i="1"/>
  <c r="G221" i="1" s="1"/>
  <c r="J532" i="1" l="1"/>
  <c r="E27" i="1"/>
  <c r="K531" i="1" l="1"/>
  <c r="K532" i="1"/>
  <c r="F532" i="1"/>
  <c r="F533" i="1"/>
  <c r="F534" i="1"/>
  <c r="F531" i="1"/>
  <c r="A532" i="1"/>
  <c r="A533" i="1" s="1"/>
  <c r="A534" i="1" s="1"/>
  <c r="G531" i="1"/>
  <c r="K533" i="1" l="1"/>
  <c r="K534" i="1" s="1"/>
  <c r="F212" i="1"/>
  <c r="F236" i="1" l="1"/>
  <c r="F237" i="1"/>
  <c r="F238" i="1"/>
  <c r="F235" i="1"/>
  <c r="B571" i="1" l="1"/>
  <c r="C13" i="1" l="1"/>
  <c r="F539" i="1" l="1"/>
  <c r="F537" i="1"/>
  <c r="F536" i="1"/>
  <c r="F538" i="1"/>
  <c r="G227" i="1" l="1"/>
  <c r="G229" i="1" s="1"/>
  <c r="B57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611" i="1"/>
  <c r="G536" i="1"/>
  <c r="A537" i="1"/>
  <c r="A538" i="1" s="1"/>
  <c r="A539" i="1" s="1"/>
  <c r="A236" i="1"/>
  <c r="A237" i="1" s="1"/>
  <c r="A238" i="1" s="1"/>
  <c r="G235" i="1"/>
  <c r="G236" i="1" s="1"/>
  <c r="G237" i="1" s="1"/>
  <c r="G238" i="1" s="1"/>
  <c r="E40" i="1"/>
  <c r="E41" i="1" s="1"/>
  <c r="E24" i="1"/>
  <c r="E22" i="1"/>
  <c r="H98" i="1"/>
  <c r="D110" i="1" l="1"/>
  <c r="D108" i="1"/>
  <c r="D107" i="1"/>
  <c r="D106" i="1"/>
  <c r="D104" i="1"/>
  <c r="J97" i="1"/>
  <c r="D109" i="1"/>
  <c r="D105" i="1"/>
  <c r="J101" i="1"/>
  <c r="J102" i="1"/>
  <c r="J100" i="1"/>
  <c r="J103" i="1"/>
  <c r="J104" i="1" l="1"/>
  <c r="D103" i="1"/>
  <c r="J99" i="1"/>
  <c r="D101" i="1"/>
  <c r="H168" i="1"/>
  <c r="J167" i="1" l="1"/>
  <c r="J169" i="1" s="1"/>
  <c r="J109" i="1"/>
  <c r="J105" i="1"/>
  <c r="J172" i="1"/>
  <c r="D180" i="1"/>
  <c r="D176" i="1"/>
  <c r="J171" i="1"/>
  <c r="D179" i="1"/>
  <c r="D175" i="1"/>
  <c r="D178" i="1"/>
  <c r="D174" i="1"/>
  <c r="D177" i="1"/>
  <c r="J170" i="1"/>
  <c r="J173" i="1"/>
  <c r="J174" i="1" s="1"/>
  <c r="D173" i="1"/>
  <c r="J106" i="1" l="1"/>
  <c r="J107" i="1" s="1"/>
  <c r="J108" i="1" s="1"/>
  <c r="D171" i="1"/>
  <c r="J175" i="1"/>
  <c r="H112" i="1"/>
  <c r="J110" i="1" l="1"/>
  <c r="C102" i="1" s="1"/>
  <c r="E101" i="1" s="1"/>
  <c r="J116" i="1"/>
  <c r="D122" i="1"/>
  <c r="D120" i="1"/>
  <c r="D118" i="1"/>
  <c r="D124" i="1"/>
  <c r="J117" i="1"/>
  <c r="D115" i="1"/>
  <c r="J111" i="1"/>
  <c r="J113" i="1" s="1"/>
  <c r="D123" i="1"/>
  <c r="D121" i="1"/>
  <c r="D119" i="1"/>
  <c r="D117" i="1"/>
  <c r="J115" i="1"/>
  <c r="J114" i="1"/>
  <c r="J176" i="1"/>
  <c r="G101" i="1" l="1"/>
  <c r="D81" i="1" s="1"/>
  <c r="F82" i="1" s="1"/>
  <c r="D102" i="1"/>
  <c r="I98" i="1" s="1"/>
  <c r="I99" i="1" s="1"/>
  <c r="J98" i="1"/>
  <c r="J118" i="1"/>
  <c r="J180" i="1"/>
  <c r="J168" i="1" s="1"/>
  <c r="H182" i="1"/>
  <c r="J181" i="1" l="1"/>
  <c r="J183" i="1" s="1"/>
  <c r="I97" i="1"/>
  <c r="C99" i="1" s="1"/>
  <c r="D82" i="1"/>
  <c r="J187" i="1"/>
  <c r="D194" i="1"/>
  <c r="D193" i="1"/>
  <c r="D192" i="1"/>
  <c r="D191" i="1"/>
  <c r="D190" i="1"/>
  <c r="D189" i="1"/>
  <c r="D188" i="1"/>
  <c r="D187" i="1"/>
  <c r="J186" i="1"/>
  <c r="C185" i="1" s="1"/>
  <c r="J185" i="1"/>
  <c r="J184" i="1"/>
  <c r="J119" i="1"/>
  <c r="D172" i="1"/>
  <c r="I168" i="1" s="1"/>
  <c r="E171" i="1"/>
  <c r="G171" i="1"/>
  <c r="D185" i="1" l="1"/>
  <c r="I169" i="1"/>
  <c r="I167" i="1" s="1"/>
  <c r="C169" i="1" s="1"/>
  <c r="J188" i="1"/>
  <c r="J189" i="1" s="1"/>
  <c r="J124" i="1"/>
  <c r="C116" i="1" s="1"/>
  <c r="J190" i="1" l="1"/>
  <c r="G115" i="1"/>
  <c r="D116" i="1"/>
  <c r="I112" i="1" s="1"/>
  <c r="I113" i="1" s="1"/>
  <c r="E115" i="1"/>
  <c r="J112" i="1"/>
  <c r="J194" i="1" l="1"/>
  <c r="C186" i="1" s="1"/>
  <c r="J182" i="1" s="1"/>
  <c r="I111" i="1"/>
  <c r="C113" i="1" s="1"/>
  <c r="G185" i="1" l="1"/>
  <c r="E185" i="1"/>
  <c r="D186" i="1"/>
  <c r="I182" i="1" s="1"/>
  <c r="I183" i="1" s="1"/>
  <c r="I181" i="1" s="1"/>
  <c r="C183" i="1" l="1"/>
</calcChain>
</file>

<file path=xl/sharedStrings.xml><?xml version="1.0" encoding="utf-8"?>
<sst xmlns="http://schemas.openxmlformats.org/spreadsheetml/2006/main" count="962" uniqueCount="362">
  <si>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</si>
  <si>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</si>
  <si>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</si>
  <si>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</si>
  <si>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</si>
  <si>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</si>
  <si>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</si>
  <si>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</si>
  <si>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</si>
  <si>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</si>
  <si>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</si>
  <si>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</si>
  <si>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</si>
  <si>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</si>
  <si>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</si>
  <si>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</si>
  <si>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</si>
  <si>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</si>
  <si>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</si>
  <si>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</si>
  <si>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</si>
  <si>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</si>
  <si>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</si>
  <si>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</si>
  <si>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</si>
  <si>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</si>
  <si>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</si>
  <si>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</si>
  <si>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</si>
  <si>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</si>
  <si>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</si>
  <si>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</si>
  <si>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</si>
  <si>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</si>
  <si>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</si>
  <si>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</si>
  <si>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</si>
  <si>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</si>
  <si>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</si>
  <si>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</si>
  <si>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</si>
  <si>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</si>
  <si>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</si>
  <si>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</si>
  <si>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</si>
  <si>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</si>
  <si>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</si>
  <si>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</si>
  <si>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</si>
  <si>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</si>
  <si>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</si>
  <si>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</si>
  <si>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</si>
  <si>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</si>
  <si>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</si>
  <si>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</si>
  <si>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</si>
  <si>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</si>
  <si>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</si>
  <si>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</si>
  <si>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</si>
  <si>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</si>
  <si>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</si>
  <si>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</si>
  <si>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</si>
  <si>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</si>
  <si>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</si>
  <si>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</si>
  <si>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</si>
  <si>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</si>
  <si>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</si>
  <si>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</si>
  <si>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</si>
  <si>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</si>
  <si>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</si>
  <si>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</si>
  <si>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</si>
  <si>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</si>
  <si>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</si>
  <si>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</si>
  <si>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</si>
  <si>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</si>
  <si>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</si>
  <si>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</si>
  <si>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</si>
  <si>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</si>
  <si>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</si>
  <si>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</si>
  <si>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</si>
  <si>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</si>
  <si>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</si>
  <si>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</si>
  <si>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</si>
  <si>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</si>
  <si>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</si>
  <si>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</si>
  <si>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</si>
  <si>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</si>
  <si>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</si>
  <si>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</si>
  <si>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</si>
  <si>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</si>
  <si>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</si>
  <si>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</si>
  <si>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</si>
  <si>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</si>
  <si>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</si>
  <si>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</si>
  <si>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</si>
  <si>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</si>
  <si>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</si>
  <si>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</si>
  <si>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</si>
  <si>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</si>
  <si>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</si>
  <si>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</si>
  <si>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</si>
  <si>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</si>
  <si>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</si>
  <si>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</si>
  <si>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</si>
  <si>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</si>
  <si>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</si>
  <si>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</si>
  <si>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</si>
  <si>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</si>
  <si>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</si>
  <si>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</si>
  <si>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</si>
  <si>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</si>
  <si>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</si>
  <si>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</si>
  <si>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</si>
  <si>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</si>
  <si>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</si>
  <si>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</si>
  <si>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</si>
  <si>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</si>
  <si>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</si>
  <si>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</si>
  <si>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</si>
  <si>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</si>
  <si>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</si>
  <si>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</si>
  <si>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</si>
  <si>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</si>
  <si>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</si>
  <si>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</si>
  <si>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</si>
  <si>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</si>
  <si>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</si>
  <si>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</si>
  <si>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</si>
  <si>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</si>
  <si>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</si>
  <si>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</si>
  <si>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</si>
  <si>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Axis Goregaon</t>
  </si>
  <si>
    <t>Majas (Jogeshwari)</t>
  </si>
  <si>
    <t>Mumbai</t>
  </si>
  <si>
    <t>Andheri</t>
  </si>
  <si>
    <t>Brookhaven Condominium</t>
  </si>
  <si>
    <t>Open Plot</t>
  </si>
  <si>
    <t>Slum Area</t>
  </si>
  <si>
    <t>Station Road</t>
  </si>
  <si>
    <t>Ichapurti Ganesh Mandir Talav Walking Park</t>
  </si>
  <si>
    <t>1.7 KM from Jogeshwari Railway Station</t>
  </si>
  <si>
    <t>Municipal Corporation of Greater Mumbai.(MCGM)</t>
  </si>
  <si>
    <t>2BHK</t>
  </si>
  <si>
    <t>1BHK</t>
  </si>
  <si>
    <t>We considered Gross carpet area = Net carpet</t>
  </si>
  <si>
    <t xml:space="preserve">Sheet </t>
  </si>
  <si>
    <t>on Carpet Area</t>
  </si>
  <si>
    <t>Housing</t>
  </si>
  <si>
    <t>MIS</t>
  </si>
  <si>
    <t>17000-20000</t>
  </si>
  <si>
    <t>M/s.Alder Residency Private Limited</t>
  </si>
  <si>
    <t xml:space="preserve">Construction Details </t>
  </si>
  <si>
    <t xml:space="preserve">Sanket </t>
  </si>
  <si>
    <t>Piling to excavation</t>
  </si>
  <si>
    <t>3BHK</t>
  </si>
  <si>
    <t xml:space="preserve">4th Floor </t>
  </si>
  <si>
    <t>Building No. 2</t>
  </si>
  <si>
    <t>3rd to 1st Basement Floor for Parking</t>
  </si>
  <si>
    <t>2nd to 6th, 8th, 10th, 12th, 14th, 16th, 18th, 20th &amp; 22nd Floor</t>
  </si>
  <si>
    <t>Approved Plans, CC.</t>
  </si>
  <si>
    <t>33A, 62 &amp; 76</t>
  </si>
  <si>
    <t>CTS No</t>
  </si>
  <si>
    <t>Building Name Clarification as per MCGM &amp; Builder is given as follows, 
North wings (Wing A to F) is Building No. 1 (Wing A to F) &amp; 
South wings (Wing A to E) is Building No. 2 (Wing A to E)</t>
  </si>
  <si>
    <t xml:space="preserve">1st Floor for Residential &amp; Podium Parking </t>
  </si>
  <si>
    <t xml:space="preserve">2nd Floor for Residential &amp; Podium Parking </t>
  </si>
  <si>
    <t>Entrance Lobby</t>
  </si>
  <si>
    <t>Parking</t>
  </si>
  <si>
    <t>3rd Floor for Residential &amp; Podium Amenties</t>
  </si>
  <si>
    <t>Refuge Area</t>
  </si>
  <si>
    <t>Wing E</t>
  </si>
  <si>
    <t>Wing C</t>
  </si>
  <si>
    <t>Wing B</t>
  </si>
  <si>
    <t>Wing A</t>
  </si>
  <si>
    <t xml:space="preserve">We have updated revised plans &amp; CC of North Wing C &amp; E (on 22/12/2022).
</t>
  </si>
  <si>
    <t>https://goo.gl/maps/Z1ddjTDBwhLVNs9K7</t>
  </si>
  <si>
    <t>Latitude, Longitude</t>
  </si>
  <si>
    <t>Fitness Centre</t>
  </si>
  <si>
    <t xml:space="preserve">5th to 7th, 9th to 14th, 16th to 22nd Floor </t>
  </si>
  <si>
    <t>8th Floor (Part Refuge Area)</t>
  </si>
  <si>
    <t>15th Floor (Part Refuge Area)</t>
  </si>
  <si>
    <t>Entrance Lobby &amp; Parking</t>
  </si>
  <si>
    <t>Substation Below</t>
  </si>
  <si>
    <t xml:space="preserve">Fitness Centre </t>
  </si>
  <si>
    <t>5th to 7th, 9th, 11th, 13th, 15th, 17th, 19th &amp; 21st Floor</t>
  </si>
  <si>
    <t>8th, 10th, 12th, 14th, 16th, 18th, 20th &amp; 22nd Floor</t>
  </si>
  <si>
    <t xml:space="preserve">We have updated revised plans &amp; CC of North &amp; South (on 26/04/2023).
</t>
  </si>
  <si>
    <t>Entity Formation Charges</t>
  </si>
  <si>
    <t>Charges for EMP (as per MOEF requirement)</t>
  </si>
  <si>
    <t>Electric Meter Supply &amp; Connection Charges</t>
  </si>
  <si>
    <t>Water Supply Connection Charges</t>
  </si>
  <si>
    <t>Infrastructure Development charges + Gas supply and meter charges</t>
  </si>
  <si>
    <t>19400 to 21000, FR &amp; OC</t>
  </si>
  <si>
    <t>Sanket</t>
  </si>
  <si>
    <t>Cost Sheet</t>
  </si>
  <si>
    <t>North Wing B (Building No. 1) = 2B + G/St + 1st to 22nd Floor</t>
  </si>
  <si>
    <t>North Wing C (Building No. 1) = 2B + G/St + 1st to 22nd Floor</t>
  </si>
  <si>
    <t>North Wing E (Building No. 1) = 2B + G/St + 1st to 22nd Floor</t>
  </si>
  <si>
    <t>Jogeshwari East</t>
  </si>
  <si>
    <t>Location Link</t>
  </si>
  <si>
    <t>We have updated revised plans &amp; CC of North Wing D (on 03/07/2023).</t>
  </si>
  <si>
    <t>Drivers Rest Room - 4</t>
  </si>
  <si>
    <t xml:space="preserve">2nd &amp; 1st Basement Floor for Parking
</t>
  </si>
  <si>
    <t xml:space="preserve">2nd Podium Floor for Residential, Society Office &amp; Podium Parking </t>
  </si>
  <si>
    <t>Society Office</t>
  </si>
  <si>
    <t>3rd Podium Floor for Residential &amp; Fitness Center</t>
  </si>
  <si>
    <t>Fitness Center - 7</t>
  </si>
  <si>
    <t>Fitness Center - 5 &amp; 6</t>
  </si>
  <si>
    <t>Wing D</t>
  </si>
  <si>
    <t>North Wing D (Building No. 1) = 2B + G/St + 1st to 22nd Floor</t>
  </si>
  <si>
    <t>Recommended rate of the Flat Per Sq. Ft. (For Subvention Scheme)</t>
  </si>
  <si>
    <t>Subvention Scheme Added by nikhil on 27/10/2023</t>
  </si>
  <si>
    <t xml:space="preserve"> South Wing A</t>
  </si>
  <si>
    <t>South Wing B</t>
  </si>
  <si>
    <t>South Wing C</t>
  </si>
  <si>
    <t>North Wing E</t>
  </si>
  <si>
    <t>North Wing D</t>
  </si>
  <si>
    <t xml:space="preserve"> North Wing C</t>
  </si>
  <si>
    <t xml:space="preserve"> North Wing B</t>
  </si>
  <si>
    <t>Building No. 1</t>
  </si>
  <si>
    <t>22nd Floor</t>
  </si>
  <si>
    <t>10th Floor (Part Refuge Area)</t>
  </si>
  <si>
    <t>17th Floor  (Part Refuge Area)</t>
  </si>
  <si>
    <t>Layout :</t>
  </si>
  <si>
    <t>60 Years After Completion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</si>
  <si>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</si>
  <si>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Carpet Area Calculated Manually</t>
  </si>
  <si>
    <t>North Wing A (Building No. 1) = 2B + G/St + 1st to 22nd Floor</t>
  </si>
  <si>
    <t xml:space="preserve"> North Wing A</t>
  </si>
  <si>
    <t>Parking &amp; Fitness Center</t>
  </si>
  <si>
    <t>Parking Area</t>
  </si>
  <si>
    <t>Re-endorsement of earlier C.C. for the building no. 1 i.e. Wing ‘A’ to ‘F’ and Further C.C. for wing ‘C’ and ‘D’ upto top of 22nd upper floor + LMR and OHT i.e. Height 76.25 mt from AGL for the proposed building as per approved plan dated 24.01.2024.</t>
  </si>
  <si>
    <t>work not yet started</t>
  </si>
  <si>
    <t>P-9245/2021/(CTS NO. 33A And Other)/K/E Ward/MAJAS/FCC/1/Amend</t>
  </si>
  <si>
    <t>P-9245/2021/(CTS NO. 33A And Other)/K/E Ward/MAJAS/FCC/2/Amend</t>
  </si>
  <si>
    <t>On Site, we meet Miss. Palak : 7304937947.</t>
  </si>
  <si>
    <t>Building No.1 (North Wing)</t>
  </si>
  <si>
    <t>Building No.2 (South Wing)</t>
  </si>
  <si>
    <t>Validity of CC is expired on 09/03/2024 for Wing C.</t>
  </si>
  <si>
    <t>Validity of CC is expired on 02/03/2024 for Wing C.</t>
  </si>
  <si>
    <t>Office No. 1031, Wing J, Akshar Business Park, Plot No. 03 Sector 25, Near APMC Market, Vashi,
Navi Mumbai, Maharashtra 400703 TEL: 022-46090378/79/80
E mail : vsjcapf@gmail.com. Web site : www.vsjadon.com</t>
  </si>
  <si>
    <t>North Wing A - P51800051328
North Wing B - P51800045409
North Wing C - P51800047621
North Wing D - P51800051153
North Wing E - P51800047620
North Wing F - P51800077538
South Wing A - P51800045360
South Wing B - P51800034531
South Wing C - P51800053558</t>
  </si>
  <si>
    <t>North Wing F</t>
  </si>
  <si>
    <t>As per Layout</t>
  </si>
  <si>
    <t>Other Plot</t>
  </si>
  <si>
    <t>Nalla / Other Plot</t>
  </si>
  <si>
    <t>Nalla /  18.30M W DP Road</t>
  </si>
  <si>
    <t>19.137692,72.862187</t>
  </si>
  <si>
    <t>9 Buildings</t>
  </si>
  <si>
    <t>Swimming Pool, Gymnasium, Multi Purpose Hall, Yoga Deck, Barbeque Area, Business Lounge, Kids Play Area, Food Zones/ Cafes etc.</t>
  </si>
  <si>
    <t>https://www.kalpataru.com/mumbai/vivant?&amp;&amp;utm_source=Google&amp;utm_medium=CPC&amp;utm_campaign=SB_Kalpataru_Virtus_Google_Leads_Search_Brand_May24&amp;utm_term=kalpataru%20vivant&amp;gad_source=1&amp;gclid=Cj0KCQjwjY64BhCaARIsAIfc7YYEuk5HpGLXBt3Bd6fewYm7sJ9DKaAvJ6tBgOOqwn0rBC_0_6Lt9aMaAvrkEALw_wcB</t>
  </si>
  <si>
    <t>North Wing F (Building No. 1) = 2B + G/St + 1st to 22nd Floor</t>
  </si>
  <si>
    <t>Fitness Center</t>
  </si>
  <si>
    <t xml:space="preserve">3rd Floor for Residential &amp; Fitness Center </t>
  </si>
  <si>
    <t>Wing F</t>
  </si>
  <si>
    <t>We have Updated Approved Floor plan for North Building No.1 Wing F on (07/10/2024).</t>
  </si>
  <si>
    <t xml:space="preserve">Approved area of building (Sq.Mt)
Building No.1
</t>
  </si>
  <si>
    <t>P-9245/2021/(CTS NO. 33A And Other)/K/E Ward/MAJAS/337/3/Amend</t>
  </si>
  <si>
    <t>Nala Located at East direction of project Kalpataru Vivant (North &amp; South).</t>
  </si>
  <si>
    <t>P-9245/2021/(CTS No. 33A And Other)/K/E Ward/MAJAS/(New)/CFO</t>
  </si>
  <si>
    <t>Fire NOC for Building No.1(North) only</t>
  </si>
  <si>
    <t>During the visit Photos were not allowed for South (Building No.2) by the site person.</t>
  </si>
  <si>
    <t>Kalpataru Vivant (North &amp; South)</t>
  </si>
  <si>
    <t>Parking / Filtration Room / Balancing Tank</t>
  </si>
  <si>
    <t>We have refered Approved Layout &amp; Floor plan &amp; Fire NOC from MCGM site.</t>
  </si>
  <si>
    <t>EC query</t>
  </si>
  <si>
    <t>Please Check for Enviroment Clearance Certificate.</t>
  </si>
  <si>
    <t>Further C.C. for wing ‘E’ of the building no. 1 upto top of 22nd upper floor + LMR and OHT i.e. Height 76.25 mt from AGL for the proposed building as per approved plan dated 24.01.2024.</t>
  </si>
  <si>
    <t>Layout Approval No.</t>
  </si>
  <si>
    <t xml:space="preserve">Layout Approval No.
</t>
  </si>
  <si>
    <t xml:space="preserve">North Wing A to F (Bldg No. 1) </t>
  </si>
  <si>
    <t>South Wing A to C (Bldg No. 2)</t>
  </si>
  <si>
    <t>Approved Floor plan No. Wing F</t>
  </si>
  <si>
    <t>Approved Floor plan No. Wing A</t>
  </si>
  <si>
    <t xml:space="preserve">P-9245/2021/(CTS NO 33A AND OTHER)/K/EWARD/MAJAS/337/1/ NEW
</t>
  </si>
  <si>
    <t>Approved Floor plan No.  Wing A to C</t>
  </si>
  <si>
    <t>Commencement-CC No
Valid Up to: 
North Wing E</t>
  </si>
  <si>
    <t>Commencement-CC No
Valid Up to: 
North Wing A to F</t>
  </si>
  <si>
    <t>As per Builder
North Wing
South Wing</t>
  </si>
  <si>
    <t>Approved Plans
Building No. 1 
Building No. 2</t>
  </si>
  <si>
    <t xml:space="preserve">Building No. 1 (Wing A, B, C, D &amp; E) = 2B + G/St + 1st to 22nd Floor
</t>
  </si>
  <si>
    <t xml:space="preserve">Building No. 1 (Wing F) = 2B + G/St + 1st to 22nd Floor
</t>
  </si>
  <si>
    <t xml:space="preserve">Building No. 2 (Wing A &amp; B) = 3B + G/St + 1st to 22nd Floor
</t>
  </si>
  <si>
    <t xml:space="preserve">Building No. 2 (Wing C) = 3B + G/St + 1st to 22nd Floor
</t>
  </si>
  <si>
    <t>Undertaking :</t>
  </si>
  <si>
    <t>P-9245/2021/(CTS NO. 33A And Other)/K/E Ward/MAJAS/FCC/3/Amend</t>
  </si>
  <si>
    <t>SIA/MH/MIS/247171/2021</t>
  </si>
  <si>
    <t xml:space="preserve">Plot Area = 22661.725 Sqm
Total Built up Area = 140925.03 Sqm
Building No. 1 (Wing A to F) = 2B + Gr + 1st to 22nd Floor 
Building No. 2 (Wing A, B, C &amp; E ) = 3B + Gr + 1st to 22nd Floor 
Building No. 2 (Wing D ) = 3B + Gr + 1st to 21st Floor </t>
  </si>
  <si>
    <t>We have updated EC (on 30/11/2024).</t>
  </si>
  <si>
    <t>We have Approved Floor plan for North Building No.1 Wing A on (08/02/2024)</t>
  </si>
  <si>
    <t>We have Approved Floor plan for South Building No.2 Wing C on (04/12/2023)</t>
  </si>
  <si>
    <t>We have updated latest CC for Building No. 1 from MCGM site (dtd. 30/11/2024).</t>
  </si>
  <si>
    <t xml:space="preserve">Fire NOC
Valid Up to: </t>
  </si>
  <si>
    <t>Kalpataru Vivant - Building No.1 Wing A, B, C, D, E &amp; F (North)
Building No.1 (Wing A to F) = 2B + G + 1st to 22nd Floor (Height = 69.95m)</t>
  </si>
  <si>
    <t xml:space="preserve">Environmental Clearance
Valid Up to: </t>
  </si>
  <si>
    <t xml:space="preserve">Commencement-CC No
Valid Up to: </t>
  </si>
  <si>
    <t>Construction work is in process at the time of visit. Internal visit was not allowed</t>
  </si>
  <si>
    <t>We have updated latest CC from MCGM site for Bldg No.2 (on 19/01/2025).</t>
  </si>
  <si>
    <t>We have updated latest CC from MCGM site for Bldg No.1 (on 12/04/2025).</t>
  </si>
  <si>
    <r>
      <t xml:space="preserve">Re-endorsement of plinth CC up to top of basement for </t>
    </r>
    <r>
      <rPr>
        <b/>
        <sz val="12"/>
        <rFont val="Times New Roman"/>
        <family val="1"/>
      </rPr>
      <t>wing F</t>
    </r>
    <r>
      <rPr>
        <sz val="12"/>
        <rFont val="Times New Roman"/>
        <family val="1"/>
      </rPr>
      <t xml:space="preserve">, Re-endorsement of full CC of </t>
    </r>
    <r>
      <rPr>
        <b/>
        <sz val="12"/>
        <rFont val="Times New Roman"/>
        <family val="1"/>
      </rPr>
      <t>wing B,C,D,&amp; E</t>
    </r>
    <r>
      <rPr>
        <sz val="12"/>
        <rFont val="Times New Roman"/>
        <family val="1"/>
      </rPr>
      <t xml:space="preserve"> and grant further C.C. for </t>
    </r>
    <r>
      <rPr>
        <b/>
        <sz val="12"/>
        <rFont val="Times New Roman"/>
        <family val="1"/>
      </rPr>
      <t>wing ‘A’</t>
    </r>
    <r>
      <rPr>
        <sz val="12"/>
        <rFont val="Times New Roman"/>
        <family val="1"/>
      </rPr>
      <t xml:space="preserve"> of the building no. 1 upto top of 22nd upper floor + LMR and OHT i.e. Height 76.25 mt from AGL for the proposed building as per last approved amended plan dated 05.09.2024.</t>
    </r>
  </si>
  <si>
    <t>North Wing A, B, C, D, E &amp; F
South Wing A to C</t>
  </si>
  <si>
    <t>P-9245/2021/(CTS NO. 33A And Other)/K/E Ward/MAJAS/FCC/5/Amend</t>
  </si>
  <si>
    <r>
      <t xml:space="preserve">Further C.C. for </t>
    </r>
    <r>
      <rPr>
        <b/>
        <sz val="12"/>
        <rFont val="Times New Roman"/>
        <family val="1"/>
      </rPr>
      <t>wing ‘F’</t>
    </r>
    <r>
      <rPr>
        <sz val="12"/>
        <rFont val="Times New Roman"/>
        <family val="1"/>
      </rPr>
      <t xml:space="preserve"> of the building no. 1 upto top of 7th upper floor i.e. Height 24.85 mt from AGL &amp; re-endorsed full CC of </t>
    </r>
    <r>
      <rPr>
        <b/>
        <sz val="12"/>
        <rFont val="Times New Roman"/>
        <family val="1"/>
      </rPr>
      <t>Wing A,B,C,D,&amp; E</t>
    </r>
    <r>
      <rPr>
        <sz val="12"/>
        <rFont val="Times New Roman"/>
        <family val="1"/>
      </rPr>
      <t xml:space="preserve"> i.e. upto 22nd upper floor with top of OHWT and LMR i.e. total height up to 76.250mt as per last approved amended plan dated 19.05.2025.</t>
    </r>
  </si>
  <si>
    <t>P-9274/2021/(33A And Other)/K/E Ward/MAJAS/FCC/3/Amend</t>
  </si>
  <si>
    <r>
      <t xml:space="preserve">Reendorsed full C.C. of </t>
    </r>
    <r>
      <rPr>
        <b/>
        <sz val="12"/>
        <rFont val="Times New Roman"/>
        <family val="1"/>
      </rPr>
      <t>Wing-A , B ,C , and E</t>
    </r>
    <r>
      <rPr>
        <sz val="12"/>
        <rFont val="Times New Roman"/>
        <family val="1"/>
      </rPr>
      <t xml:space="preserve"> i.e. upto 22nd upper floor with top of OHWT and LMR, for wing ‘A’ &amp; ‘B’ i.e. height upto 76.700 mt. AGL, for wing ‘C’ &amp; ‘E’ i.e. height upto 76.950 mt. AGL and re-endorsed full C.C. upto 21st upper floors for wing ‘D’ i.e. height upto 73.775 mt. AGL as per amended plans dated 19.05.2025.</t>
    </r>
  </si>
  <si>
    <t>Ground Floor for Entrance Lobby &amp; Parking</t>
  </si>
  <si>
    <t>8th, 10th, 12th, 14th, 16th, 18th, 20th &amp; 22nd Floor (Fire Check Lobby near at Stairecase)</t>
  </si>
  <si>
    <t xml:space="preserve">5th to 7th, 9th, 11th, 13th, 15th, 17th, 19th &amp; 21st Floor </t>
  </si>
  <si>
    <t>8th, 10th, 12th, 14th, 16th, 18th, 20th &amp; 22nd Floor  (Refuge Area at Midlanding of Staircase)</t>
  </si>
  <si>
    <t>7th, 9th, 11th, 13th, 15th, 17th, 19th, 21st Floor (Refuge Deck at midlanding of Stairecase)</t>
  </si>
  <si>
    <t>Kunal Kadam</t>
  </si>
  <si>
    <t>Fitness Centre &amp; Gymnasium</t>
  </si>
  <si>
    <t>1st Floor for Residential (Part Fitness Centre &amp; Gymnasium)</t>
  </si>
  <si>
    <t>Ground Floor for  Parking</t>
  </si>
  <si>
    <t>1st Floor for Entrance Lobby, Parking &amp; Meter Room</t>
  </si>
  <si>
    <t>2nd to 6th, 8th, 10th, 12th, 14th, 16th, 18th, 20th &amp; 22nd for Residential</t>
  </si>
  <si>
    <t>2nd Floor for Residential</t>
  </si>
  <si>
    <t>3rd to 9th, 11th to 16th, 18th to 21st Floor for Residential</t>
  </si>
  <si>
    <t>Ground Floor for Entrance Lobby, Convenience store &amp; Parking</t>
  </si>
  <si>
    <t>Ground Floor for Entrace Lobby &amp; Parking</t>
  </si>
  <si>
    <t xml:space="preserve">3rd Floor for Residential, Fitness Center &amp; Podium Parking </t>
  </si>
  <si>
    <t>Building No. 1 (Wing A, B, C, D &amp; E) = 2B + G/St + 1st to 22nd Floor
Building No. 1 (Wing F) = 2B + G/St + 1st to 22nd Floor
Building No. 2 (Wing A, B &amp; C) = 3B + G/St + 1st to 22nd Floor</t>
  </si>
  <si>
    <t>P-9245/2021/(CTS NO. 33A And Other)/K/E Ward/MAJAS/337/5/Amend</t>
  </si>
  <si>
    <t>P-9274/2021/(33A And Other)/K/E Ward/MAJAS/337/3/Amend</t>
  </si>
  <si>
    <t xml:space="preserve">19/05/2025
</t>
  </si>
  <si>
    <t>Approved Floor plan No. Wing A to E</t>
  </si>
  <si>
    <t>We have updated latest CC for Building No. 1 &amp; 2 from MCGM site (On 29/06/2025).
Please provide latest approved floor plans.</t>
  </si>
  <si>
    <t>Flats - 901</t>
  </si>
  <si>
    <t>Convenience Store</t>
  </si>
  <si>
    <t xml:space="preserve">1st Podium Floor for Residential, Entrance Lobby, Convenience Store &amp; Podium Parking </t>
  </si>
  <si>
    <t>Tushar Bhuwad</t>
  </si>
  <si>
    <t>We have updated revised approved plans for Building No. 1 &amp; 2 from MCGM site (On 02/08/2025).</t>
  </si>
  <si>
    <r>
      <t xml:space="preserve">As per RERA -
</t>
    </r>
    <r>
      <rPr>
        <b/>
        <sz val="12"/>
        <rFont val="Times New Roman"/>
        <family val="1"/>
      </rPr>
      <t>Building No. 1 North</t>
    </r>
    <r>
      <rPr>
        <sz val="12"/>
        <rFont val="Times New Roman"/>
        <family val="1"/>
      </rPr>
      <t xml:space="preserve">
Wing A, D = 31/12/2028
Wing B  = 31/03/2028
Wing C &amp; E  = 30/06/2028
Wing F = 30/06/2029
</t>
    </r>
    <r>
      <rPr>
        <b/>
        <sz val="12"/>
        <rFont val="Times New Roman"/>
        <family val="1"/>
      </rPr>
      <t>Building No.2 South</t>
    </r>
    <r>
      <rPr>
        <sz val="12"/>
        <rFont val="Times New Roman"/>
        <family val="1"/>
      </rPr>
      <t xml:space="preserve">
Wing A, B  = 31/03/2028
Wing C = 31/12/2028</t>
    </r>
  </si>
  <si>
    <t>Floor Rise Rate from 2nd Floor</t>
  </si>
  <si>
    <t>21000 to 2500 &amp; Floor rise 100 from 2nd floor by aakash mote on 20/08/2025.</t>
  </si>
  <si>
    <t>Floor Rise Rate from 2nd Floor (For Subvention Scheme)</t>
  </si>
  <si>
    <t>Recommended Rates of the Property have been revised on 27/10/2023 &amp; 20/08/2025.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</si>
</sst>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Times New Roman"/>
      <family val="1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b/>
      <sz val="12"/>
      <color rgb="FFFF0000"/>
      <name val="Times New Roman"/>
      <family val="1"/>
    </font>
    <font>
      <b/>
      <sz val="1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6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0" fontId="7" fillId="2" borderId="0" xfId="1" applyFont="1" applyFill="1" applyAlignment="1">
      <alignment horizontal="right"/>
    </xf>
    <xf numFmtId="0" fontId="26" fillId="2" borderId="0" xfId="1" applyFont="1" applyFill="1"/>
    <xf numFmtId="1" fontId="26" fillId="2" borderId="0" xfId="1" applyNumberFormat="1" applyFont="1" applyFill="1" applyAlignment="1">
      <alignment horizontal="right"/>
    </xf>
    <xf numFmtId="0" fontId="7" fillId="2" borderId="0" xfId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15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7" fillId="2" borderId="0" xfId="1" applyFont="1" applyFill="1" applyAlignment="1">
      <alignment vertical="center"/>
    </xf>
    <xf numFmtId="0" fontId="12" fillId="2" borderId="0" xfId="1" applyFont="1" applyFill="1"/>
    <xf numFmtId="14" fontId="12" fillId="2" borderId="0" xfId="1" applyNumberFormat="1" applyFont="1" applyFill="1"/>
    <xf numFmtId="0" fontId="7" fillId="0" borderId="0" xfId="1" applyFont="1" applyAlignment="1">
      <alignment horizontal="right"/>
    </xf>
    <xf numFmtId="0" fontId="26" fillId="0" borderId="0" xfId="1" applyFont="1"/>
    <xf numFmtId="1" fontId="26" fillId="0" borderId="0" xfId="1" applyNumberFormat="1" applyFont="1" applyAlignment="1">
      <alignment horizontal="right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27" fillId="0" borderId="0" xfId="10" applyFill="1"/>
    <xf numFmtId="14" fontId="7" fillId="2" borderId="0" xfId="1" applyNumberFormat="1" applyFont="1" applyFill="1"/>
    <xf numFmtId="0" fontId="12" fillId="0" borderId="6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2" fontId="26" fillId="0" borderId="0" xfId="1" applyNumberFormat="1" applyFont="1" applyAlignment="1">
      <alignment horizontal="right"/>
    </xf>
    <xf numFmtId="0" fontId="28" fillId="0" borderId="0" xfId="0" applyFont="1"/>
    <xf numFmtId="1" fontId="10" fillId="2" borderId="0" xfId="1" applyNumberFormat="1" applyFont="1" applyFill="1" applyAlignment="1">
      <alignment horizontal="center" vertical="center"/>
    </xf>
    <xf numFmtId="0" fontId="10" fillId="0" borderId="0" xfId="1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1" applyFont="1"/>
    <xf numFmtId="0" fontId="24" fillId="2" borderId="14" xfId="0" applyFont="1" applyFill="1" applyBorder="1"/>
    <xf numFmtId="0" fontId="25" fillId="0" borderId="8" xfId="0" applyFont="1" applyBorder="1"/>
    <xf numFmtId="14" fontId="7" fillId="0" borderId="0" xfId="1" applyNumberFormat="1" applyFont="1" applyAlignment="1">
      <alignment wrapText="1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7" fillId="2" borderId="0" xfId="1" applyNumberFormat="1" applyFont="1" applyFill="1"/>
    <xf numFmtId="1" fontId="7" fillId="2" borderId="0" xfId="1" applyNumberFormat="1" applyFont="1" applyFill="1" applyAlignment="1">
      <alignment horizontal="right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3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8" fillId="7" borderId="1" xfId="1" applyFont="1" applyFill="1" applyBorder="1" applyAlignment="1" applyProtection="1">
      <alignment horizontal="center" vertical="top"/>
      <protection locked="0"/>
    </xf>
    <xf numFmtId="0" fontId="8" fillId="4" borderId="7" xfId="1" applyFont="1" applyFill="1" applyBorder="1" applyAlignment="1" applyProtection="1">
      <alignment horizontal="center" vertical="top" wrapText="1"/>
      <protection locked="0"/>
    </xf>
    <xf numFmtId="0" fontId="8" fillId="4" borderId="20" xfId="1" applyFont="1" applyFill="1" applyBorder="1" applyAlignment="1" applyProtection="1">
      <alignment horizontal="center" vertical="top" wrapText="1"/>
      <protection locked="0"/>
    </xf>
    <xf numFmtId="0" fontId="8" fillId="4" borderId="8" xfId="1" applyFont="1" applyFill="1" applyBorder="1" applyAlignment="1" applyProtection="1">
      <alignment horizontal="center" vertical="top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8" fillId="5" borderId="20" xfId="1" applyFont="1" applyFill="1" applyBorder="1" applyAlignment="1" applyProtection="1">
      <alignment horizontal="center" vertical="top" wrapText="1"/>
      <protection locked="0"/>
    </xf>
    <xf numFmtId="0" fontId="8" fillId="5" borderId="8" xfId="1" applyFont="1" applyFill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" fontId="7" fillId="0" borderId="7" xfId="0" applyNumberFormat="1" applyFont="1" applyBorder="1" applyAlignment="1" applyProtection="1">
      <alignment horizontal="left" vertical="center" wrapText="1"/>
      <protection locked="0"/>
    </xf>
    <xf numFmtId="1" fontId="7" fillId="0" borderId="20" xfId="0" applyNumberFormat="1" applyFont="1" applyBorder="1" applyAlignment="1" applyProtection="1">
      <alignment horizontal="left" vertical="center" wrapText="1"/>
      <protection locked="0"/>
    </xf>
    <xf numFmtId="1" fontId="7" fillId="0" borderId="8" xfId="0" applyNumberFormat="1" applyFont="1" applyBorder="1" applyAlignment="1" applyProtection="1">
      <alignment horizontal="left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3" borderId="1" xfId="1" applyFont="1" applyFill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67" fontId="12" fillId="3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 applyProtection="1">
      <alignment horizontal="center" vertical="center" wrapText="1"/>
      <protection locked="0"/>
    </xf>
    <xf numFmtId="0" fontId="6" fillId="0" borderId="18" xfId="1" applyFont="1" applyBorder="1" applyAlignment="1" applyProtection="1">
      <alignment horizontal="center" vertical="center" wrapText="1"/>
      <protection locked="0"/>
    </xf>
    <xf numFmtId="0" fontId="6" fillId="0" borderId="19" xfId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/>
      <protection locked="0"/>
    </xf>
    <xf numFmtId="1" fontId="6" fillId="0" borderId="17" xfId="1" applyNumberFormat="1" applyFont="1" applyBorder="1" applyAlignment="1" applyProtection="1">
      <alignment horizontal="center" vertical="center"/>
      <protection locked="0"/>
    </xf>
    <xf numFmtId="1" fontId="6" fillId="0" borderId="24" xfId="1" applyNumberFormat="1" applyFont="1" applyBorder="1" applyAlignment="1" applyProtection="1">
      <alignment horizontal="center" vertical="center"/>
      <protection locked="0"/>
    </xf>
    <xf numFmtId="1" fontId="6" fillId="0" borderId="25" xfId="1" applyNumberFormat="1" applyFont="1" applyBorder="1" applyAlignment="1" applyProtection="1">
      <alignment horizontal="center" vertical="center"/>
      <protection locked="0"/>
    </xf>
    <xf numFmtId="1" fontId="6" fillId="0" borderId="18" xfId="1" applyNumberFormat="1" applyFont="1" applyBorder="1" applyAlignment="1" applyProtection="1">
      <alignment horizontal="center" vertical="center"/>
      <protection locked="0"/>
    </xf>
    <xf numFmtId="1" fontId="6" fillId="0" borderId="19" xfId="1" applyNumberFormat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6" borderId="1" xfId="1" applyFont="1" applyFill="1" applyBorder="1" applyAlignment="1" applyProtection="1">
      <alignment horizontal="center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10" fillId="0" borderId="7" xfId="1" applyFont="1" applyBorder="1" applyAlignment="1" applyProtection="1">
      <alignment horizontal="center" vertical="top" wrapText="1"/>
      <protection locked="0"/>
    </xf>
    <xf numFmtId="0" fontId="10" fillId="0" borderId="8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7" fillId="0" borderId="7" xfId="10" applyFill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10" fillId="0" borderId="1" xfId="1" applyFont="1" applyBorder="1" applyAlignment="1" applyProtection="1">
      <alignment horizontal="left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left" vertical="top" wrapText="1"/>
      <protection locked="0"/>
    </xf>
    <xf numFmtId="1" fontId="8" fillId="6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6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6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7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7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7" borderId="8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3" fillId="7" borderId="1" xfId="1" applyFont="1" applyFill="1" applyBorder="1" applyAlignment="1" applyProtection="1">
      <alignment horizontal="center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g"/><Relationship Id="rId35" Type="http://schemas.openxmlformats.org/officeDocument/2006/relationships/image" Target="../media/image35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626698</xdr:colOff>
      <xdr:row>642</xdr:row>
      <xdr:rowOff>50579</xdr:rowOff>
    </xdr:from>
    <xdr:to>
      <xdr:col>15</xdr:col>
      <xdr:colOff>397098</xdr:colOff>
      <xdr:row>649</xdr:row>
      <xdr:rowOff>88899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4548" y="127984029"/>
          <a:ext cx="2158000" cy="14162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105153</xdr:colOff>
      <xdr:row>609</xdr:row>
      <xdr:rowOff>25400</xdr:rowOff>
    </xdr:from>
    <xdr:to>
      <xdr:col>14</xdr:col>
      <xdr:colOff>21666</xdr:colOff>
      <xdr:row>620</xdr:row>
      <xdr:rowOff>26402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3003" y="121272300"/>
          <a:ext cx="161831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151436</xdr:colOff>
      <xdr:row>609</xdr:row>
      <xdr:rowOff>25400</xdr:rowOff>
    </xdr:from>
    <xdr:to>
      <xdr:col>16</xdr:col>
      <xdr:colOff>264799</xdr:colOff>
      <xdr:row>620</xdr:row>
      <xdr:rowOff>26402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91086" y="121272300"/>
          <a:ext cx="161831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1204744</xdr:colOff>
      <xdr:row>619</xdr:row>
      <xdr:rowOff>103643</xdr:rowOff>
    </xdr:from>
    <xdr:to>
      <xdr:col>12</xdr:col>
      <xdr:colOff>103802</xdr:colOff>
      <xdr:row>630</xdr:row>
      <xdr:rowOff>98291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0044" y="123509543"/>
          <a:ext cx="287733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319297</xdr:colOff>
      <xdr:row>619</xdr:row>
      <xdr:rowOff>103643</xdr:rowOff>
    </xdr:from>
    <xdr:to>
      <xdr:col>16</xdr:col>
      <xdr:colOff>1889</xdr:colOff>
      <xdr:row>630</xdr:row>
      <xdr:rowOff>98291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57147" y="123509543"/>
          <a:ext cx="287733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990600</xdr:colOff>
      <xdr:row>609</xdr:row>
      <xdr:rowOff>25400</xdr:rowOff>
    </xdr:from>
    <xdr:to>
      <xdr:col>11</xdr:col>
      <xdr:colOff>616733</xdr:colOff>
      <xdr:row>620</xdr:row>
      <xdr:rowOff>26402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5900" y="121272300"/>
          <a:ext cx="287733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990600</xdr:colOff>
      <xdr:row>630</xdr:row>
      <xdr:rowOff>175536</xdr:rowOff>
    </xdr:from>
    <xdr:to>
      <xdr:col>10</xdr:col>
      <xdr:colOff>189563</xdr:colOff>
      <xdr:row>641</xdr:row>
      <xdr:rowOff>170186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5900" y="125746786"/>
          <a:ext cx="161831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319333</xdr:colOff>
      <xdr:row>630</xdr:row>
      <xdr:rowOff>175536</xdr:rowOff>
    </xdr:from>
    <xdr:to>
      <xdr:col>13</xdr:col>
      <xdr:colOff>774141</xdr:colOff>
      <xdr:row>641</xdr:row>
      <xdr:rowOff>170186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3983" y="125746786"/>
          <a:ext cx="287733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580556</xdr:colOff>
      <xdr:row>642</xdr:row>
      <xdr:rowOff>50579</xdr:rowOff>
    </xdr:from>
    <xdr:to>
      <xdr:col>10</xdr:col>
      <xdr:colOff>594141</xdr:colOff>
      <xdr:row>649</xdr:row>
      <xdr:rowOff>88899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45056" y="127984029"/>
          <a:ext cx="1213735" cy="14162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3552</xdr:colOff>
      <xdr:row>642</xdr:row>
      <xdr:rowOff>50579</xdr:rowOff>
    </xdr:from>
    <xdr:to>
      <xdr:col>12</xdr:col>
      <xdr:colOff>480687</xdr:colOff>
      <xdr:row>649</xdr:row>
      <xdr:rowOff>88899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4802" y="127984029"/>
          <a:ext cx="1213735" cy="14162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151436</xdr:colOff>
      <xdr:row>630</xdr:row>
      <xdr:rowOff>175536</xdr:rowOff>
    </xdr:from>
    <xdr:to>
      <xdr:col>16</xdr:col>
      <xdr:colOff>264799</xdr:colOff>
      <xdr:row>641</xdr:row>
      <xdr:rowOff>170186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91086" y="125746786"/>
          <a:ext cx="1618313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12</xdr:col>
      <xdr:colOff>105153</xdr:colOff>
      <xdr:row>609</xdr:row>
      <xdr:rowOff>25400</xdr:rowOff>
    </xdr:from>
    <xdr:ext cx="736740" cy="264560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843003" y="121272300"/>
          <a:ext cx="736740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1 (A)</a:t>
          </a:r>
        </a:p>
      </xdr:txBody>
    </xdr:sp>
    <xdr:clientData/>
  </xdr:oneCellAnchor>
  <xdr:oneCellAnchor>
    <xdr:from>
      <xdr:col>14</xdr:col>
      <xdr:colOff>151436</xdr:colOff>
      <xdr:row>609</xdr:row>
      <xdr:rowOff>25400</xdr:rowOff>
    </xdr:from>
    <xdr:ext cx="731867" cy="264560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2591086" y="121272300"/>
          <a:ext cx="731867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1 (B)</a:t>
          </a:r>
        </a:p>
      </xdr:txBody>
    </xdr:sp>
    <xdr:clientData/>
  </xdr:oneCellAnchor>
  <xdr:oneCellAnchor>
    <xdr:from>
      <xdr:col>9</xdr:col>
      <xdr:colOff>1045994</xdr:colOff>
      <xdr:row>620</xdr:row>
      <xdr:rowOff>65543</xdr:rowOff>
    </xdr:from>
    <xdr:ext cx="730328" cy="264560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9110494" y="123668293"/>
          <a:ext cx="730328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1 (C)</a:t>
          </a:r>
        </a:p>
      </xdr:txBody>
    </xdr:sp>
    <xdr:clientData/>
  </xdr:oneCellAnchor>
  <xdr:oneCellAnchor>
    <xdr:from>
      <xdr:col>9</xdr:col>
      <xdr:colOff>61744</xdr:colOff>
      <xdr:row>621</xdr:row>
      <xdr:rowOff>78243</xdr:rowOff>
    </xdr:from>
    <xdr:ext cx="736740" cy="264560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126244" y="123877843"/>
          <a:ext cx="736740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1 (D)</a:t>
          </a:r>
        </a:p>
      </xdr:txBody>
    </xdr:sp>
    <xdr:clientData/>
  </xdr:oneCellAnchor>
  <xdr:oneCellAnchor>
    <xdr:from>
      <xdr:col>12</xdr:col>
      <xdr:colOff>319297</xdr:colOff>
      <xdr:row>619</xdr:row>
      <xdr:rowOff>103643</xdr:rowOff>
    </xdr:from>
    <xdr:ext cx="736740" cy="264560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1057147" y="123509543"/>
          <a:ext cx="736740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1 (E)</a:t>
          </a:r>
        </a:p>
      </xdr:txBody>
    </xdr:sp>
    <xdr:clientData/>
  </xdr:oneCellAnchor>
  <xdr:twoCellAnchor>
    <xdr:from>
      <xdr:col>10</xdr:col>
      <xdr:colOff>211008</xdr:colOff>
      <xdr:row>621</xdr:row>
      <xdr:rowOff>133253</xdr:rowOff>
    </xdr:from>
    <xdr:to>
      <xdr:col>10</xdr:col>
      <xdr:colOff>304800</xdr:colOff>
      <xdr:row>623</xdr:row>
      <xdr:rowOff>190500</xdr:rowOff>
    </xdr:to>
    <xdr:cxnSp macro="">
      <xdr:nvCxnSpPr>
        <xdr:cNvPr id="58" name="Straight Arrow Connector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CxnSpPr>
          <a:stCxn id="55" idx="2"/>
        </xdr:cNvCxnSpPr>
      </xdr:nvCxnSpPr>
      <xdr:spPr>
        <a:xfrm>
          <a:off x="9475658" y="123932853"/>
          <a:ext cx="93792" cy="45094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430114</xdr:colOff>
      <xdr:row>622</xdr:row>
      <xdr:rowOff>145953</xdr:rowOff>
    </xdr:from>
    <xdr:to>
      <xdr:col>9</xdr:col>
      <xdr:colOff>596900</xdr:colOff>
      <xdr:row>624</xdr:row>
      <xdr:rowOff>120650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CxnSpPr>
          <a:stCxn id="56" idx="2"/>
        </xdr:cNvCxnSpPr>
      </xdr:nvCxnSpPr>
      <xdr:spPr>
        <a:xfrm>
          <a:off x="8494614" y="124142403"/>
          <a:ext cx="166786" cy="36839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687667</xdr:colOff>
      <xdr:row>620</xdr:row>
      <xdr:rowOff>171353</xdr:rowOff>
    </xdr:from>
    <xdr:to>
      <xdr:col>13</xdr:col>
      <xdr:colOff>95589</xdr:colOff>
      <xdr:row>624</xdr:row>
      <xdr:rowOff>52940</xdr:rowOff>
    </xdr:to>
    <xdr:cxnSp macro="">
      <xdr:nvCxnSpPr>
        <xdr:cNvPr id="60" name="Straight Arrow Connector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CxnSpPr>
          <a:stCxn id="57" idx="2"/>
        </xdr:cNvCxnSpPr>
      </xdr:nvCxnSpPr>
      <xdr:spPr>
        <a:xfrm>
          <a:off x="11425517" y="123774103"/>
          <a:ext cx="233422" cy="66898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990600</xdr:colOff>
      <xdr:row>630</xdr:row>
      <xdr:rowOff>175536</xdr:rowOff>
    </xdr:from>
    <xdr:ext cx="973472" cy="264560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7835900" y="125746786"/>
          <a:ext cx="973472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2 (A &amp; B)</a:t>
          </a:r>
        </a:p>
      </xdr:txBody>
    </xdr:sp>
    <xdr:clientData/>
  </xdr:oneCellAnchor>
  <xdr:oneCellAnchor>
    <xdr:from>
      <xdr:col>10</xdr:col>
      <xdr:colOff>319333</xdr:colOff>
      <xdr:row>630</xdr:row>
      <xdr:rowOff>175536</xdr:rowOff>
    </xdr:from>
    <xdr:ext cx="730328" cy="264560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9583983" y="125746786"/>
          <a:ext cx="730328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2 (C)</a:t>
          </a:r>
        </a:p>
      </xdr:txBody>
    </xdr:sp>
    <xdr:clientData/>
  </xdr:oneCellAnchor>
  <xdr:oneCellAnchor>
    <xdr:from>
      <xdr:col>9</xdr:col>
      <xdr:colOff>463243</xdr:colOff>
      <xdr:row>605</xdr:row>
      <xdr:rowOff>172343</xdr:rowOff>
    </xdr:from>
    <xdr:ext cx="613694" cy="264560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632331" y="137298725"/>
          <a:ext cx="613694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 cap="none" spc="0">
              <a:ln w="0"/>
              <a:solidFill>
                <a:srgbClr val="C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NorthA</a:t>
          </a:r>
        </a:p>
      </xdr:txBody>
    </xdr:sp>
    <xdr:clientData/>
  </xdr:oneCellAnchor>
  <xdr:oneCellAnchor>
    <xdr:from>
      <xdr:col>9</xdr:col>
      <xdr:colOff>335495</xdr:colOff>
      <xdr:row>604</xdr:row>
      <xdr:rowOff>25596</xdr:rowOff>
    </xdr:from>
    <xdr:ext cx="639149" cy="264560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504583" y="136950272"/>
          <a:ext cx="639149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 cap="none" spc="0">
              <a:ln w="0"/>
              <a:solidFill>
                <a:srgbClr val="C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North B</a:t>
          </a:r>
        </a:p>
      </xdr:txBody>
    </xdr:sp>
    <xdr:clientData/>
  </xdr:oneCellAnchor>
  <xdr:oneCellAnchor>
    <xdr:from>
      <xdr:col>10</xdr:col>
      <xdr:colOff>295446</xdr:colOff>
      <xdr:row>605</xdr:row>
      <xdr:rowOff>64960</xdr:rowOff>
    </xdr:from>
    <xdr:ext cx="552972" cy="233205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9607534" y="137191342"/>
          <a:ext cx="552972" cy="23320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900" b="1" cap="none" spc="0">
              <a:ln w="0"/>
              <a:solidFill>
                <a:srgbClr val="C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North C</a:t>
          </a:r>
        </a:p>
      </xdr:txBody>
    </xdr:sp>
    <xdr:clientData/>
  </xdr:oneCellAnchor>
  <xdr:oneCellAnchor>
    <xdr:from>
      <xdr:col>9</xdr:col>
      <xdr:colOff>56321</xdr:colOff>
      <xdr:row>616</xdr:row>
      <xdr:rowOff>60188</xdr:rowOff>
    </xdr:from>
    <xdr:ext cx="854978" cy="342786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214691" y="123338536"/>
          <a:ext cx="854978" cy="34278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 cap="none" spc="0">
              <a:ln w="0"/>
              <a:solidFill>
                <a:srgbClr val="C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North B</a:t>
          </a:r>
        </a:p>
      </xdr:txBody>
    </xdr:sp>
    <xdr:clientData/>
  </xdr:oneCellAnchor>
  <xdr:twoCellAnchor editAs="oneCell">
    <xdr:from>
      <xdr:col>8</xdr:col>
      <xdr:colOff>24849</xdr:colOff>
      <xdr:row>38</xdr:row>
      <xdr:rowOff>157369</xdr:rowOff>
    </xdr:from>
    <xdr:to>
      <xdr:col>15</xdr:col>
      <xdr:colOff>246036</xdr:colOff>
      <xdr:row>41</xdr:row>
      <xdr:rowOff>37211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023653" y="10402956"/>
          <a:ext cx="6295238" cy="4761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564119</xdr:colOff>
      <xdr:row>737</xdr:row>
      <xdr:rowOff>0</xdr:rowOff>
    </xdr:from>
    <xdr:to>
      <xdr:col>7</xdr:col>
      <xdr:colOff>620325</xdr:colOff>
      <xdr:row>748</xdr:row>
      <xdr:rowOff>170328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4119" y="155067000"/>
          <a:ext cx="5760000" cy="23890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537883</xdr:colOff>
      <xdr:row>750</xdr:row>
      <xdr:rowOff>98344</xdr:rowOff>
    </xdr:from>
    <xdr:to>
      <xdr:col>7</xdr:col>
      <xdr:colOff>594089</xdr:colOff>
      <xdr:row>767</xdr:row>
      <xdr:rowOff>17036</xdr:rowOff>
    </xdr:to>
    <xdr:grpSp>
      <xdr:nvGrpSpPr>
        <xdr:cNvPr id="98" name="Group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GrpSpPr/>
      </xdr:nvGrpSpPr>
      <xdr:grpSpPr>
        <a:xfrm>
          <a:off x="537883" y="158375269"/>
          <a:ext cx="5761681" cy="3319117"/>
          <a:chOff x="434338" y="3257549"/>
          <a:chExt cx="5760000" cy="3347692"/>
        </a:xfrm>
      </xdr:grpSpPr>
      <xdr:pic>
        <xdr:nvPicPr>
          <xdr:cNvPr id="99" name="Picture 98">
            <a:extLst>
              <a:ext uri="{FF2B5EF4-FFF2-40B4-BE49-F238E27FC236}">
                <a16:creationId xmlns="" xmlns:a16="http://schemas.microsoft.com/office/drawing/2014/main" id="{00000000-0008-0000-0000-00006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34338" y="3257549"/>
            <a:ext cx="5760000" cy="334769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0" name="Rectangle 99">
            <a:extLst>
              <a:ext uri="{FF2B5EF4-FFF2-40B4-BE49-F238E27FC236}">
                <a16:creationId xmlns="" xmlns:a16="http://schemas.microsoft.com/office/drawing/2014/main" id="{00000000-0008-0000-0000-000064000000}"/>
              </a:ext>
            </a:extLst>
          </xdr:cNvPr>
          <xdr:cNvSpPr/>
        </xdr:nvSpPr>
        <xdr:spPr>
          <a:xfrm rot="1292279">
            <a:off x="3237630" y="4687182"/>
            <a:ext cx="424110" cy="665196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01" name="Rectangle 100">
            <a:extLst>
              <a:ext uri="{FF2B5EF4-FFF2-40B4-BE49-F238E27FC236}">
                <a16:creationId xmlns="" xmlns:a16="http://schemas.microsoft.com/office/drawing/2014/main" id="{00000000-0008-0000-0000-000065000000}"/>
              </a:ext>
            </a:extLst>
          </xdr:cNvPr>
          <xdr:cNvSpPr/>
        </xdr:nvSpPr>
        <xdr:spPr>
          <a:xfrm rot="172365">
            <a:off x="2579121" y="5470836"/>
            <a:ext cx="424110" cy="345408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02" name="TextBox 28">
            <a:extLst>
              <a:ext uri="{FF2B5EF4-FFF2-40B4-BE49-F238E27FC236}">
                <a16:creationId xmlns="" xmlns:a16="http://schemas.microsoft.com/office/drawing/2014/main" id="{00000000-0008-0000-0000-000066000000}"/>
              </a:ext>
            </a:extLst>
          </xdr:cNvPr>
          <xdr:cNvSpPr txBox="1"/>
        </xdr:nvSpPr>
        <xdr:spPr>
          <a:xfrm>
            <a:off x="3449685" y="5914390"/>
            <a:ext cx="1521570" cy="276999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Building No.2(South)</a:t>
            </a:r>
            <a:endParaRPr lang="en-IN" sz="1200" b="1"/>
          </a:p>
        </xdr:txBody>
      </xdr:sp>
      <xdr:sp macro="" textlink="">
        <xdr:nvSpPr>
          <xdr:cNvPr id="103" name="TextBox 88">
            <a:extLst>
              <a:ext uri="{FF2B5EF4-FFF2-40B4-BE49-F238E27FC236}">
                <a16:creationId xmlns="" xmlns:a16="http://schemas.microsoft.com/office/drawing/2014/main" id="{00000000-0008-0000-0000-000067000000}"/>
              </a:ext>
            </a:extLst>
          </xdr:cNvPr>
          <xdr:cNvSpPr txBox="1"/>
        </xdr:nvSpPr>
        <xdr:spPr>
          <a:xfrm>
            <a:off x="1819004" y="4180737"/>
            <a:ext cx="1521570" cy="276999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Building No.1(North)</a:t>
            </a:r>
            <a:endParaRPr lang="en-IN" sz="1200" b="1"/>
          </a:p>
        </xdr:txBody>
      </xdr:sp>
      <xdr:cxnSp macro="">
        <xdr:nvCxnSpPr>
          <xdr:cNvPr id="104" name="Straight Arrow Connector 103">
            <a:extLst>
              <a:ext uri="{FF2B5EF4-FFF2-40B4-BE49-F238E27FC236}">
                <a16:creationId xmlns="" xmlns:a16="http://schemas.microsoft.com/office/drawing/2014/main" id="{00000000-0008-0000-0000-000068000000}"/>
              </a:ext>
            </a:extLst>
          </xdr:cNvPr>
          <xdr:cNvCxnSpPr>
            <a:stCxn id="103" idx="2"/>
            <a:endCxn id="100" idx="1"/>
          </xdr:cNvCxnSpPr>
        </xdr:nvCxnSpPr>
        <xdr:spPr>
          <a:xfrm>
            <a:off x="2579789" y="4457736"/>
            <a:ext cx="672648" cy="484195"/>
          </a:xfrm>
          <a:prstGeom prst="straightConnector1">
            <a:avLst/>
          </a:prstGeom>
          <a:ln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5" name="Straight Arrow Connector 104">
            <a:extLst>
              <a:ext uri="{FF2B5EF4-FFF2-40B4-BE49-F238E27FC236}">
                <a16:creationId xmlns="" xmlns:a16="http://schemas.microsoft.com/office/drawing/2014/main" id="{00000000-0008-0000-0000-000069000000}"/>
              </a:ext>
            </a:extLst>
          </xdr:cNvPr>
          <xdr:cNvCxnSpPr>
            <a:endCxn id="101" idx="3"/>
          </xdr:cNvCxnSpPr>
        </xdr:nvCxnSpPr>
        <xdr:spPr>
          <a:xfrm flipH="1" flipV="1">
            <a:off x="3002965" y="5654168"/>
            <a:ext cx="446720" cy="408188"/>
          </a:xfrm>
          <a:prstGeom prst="straightConnector1">
            <a:avLst/>
          </a:prstGeom>
          <a:ln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6" name="Freeform 105">
            <a:extLst>
              <a:ext uri="{FF2B5EF4-FFF2-40B4-BE49-F238E27FC236}">
                <a16:creationId xmlns="" xmlns:a16="http://schemas.microsoft.com/office/drawing/2014/main" id="{00000000-0008-0000-0000-00006A000000}"/>
              </a:ext>
            </a:extLst>
          </xdr:cNvPr>
          <xdr:cNvSpPr/>
        </xdr:nvSpPr>
        <xdr:spPr>
          <a:xfrm>
            <a:off x="2147888" y="4814888"/>
            <a:ext cx="1638300" cy="762000"/>
          </a:xfrm>
          <a:custGeom>
            <a:avLst/>
            <a:gdLst>
              <a:gd name="connsiteX0" fmla="*/ 1571625 w 1638300"/>
              <a:gd name="connsiteY0" fmla="*/ 95250 h 762000"/>
              <a:gd name="connsiteX1" fmla="*/ 1600200 w 1638300"/>
              <a:gd name="connsiteY1" fmla="*/ 200025 h 762000"/>
              <a:gd name="connsiteX2" fmla="*/ 1452562 w 1638300"/>
              <a:gd name="connsiteY2" fmla="*/ 538162 h 762000"/>
              <a:gd name="connsiteX3" fmla="*/ 1052512 w 1638300"/>
              <a:gd name="connsiteY3" fmla="*/ 581025 h 762000"/>
              <a:gd name="connsiteX4" fmla="*/ 723900 w 1638300"/>
              <a:gd name="connsiteY4" fmla="*/ 666750 h 762000"/>
              <a:gd name="connsiteX5" fmla="*/ 109537 w 1638300"/>
              <a:gd name="connsiteY5" fmla="*/ 666750 h 762000"/>
              <a:gd name="connsiteX6" fmla="*/ 28575 w 1638300"/>
              <a:gd name="connsiteY6" fmla="*/ 638175 h 762000"/>
              <a:gd name="connsiteX7" fmla="*/ 100012 w 1638300"/>
              <a:gd name="connsiteY7" fmla="*/ 533400 h 762000"/>
              <a:gd name="connsiteX8" fmla="*/ 57150 w 1638300"/>
              <a:gd name="connsiteY8" fmla="*/ 519112 h 762000"/>
              <a:gd name="connsiteX9" fmla="*/ 0 w 1638300"/>
              <a:gd name="connsiteY9" fmla="*/ 690562 h 762000"/>
              <a:gd name="connsiteX10" fmla="*/ 409575 w 1638300"/>
              <a:gd name="connsiteY10" fmla="*/ 762000 h 762000"/>
              <a:gd name="connsiteX11" fmla="*/ 1042987 w 1638300"/>
              <a:gd name="connsiteY11" fmla="*/ 633412 h 762000"/>
              <a:gd name="connsiteX12" fmla="*/ 1471612 w 1638300"/>
              <a:gd name="connsiteY12" fmla="*/ 600075 h 762000"/>
              <a:gd name="connsiteX13" fmla="*/ 1638300 w 1638300"/>
              <a:gd name="connsiteY13" fmla="*/ 166687 h 762000"/>
              <a:gd name="connsiteX14" fmla="*/ 1628775 w 1638300"/>
              <a:gd name="connsiteY14" fmla="*/ 0 h 762000"/>
              <a:gd name="connsiteX15" fmla="*/ 1571625 w 1638300"/>
              <a:gd name="connsiteY15" fmla="*/ 95250 h 76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1638300" h="762000">
                <a:moveTo>
                  <a:pt x="1571625" y="95250"/>
                </a:moveTo>
                <a:lnTo>
                  <a:pt x="1600200" y="200025"/>
                </a:lnTo>
                <a:lnTo>
                  <a:pt x="1452562" y="538162"/>
                </a:lnTo>
                <a:lnTo>
                  <a:pt x="1052512" y="581025"/>
                </a:lnTo>
                <a:lnTo>
                  <a:pt x="723900" y="666750"/>
                </a:lnTo>
                <a:lnTo>
                  <a:pt x="109537" y="666750"/>
                </a:lnTo>
                <a:lnTo>
                  <a:pt x="28575" y="638175"/>
                </a:lnTo>
                <a:lnTo>
                  <a:pt x="100012" y="533400"/>
                </a:lnTo>
                <a:lnTo>
                  <a:pt x="57150" y="519112"/>
                </a:lnTo>
                <a:lnTo>
                  <a:pt x="0" y="690562"/>
                </a:lnTo>
                <a:lnTo>
                  <a:pt x="409575" y="762000"/>
                </a:lnTo>
                <a:lnTo>
                  <a:pt x="1042987" y="633412"/>
                </a:lnTo>
                <a:lnTo>
                  <a:pt x="1471612" y="600075"/>
                </a:lnTo>
                <a:lnTo>
                  <a:pt x="1638300" y="166687"/>
                </a:lnTo>
                <a:lnTo>
                  <a:pt x="1628775" y="0"/>
                </a:lnTo>
                <a:lnTo>
                  <a:pt x="1571625" y="95250"/>
                </a:lnTo>
                <a:close/>
              </a:path>
            </a:pathLst>
          </a:cu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07" name="TextBox 90">
            <a:extLst>
              <a:ext uri="{FF2B5EF4-FFF2-40B4-BE49-F238E27FC236}">
                <a16:creationId xmlns="" xmlns:a16="http://schemas.microsoft.com/office/drawing/2014/main" id="{00000000-0008-0000-0000-00006B000000}"/>
              </a:ext>
            </a:extLst>
          </xdr:cNvPr>
          <xdr:cNvSpPr txBox="1"/>
        </xdr:nvSpPr>
        <xdr:spPr>
          <a:xfrm>
            <a:off x="2147163" y="5301011"/>
            <a:ext cx="458780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FF0000"/>
                </a:solidFill>
              </a:rPr>
              <a:t>Nalla</a:t>
            </a:r>
            <a:endParaRPr lang="en-IN" sz="1000" b="1">
              <a:solidFill>
                <a:srgbClr val="FF0000"/>
              </a:solidFill>
            </a:endParaRPr>
          </a:p>
        </xdr:txBody>
      </xdr:sp>
      <xdr:sp macro="" textlink="">
        <xdr:nvSpPr>
          <xdr:cNvPr id="108" name="TextBox 91">
            <a:extLst>
              <a:ext uri="{FF2B5EF4-FFF2-40B4-BE49-F238E27FC236}">
                <a16:creationId xmlns="" xmlns:a16="http://schemas.microsoft.com/office/drawing/2014/main" id="{00000000-0008-0000-0000-00006C000000}"/>
              </a:ext>
            </a:extLst>
          </xdr:cNvPr>
          <xdr:cNvSpPr txBox="1"/>
        </xdr:nvSpPr>
        <xdr:spPr>
          <a:xfrm>
            <a:off x="460574" y="3261751"/>
            <a:ext cx="2309799" cy="276999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Kalpataru Vivant (North &amp; South)</a:t>
            </a:r>
            <a:endParaRPr lang="en-IN" sz="1200" b="1"/>
          </a:p>
        </xdr:txBody>
      </xdr:sp>
    </xdr:grpSp>
    <xdr:clientData/>
  </xdr:twoCellAnchor>
  <xdr:twoCellAnchor editAs="oneCell">
    <xdr:from>
      <xdr:col>8</xdr:col>
      <xdr:colOff>134469</xdr:colOff>
      <xdr:row>63</xdr:row>
      <xdr:rowOff>0</xdr:rowOff>
    </xdr:from>
    <xdr:to>
      <xdr:col>10</xdr:col>
      <xdr:colOff>637029</xdr:colOff>
      <xdr:row>69</xdr:row>
      <xdr:rowOff>9031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58229" y="22250400"/>
          <a:ext cx="2880000" cy="24474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11204</xdr:colOff>
      <xdr:row>63</xdr:row>
      <xdr:rowOff>1</xdr:rowOff>
    </xdr:from>
    <xdr:to>
      <xdr:col>16</xdr:col>
      <xdr:colOff>551864</xdr:colOff>
      <xdr:row>66</xdr:row>
      <xdr:rowOff>557787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67924" y="22250401"/>
          <a:ext cx="2880000" cy="15864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526677</xdr:colOff>
      <xdr:row>699</xdr:row>
      <xdr:rowOff>190500</xdr:rowOff>
    </xdr:from>
    <xdr:to>
      <xdr:col>6</xdr:col>
      <xdr:colOff>684120</xdr:colOff>
      <xdr:row>727</xdr:row>
      <xdr:rowOff>105335</xdr:rowOff>
    </xdr:to>
    <xdr:grpSp>
      <xdr:nvGrpSpPr>
        <xdr:cNvPr id="126" name="Group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GrpSpPr/>
      </xdr:nvGrpSpPr>
      <xdr:grpSpPr>
        <a:xfrm>
          <a:off x="1288677" y="148266150"/>
          <a:ext cx="4319868" cy="5515535"/>
          <a:chOff x="1271587" y="1790700"/>
          <a:chExt cx="4314825" cy="5562599"/>
        </a:xfrm>
      </xdr:grpSpPr>
      <xdr:pic>
        <xdr:nvPicPr>
          <xdr:cNvPr id="127" name="Picture 126">
            <a:extLst>
              <a:ext uri="{FF2B5EF4-FFF2-40B4-BE49-F238E27FC236}">
                <a16:creationId xmlns="" xmlns:a16="http://schemas.microsoft.com/office/drawing/2014/main" id="{00000000-0008-0000-0000-00007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1271587" y="1790700"/>
            <a:ext cx="4314825" cy="5562599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128" name="Rectangle 127">
            <a:extLst>
              <a:ext uri="{FF2B5EF4-FFF2-40B4-BE49-F238E27FC236}">
                <a16:creationId xmlns="" xmlns:a16="http://schemas.microsoft.com/office/drawing/2014/main" id="{00000000-0008-0000-0000-000080000000}"/>
              </a:ext>
            </a:extLst>
          </xdr:cNvPr>
          <xdr:cNvSpPr/>
        </xdr:nvSpPr>
        <xdr:spPr>
          <a:xfrm>
            <a:off x="2795587" y="1824317"/>
            <a:ext cx="2610970" cy="2756648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IN" sz="1100"/>
          </a:p>
        </xdr:txBody>
      </xdr:sp>
      <xdr:sp macro="" textlink="">
        <xdr:nvSpPr>
          <xdr:cNvPr id="129" name="Rectangle 128">
            <a:extLst>
              <a:ext uri="{FF2B5EF4-FFF2-40B4-BE49-F238E27FC236}">
                <a16:creationId xmlns="" xmlns:a16="http://schemas.microsoft.com/office/drawing/2014/main" id="{00000000-0008-0000-0000-000081000000}"/>
              </a:ext>
            </a:extLst>
          </xdr:cNvPr>
          <xdr:cNvSpPr/>
        </xdr:nvSpPr>
        <xdr:spPr>
          <a:xfrm>
            <a:off x="1887911" y="5111771"/>
            <a:ext cx="3014382" cy="2171771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IN" sz="1100"/>
          </a:p>
        </xdr:txBody>
      </xdr:sp>
      <xdr:sp macro="" textlink="">
        <xdr:nvSpPr>
          <xdr:cNvPr id="130" name="TextBox 5">
            <a:extLst>
              <a:ext uri="{FF2B5EF4-FFF2-40B4-BE49-F238E27FC236}">
                <a16:creationId xmlns="" xmlns:a16="http://schemas.microsoft.com/office/drawing/2014/main" id="{00000000-0008-0000-0000-000082000000}"/>
              </a:ext>
            </a:extLst>
          </xdr:cNvPr>
          <xdr:cNvSpPr txBox="1"/>
        </xdr:nvSpPr>
        <xdr:spPr>
          <a:xfrm>
            <a:off x="1943940" y="2407024"/>
            <a:ext cx="571500" cy="25773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North</a:t>
            </a:r>
          </a:p>
        </xdr:txBody>
      </xdr:sp>
      <xdr:sp macro="" textlink="">
        <xdr:nvSpPr>
          <xdr:cNvPr id="131" name="TextBox 18">
            <a:extLst>
              <a:ext uri="{FF2B5EF4-FFF2-40B4-BE49-F238E27FC236}">
                <a16:creationId xmlns="" xmlns:a16="http://schemas.microsoft.com/office/drawing/2014/main" id="{00000000-0008-0000-0000-000083000000}"/>
              </a:ext>
            </a:extLst>
          </xdr:cNvPr>
          <xdr:cNvSpPr txBox="1"/>
        </xdr:nvSpPr>
        <xdr:spPr>
          <a:xfrm>
            <a:off x="5003147" y="5511052"/>
            <a:ext cx="571500" cy="2577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South</a:t>
            </a:r>
          </a:p>
        </xdr:txBody>
      </xdr:sp>
      <xdr:sp macro="" textlink="">
        <xdr:nvSpPr>
          <xdr:cNvPr id="132" name="TextBox 98">
            <a:extLst>
              <a:ext uri="{FF2B5EF4-FFF2-40B4-BE49-F238E27FC236}">
                <a16:creationId xmlns="" xmlns:a16="http://schemas.microsoft.com/office/drawing/2014/main" id="{00000000-0008-0000-0000-000084000000}"/>
              </a:ext>
            </a:extLst>
          </xdr:cNvPr>
          <xdr:cNvSpPr txBox="1"/>
        </xdr:nvSpPr>
        <xdr:spPr>
          <a:xfrm>
            <a:off x="3895639" y="2216701"/>
            <a:ext cx="29046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F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3" name="TextBox 99">
            <a:extLst>
              <a:ext uri="{FF2B5EF4-FFF2-40B4-BE49-F238E27FC236}">
                <a16:creationId xmlns="" xmlns:a16="http://schemas.microsoft.com/office/drawing/2014/main" id="{00000000-0008-0000-0000-000085000000}"/>
              </a:ext>
            </a:extLst>
          </xdr:cNvPr>
          <xdr:cNvSpPr txBox="1"/>
        </xdr:nvSpPr>
        <xdr:spPr>
          <a:xfrm>
            <a:off x="4193564" y="2702265"/>
            <a:ext cx="29687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E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4" name="TextBox 100">
            <a:extLst>
              <a:ext uri="{FF2B5EF4-FFF2-40B4-BE49-F238E27FC236}">
                <a16:creationId xmlns="" xmlns:a16="http://schemas.microsoft.com/office/drawing/2014/main" id="{00000000-0008-0000-0000-000086000000}"/>
              </a:ext>
            </a:extLst>
          </xdr:cNvPr>
          <xdr:cNvSpPr txBox="1"/>
        </xdr:nvSpPr>
        <xdr:spPr>
          <a:xfrm>
            <a:off x="4111708" y="3214167"/>
            <a:ext cx="33054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5" name="TextBox 101">
            <a:extLst>
              <a:ext uri="{FF2B5EF4-FFF2-40B4-BE49-F238E27FC236}">
                <a16:creationId xmlns="" xmlns:a16="http://schemas.microsoft.com/office/drawing/2014/main" id="{00000000-0008-0000-0000-000087000000}"/>
              </a:ext>
            </a:extLst>
          </xdr:cNvPr>
          <xdr:cNvSpPr txBox="1"/>
        </xdr:nvSpPr>
        <xdr:spPr>
          <a:xfrm>
            <a:off x="3821244" y="3418317"/>
            <a:ext cx="3064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6" name="TextBox 102">
            <a:extLst>
              <a:ext uri="{FF2B5EF4-FFF2-40B4-BE49-F238E27FC236}">
                <a16:creationId xmlns=""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3163553" y="2981948"/>
            <a:ext cx="31451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7" name="TextBox 103">
            <a:extLst>
              <a:ext uri="{FF2B5EF4-FFF2-40B4-BE49-F238E27FC236}">
                <a16:creationId xmlns=""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3102193" y="2480093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8" name="TextBox 104">
            <a:extLst>
              <a:ext uri="{FF2B5EF4-FFF2-40B4-BE49-F238E27FC236}">
                <a16:creationId xmlns=""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2353376" y="6199777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9" name="TextBox 105">
            <a:extLst>
              <a:ext uri="{FF2B5EF4-FFF2-40B4-BE49-F238E27FC236}">
                <a16:creationId xmlns="" xmlns:a16="http://schemas.microsoft.com/office/drawing/2014/main" id="{00000000-0008-0000-0000-00008B000000}"/>
              </a:ext>
            </a:extLst>
          </xdr:cNvPr>
          <xdr:cNvSpPr txBox="1"/>
        </xdr:nvSpPr>
        <xdr:spPr>
          <a:xfrm>
            <a:off x="2600203" y="6546812"/>
            <a:ext cx="31451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40" name="TextBox 106">
            <a:extLst>
              <a:ext uri="{FF2B5EF4-FFF2-40B4-BE49-F238E27FC236}">
                <a16:creationId xmlns="" xmlns:a16="http://schemas.microsoft.com/office/drawing/2014/main" id="{00000000-0008-0000-0000-00008C000000}"/>
              </a:ext>
            </a:extLst>
          </xdr:cNvPr>
          <xdr:cNvSpPr txBox="1"/>
        </xdr:nvSpPr>
        <xdr:spPr>
          <a:xfrm>
            <a:off x="3952850" y="6645311"/>
            <a:ext cx="3064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41" name="TextBox 107">
            <a:extLst>
              <a:ext uri="{FF2B5EF4-FFF2-40B4-BE49-F238E27FC236}">
                <a16:creationId xmlns="" xmlns:a16="http://schemas.microsoft.com/office/drawing/2014/main" id="{00000000-0008-0000-0000-00008D000000}"/>
              </a:ext>
            </a:extLst>
          </xdr:cNvPr>
          <xdr:cNvSpPr txBox="1"/>
        </xdr:nvSpPr>
        <xdr:spPr>
          <a:xfrm>
            <a:off x="4398774" y="5584122"/>
            <a:ext cx="33054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42" name="TextBox 108">
            <a:extLst>
              <a:ext uri="{FF2B5EF4-FFF2-40B4-BE49-F238E27FC236}">
                <a16:creationId xmlns="" xmlns:a16="http://schemas.microsoft.com/office/drawing/2014/main" id="{00000000-0008-0000-0000-00008E000000}"/>
              </a:ext>
            </a:extLst>
          </xdr:cNvPr>
          <xdr:cNvSpPr txBox="1"/>
        </xdr:nvSpPr>
        <xdr:spPr>
          <a:xfrm>
            <a:off x="4236710" y="5293004"/>
            <a:ext cx="29687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E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43" name="Freeform 142">
            <a:extLst>
              <a:ext uri="{FF2B5EF4-FFF2-40B4-BE49-F238E27FC236}">
                <a16:creationId xmlns="" xmlns:a16="http://schemas.microsoft.com/office/drawing/2014/main" id="{00000000-0008-0000-0000-00008F000000}"/>
              </a:ext>
            </a:extLst>
          </xdr:cNvPr>
          <xdr:cNvSpPr/>
        </xdr:nvSpPr>
        <xdr:spPr>
          <a:xfrm>
            <a:off x="1422400" y="1828800"/>
            <a:ext cx="3797300" cy="4495800"/>
          </a:xfrm>
          <a:custGeom>
            <a:avLst/>
            <a:gdLst>
              <a:gd name="connsiteX0" fmla="*/ 2933700 w 3797300"/>
              <a:gd name="connsiteY0" fmla="*/ 50800 h 4495800"/>
              <a:gd name="connsiteX1" fmla="*/ 3390900 w 3797300"/>
              <a:gd name="connsiteY1" fmla="*/ 546100 h 4495800"/>
              <a:gd name="connsiteX2" fmla="*/ 3581400 w 3797300"/>
              <a:gd name="connsiteY2" fmla="*/ 1435100 h 4495800"/>
              <a:gd name="connsiteX3" fmla="*/ 3530600 w 3797300"/>
              <a:gd name="connsiteY3" fmla="*/ 1968500 h 4495800"/>
              <a:gd name="connsiteX4" fmla="*/ 2540000 w 3797300"/>
              <a:gd name="connsiteY4" fmla="*/ 2654300 h 4495800"/>
              <a:gd name="connsiteX5" fmla="*/ 2197100 w 3797300"/>
              <a:gd name="connsiteY5" fmla="*/ 3517900 h 4495800"/>
              <a:gd name="connsiteX6" fmla="*/ 1587500 w 3797300"/>
              <a:gd name="connsiteY6" fmla="*/ 3594100 h 4495800"/>
              <a:gd name="connsiteX7" fmla="*/ 1282700 w 3797300"/>
              <a:gd name="connsiteY7" fmla="*/ 3962400 h 4495800"/>
              <a:gd name="connsiteX8" fmla="*/ 762000 w 3797300"/>
              <a:gd name="connsiteY8" fmla="*/ 4279900 h 4495800"/>
              <a:gd name="connsiteX9" fmla="*/ 558800 w 3797300"/>
              <a:gd name="connsiteY9" fmla="*/ 3886200 h 4495800"/>
              <a:gd name="connsiteX10" fmla="*/ 12700 w 3797300"/>
              <a:gd name="connsiteY10" fmla="*/ 3746500 h 4495800"/>
              <a:gd name="connsiteX11" fmla="*/ 0 w 3797300"/>
              <a:gd name="connsiteY11" fmla="*/ 3962400 h 4495800"/>
              <a:gd name="connsiteX12" fmla="*/ 482600 w 3797300"/>
              <a:gd name="connsiteY12" fmla="*/ 4165600 h 4495800"/>
              <a:gd name="connsiteX13" fmla="*/ 762000 w 3797300"/>
              <a:gd name="connsiteY13" fmla="*/ 4495800 h 4495800"/>
              <a:gd name="connsiteX14" fmla="*/ 1193800 w 3797300"/>
              <a:gd name="connsiteY14" fmla="*/ 4356100 h 4495800"/>
              <a:gd name="connsiteX15" fmla="*/ 1587500 w 3797300"/>
              <a:gd name="connsiteY15" fmla="*/ 3835400 h 4495800"/>
              <a:gd name="connsiteX16" fmla="*/ 1816100 w 3797300"/>
              <a:gd name="connsiteY16" fmla="*/ 3695700 h 4495800"/>
              <a:gd name="connsiteX17" fmla="*/ 2425700 w 3797300"/>
              <a:gd name="connsiteY17" fmla="*/ 3594100 h 4495800"/>
              <a:gd name="connsiteX18" fmla="*/ 2679700 w 3797300"/>
              <a:gd name="connsiteY18" fmla="*/ 2819400 h 4495800"/>
              <a:gd name="connsiteX19" fmla="*/ 3683000 w 3797300"/>
              <a:gd name="connsiteY19" fmla="*/ 2095500 h 4495800"/>
              <a:gd name="connsiteX20" fmla="*/ 3797300 w 3797300"/>
              <a:gd name="connsiteY20" fmla="*/ 1498600 h 4495800"/>
              <a:gd name="connsiteX21" fmla="*/ 3581400 w 3797300"/>
              <a:gd name="connsiteY21" fmla="*/ 520700 h 4495800"/>
              <a:gd name="connsiteX22" fmla="*/ 3187700 w 3797300"/>
              <a:gd name="connsiteY22" fmla="*/ 0 h 4495800"/>
              <a:gd name="connsiteX23" fmla="*/ 2933700 w 3797300"/>
              <a:gd name="connsiteY23" fmla="*/ 50800 h 44958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3797300" h="4495800">
                <a:moveTo>
                  <a:pt x="2933700" y="50800"/>
                </a:moveTo>
                <a:lnTo>
                  <a:pt x="3390900" y="546100"/>
                </a:lnTo>
                <a:lnTo>
                  <a:pt x="3581400" y="1435100"/>
                </a:lnTo>
                <a:lnTo>
                  <a:pt x="3530600" y="1968500"/>
                </a:lnTo>
                <a:lnTo>
                  <a:pt x="2540000" y="2654300"/>
                </a:lnTo>
                <a:lnTo>
                  <a:pt x="2197100" y="3517900"/>
                </a:lnTo>
                <a:lnTo>
                  <a:pt x="1587500" y="3594100"/>
                </a:lnTo>
                <a:lnTo>
                  <a:pt x="1282700" y="3962400"/>
                </a:lnTo>
                <a:lnTo>
                  <a:pt x="762000" y="4279900"/>
                </a:lnTo>
                <a:lnTo>
                  <a:pt x="558800" y="3886200"/>
                </a:lnTo>
                <a:lnTo>
                  <a:pt x="12700" y="3746500"/>
                </a:lnTo>
                <a:lnTo>
                  <a:pt x="0" y="3962400"/>
                </a:lnTo>
                <a:lnTo>
                  <a:pt x="482600" y="4165600"/>
                </a:lnTo>
                <a:lnTo>
                  <a:pt x="762000" y="4495800"/>
                </a:lnTo>
                <a:lnTo>
                  <a:pt x="1193800" y="4356100"/>
                </a:lnTo>
                <a:lnTo>
                  <a:pt x="1587500" y="3835400"/>
                </a:lnTo>
                <a:lnTo>
                  <a:pt x="1816100" y="3695700"/>
                </a:lnTo>
                <a:lnTo>
                  <a:pt x="2425700" y="3594100"/>
                </a:lnTo>
                <a:lnTo>
                  <a:pt x="2679700" y="2819400"/>
                </a:lnTo>
                <a:lnTo>
                  <a:pt x="3683000" y="2095500"/>
                </a:lnTo>
                <a:lnTo>
                  <a:pt x="3797300" y="1498600"/>
                </a:lnTo>
                <a:lnTo>
                  <a:pt x="3581400" y="520700"/>
                </a:lnTo>
                <a:lnTo>
                  <a:pt x="3187700" y="0"/>
                </a:lnTo>
                <a:lnTo>
                  <a:pt x="2933700" y="50800"/>
                </a:lnTo>
                <a:close/>
              </a:path>
            </a:pathLst>
          </a:cu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44" name="TextBox 128">
            <a:extLst>
              <a:ext uri="{FF2B5EF4-FFF2-40B4-BE49-F238E27FC236}">
                <a16:creationId xmlns=""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2047129" y="5551681"/>
            <a:ext cx="67678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Nalla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oneCellAnchor>
    <xdr:from>
      <xdr:col>10</xdr:col>
      <xdr:colOff>235889</xdr:colOff>
      <xdr:row>61</xdr:row>
      <xdr:rowOff>7620</xdr:rowOff>
    </xdr:from>
    <xdr:ext cx="2880000" cy="1854974"/>
    <xdr:pic>
      <xdr:nvPicPr>
        <xdr:cNvPr id="78" name="Picture 77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37089" y="20055840"/>
          <a:ext cx="2880000" cy="1854974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8</xdr:col>
      <xdr:colOff>1204744</xdr:colOff>
      <xdr:row>663</xdr:row>
      <xdr:rowOff>103643</xdr:rowOff>
    </xdr:from>
    <xdr:ext cx="2877333" cy="2159998"/>
    <xdr:pic>
      <xdr:nvPicPr>
        <xdr:cNvPr id="80" name="Picture 7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5344" y="135911093"/>
          <a:ext cx="2877333" cy="21599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9</xdr:col>
      <xdr:colOff>56321</xdr:colOff>
      <xdr:row>660</xdr:row>
      <xdr:rowOff>60188</xdr:rowOff>
    </xdr:from>
    <xdr:ext cx="854978" cy="342786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616121" y="135277088"/>
          <a:ext cx="854978" cy="34278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 cap="none" spc="0">
              <a:ln w="0"/>
              <a:solidFill>
                <a:srgbClr val="C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North B</a:t>
          </a:r>
        </a:p>
      </xdr:txBody>
    </xdr:sp>
    <xdr:clientData/>
  </xdr:oneCellAnchor>
  <xdr:twoCellAnchor>
    <xdr:from>
      <xdr:col>8</xdr:col>
      <xdr:colOff>1111250</xdr:colOff>
      <xdr:row>607</xdr:row>
      <xdr:rowOff>114300</xdr:rowOff>
    </xdr:from>
    <xdr:to>
      <xdr:col>15</xdr:col>
      <xdr:colOff>510540</xdr:colOff>
      <xdr:row>648</xdr:row>
      <xdr:rowOff>137530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121650" y="129806700"/>
          <a:ext cx="5476240" cy="8214730"/>
          <a:chOff x="577850" y="134334250"/>
          <a:chExt cx="6135008" cy="8871320"/>
        </a:xfrm>
      </xdr:grpSpPr>
      <xdr:pic>
        <xdr:nvPicPr>
          <xdr:cNvPr id="123" name="Picture 122">
            <a:extLst>
              <a:ext uri="{FF2B5EF4-FFF2-40B4-BE49-F238E27FC236}">
                <a16:creationId xmlns="" xmlns:a16="http://schemas.microsoft.com/office/drawing/2014/main" id="{00000000-0008-0000-0000-00007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7850" y="134334250"/>
            <a:ext cx="384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4" name="Picture 123">
            <a:extLst>
              <a:ext uri="{FF2B5EF4-FFF2-40B4-BE49-F238E27FC236}">
                <a16:creationId xmlns="" xmlns:a16="http://schemas.microsoft.com/office/drawing/2014/main" id="{00000000-0008-0000-0000-00007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2858" y="134334250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5" name="Picture 124">
            <a:extLst>
              <a:ext uri="{FF2B5EF4-FFF2-40B4-BE49-F238E27FC236}">
                <a16:creationId xmlns="" xmlns:a16="http://schemas.microsoft.com/office/drawing/2014/main" id="{00000000-0008-0000-0000-00007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83150" y="140325570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5" name="Picture 144">
            <a:extLst>
              <a:ext uri="{FF2B5EF4-FFF2-40B4-BE49-F238E27FC236}">
                <a16:creationId xmlns="" xmlns:a16="http://schemas.microsoft.com/office/drawing/2014/main" id="{00000000-0008-0000-0000-00009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8158" y="137329910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6" name="Picture 145">
            <a:extLst>
              <a:ext uri="{FF2B5EF4-FFF2-40B4-BE49-F238E27FC236}">
                <a16:creationId xmlns="" xmlns:a16="http://schemas.microsoft.com/office/drawing/2014/main" id="{00000000-0008-0000-0000-00009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8158" y="140325570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7" name="Picture 146">
            <a:extLst>
              <a:ext uri="{FF2B5EF4-FFF2-40B4-BE49-F238E27FC236}">
                <a16:creationId xmlns="" xmlns:a16="http://schemas.microsoft.com/office/drawing/2014/main" id="{00000000-0008-0000-0000-00009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83150" y="137329910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605790</xdr:colOff>
      <xdr:row>655</xdr:row>
      <xdr:rowOff>153670</xdr:rowOff>
    </xdr:from>
    <xdr:to>
      <xdr:col>15</xdr:col>
      <xdr:colOff>447952</xdr:colOff>
      <xdr:row>693</xdr:row>
      <xdr:rowOff>37643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616190" y="139437745"/>
          <a:ext cx="5919112" cy="7475398"/>
          <a:chOff x="552450" y="143592550"/>
          <a:chExt cx="6099452" cy="7359193"/>
        </a:xfrm>
      </xdr:grpSpPr>
      <xdr:pic>
        <xdr:nvPicPr>
          <xdr:cNvPr id="148" name="Picture 147">
            <a:extLst>
              <a:ext uri="{FF2B5EF4-FFF2-40B4-BE49-F238E27FC236}">
                <a16:creationId xmlns="" xmlns:a16="http://schemas.microsoft.com/office/drawing/2014/main" id="{00000000-0008-0000-0000-00009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1902" y="147711743"/>
            <a:ext cx="2430000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9" name="Picture 148">
            <a:extLst>
              <a:ext uri="{FF2B5EF4-FFF2-40B4-BE49-F238E27FC236}">
                <a16:creationId xmlns="" xmlns:a16="http://schemas.microsoft.com/office/drawing/2014/main" id="{00000000-0008-0000-0000-00009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2450" y="1435925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0" name="Picture 149">
            <a:extLst>
              <a:ext uri="{FF2B5EF4-FFF2-40B4-BE49-F238E27FC236}">
                <a16:creationId xmlns="" xmlns:a16="http://schemas.microsoft.com/office/drawing/2014/main" id="{00000000-0008-0000-0000-00009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2450" y="147711743"/>
            <a:ext cx="2430000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1" name="Picture 150">
            <a:extLst>
              <a:ext uri="{FF2B5EF4-FFF2-40B4-BE49-F238E27FC236}">
                <a16:creationId xmlns="" xmlns:a16="http://schemas.microsoft.com/office/drawing/2014/main" id="{00000000-0008-0000-0000-00009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1902" y="1435925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121920</xdr:colOff>
      <xdr:row>612</xdr:row>
      <xdr:rowOff>0</xdr:rowOff>
    </xdr:from>
    <xdr:to>
      <xdr:col>7</xdr:col>
      <xdr:colOff>1196340</xdr:colOff>
      <xdr:row>643</xdr:row>
      <xdr:rowOff>30480</xdr:rowOff>
    </xdr:to>
    <xdr:grpSp>
      <xdr:nvGrpSpPr>
        <xdr:cNvPr id="6" name="Group 5">
          <a:extLst>
            <a:ext uri="{FF2B5EF4-FFF2-40B4-BE49-F238E27FC236}">
              <a16:creationId xmlns="" xmlns:a16="http://schemas.microsoft.com/office/drawing/2014/main" id="{8721CAFC-DFDA-E53D-0DC6-AE7172219C16}"/>
            </a:ext>
          </a:extLst>
        </xdr:cNvPr>
        <xdr:cNvGrpSpPr/>
      </xdr:nvGrpSpPr>
      <xdr:grpSpPr>
        <a:xfrm>
          <a:off x="121920" y="130692525"/>
          <a:ext cx="6779895" cy="6221730"/>
          <a:chOff x="-2072637" y="310850"/>
          <a:chExt cx="7961308" cy="6883194"/>
        </a:xfrm>
      </xdr:grpSpPr>
      <xdr:pic>
        <xdr:nvPicPr>
          <xdr:cNvPr id="8" name="Picture 7">
            <a:extLst>
              <a:ext uri="{FF2B5EF4-FFF2-40B4-BE49-F238E27FC236}">
                <a16:creationId xmlns="" xmlns:a16="http://schemas.microsoft.com/office/drawing/2014/main" id="{475A5CE4-1F15-E8FD-5C97-2D2C754459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6679" y="310850"/>
            <a:ext cx="2520000" cy="33646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="" xmlns:a16="http://schemas.microsoft.com/office/drawing/2014/main" id="{B381CF97-C321-4C8C-8F45-CEEA6FBF30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920269" y="310851"/>
            <a:ext cx="2520000" cy="33646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="" xmlns:a16="http://schemas.microsoft.com/office/drawing/2014/main" id="{CB250E49-CC40-88DC-2744-77C81EF3E7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5027" y="3829369"/>
            <a:ext cx="2520000" cy="33646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="" xmlns:a16="http://schemas.microsoft.com/office/drawing/2014/main" id="{AE6E9C11-6DD8-3093-DF09-3D2C1C948F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1998617" y="3829371"/>
            <a:ext cx="2520000" cy="33646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="" xmlns:a16="http://schemas.microsoft.com/office/drawing/2014/main" id="{74106CAE-9B1F-661D-A9C0-6465F07B45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68671" y="3829369"/>
            <a:ext cx="2520000" cy="33646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3" name="TextBox 23">
            <a:extLst>
              <a:ext uri="{FF2B5EF4-FFF2-40B4-BE49-F238E27FC236}">
                <a16:creationId xmlns="" xmlns:a16="http://schemas.microsoft.com/office/drawing/2014/main" id="{FB381CAA-92FD-AF8D-53E4-50D76D4BDFD2}"/>
              </a:ext>
            </a:extLst>
          </xdr:cNvPr>
          <xdr:cNvSpPr txBox="1"/>
        </xdr:nvSpPr>
        <xdr:spPr>
          <a:xfrm>
            <a:off x="3884567" y="5466262"/>
            <a:ext cx="1201869" cy="31286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North Wing F</a:t>
            </a:r>
          </a:p>
        </xdr:txBody>
      </xdr:sp>
      <xdr:cxnSp macro="">
        <xdr:nvCxnSpPr>
          <xdr:cNvPr id="14" name="Straight Arrow Connector 13">
            <a:extLst>
              <a:ext uri="{FF2B5EF4-FFF2-40B4-BE49-F238E27FC236}">
                <a16:creationId xmlns="" xmlns:a16="http://schemas.microsoft.com/office/drawing/2014/main" id="{E9B76A5D-3C1A-A93B-25B7-C6AC7073664B}"/>
              </a:ext>
            </a:extLst>
          </xdr:cNvPr>
          <xdr:cNvCxnSpPr/>
        </xdr:nvCxnSpPr>
        <xdr:spPr>
          <a:xfrm flipV="1">
            <a:off x="4540453" y="5038894"/>
            <a:ext cx="228600" cy="331470"/>
          </a:xfrm>
          <a:prstGeom prst="straightConnector1">
            <a:avLst/>
          </a:prstGeom>
          <a:ln w="28575">
            <a:solidFill>
              <a:schemeClr val="bg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26">
            <a:extLst>
              <a:ext uri="{FF2B5EF4-FFF2-40B4-BE49-F238E27FC236}">
                <a16:creationId xmlns="" xmlns:a16="http://schemas.microsoft.com/office/drawing/2014/main" id="{0CA45AC4-FE92-CDD2-506E-49F27FB9779A}"/>
              </a:ext>
            </a:extLst>
          </xdr:cNvPr>
          <xdr:cNvSpPr txBox="1"/>
        </xdr:nvSpPr>
        <xdr:spPr>
          <a:xfrm>
            <a:off x="563157" y="310850"/>
            <a:ext cx="1035302" cy="38274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1"/>
              <a:t>North A</a:t>
            </a:r>
          </a:p>
        </xdr:txBody>
      </xdr:sp>
      <xdr:sp macro="" textlink="">
        <xdr:nvSpPr>
          <xdr:cNvPr id="16" name="TextBox 27">
            <a:extLst>
              <a:ext uri="{FF2B5EF4-FFF2-40B4-BE49-F238E27FC236}">
                <a16:creationId xmlns="" xmlns:a16="http://schemas.microsoft.com/office/drawing/2014/main" id="{E4BD61F9-ED88-CE0B-B6C0-1F41EB70FB16}"/>
              </a:ext>
            </a:extLst>
          </xdr:cNvPr>
          <xdr:cNvSpPr txBox="1"/>
        </xdr:nvSpPr>
        <xdr:spPr>
          <a:xfrm>
            <a:off x="-2072637" y="3851645"/>
            <a:ext cx="1334020" cy="3478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North C &amp; D</a:t>
            </a:r>
          </a:p>
        </xdr:txBody>
      </xdr:sp>
      <xdr:sp macro="" textlink="">
        <xdr:nvSpPr>
          <xdr:cNvPr id="17" name="TextBox 28">
            <a:extLst>
              <a:ext uri="{FF2B5EF4-FFF2-40B4-BE49-F238E27FC236}">
                <a16:creationId xmlns="" xmlns:a16="http://schemas.microsoft.com/office/drawing/2014/main" id="{6F868F86-585B-A6CC-DDBD-6796863AC3B4}"/>
              </a:ext>
            </a:extLst>
          </xdr:cNvPr>
          <xdr:cNvSpPr txBox="1"/>
        </xdr:nvSpPr>
        <xdr:spPr>
          <a:xfrm>
            <a:off x="2170545" y="3771422"/>
            <a:ext cx="962623" cy="38274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1"/>
              <a:t>North E</a:t>
            </a:r>
          </a:p>
        </xdr:txBody>
      </xdr:sp>
      <xdr:sp macro="" textlink="">
        <xdr:nvSpPr>
          <xdr:cNvPr id="18" name="TextBox 29">
            <a:extLst>
              <a:ext uri="{FF2B5EF4-FFF2-40B4-BE49-F238E27FC236}">
                <a16:creationId xmlns="" xmlns:a16="http://schemas.microsoft.com/office/drawing/2014/main" id="{A2321140-8A56-63CC-8EB5-9F80BA411FD6}"/>
              </a:ext>
            </a:extLst>
          </xdr:cNvPr>
          <xdr:cNvSpPr txBox="1"/>
        </xdr:nvSpPr>
        <xdr:spPr>
          <a:xfrm>
            <a:off x="2294198" y="1863374"/>
            <a:ext cx="1004648" cy="382745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1"/>
              <a:t>North B</a:t>
            </a:r>
          </a:p>
        </xdr:txBody>
      </xdr:sp>
      <xdr:cxnSp macro="">
        <xdr:nvCxnSpPr>
          <xdr:cNvPr id="19" name="Straight Arrow Connector 18">
            <a:extLst>
              <a:ext uri="{FF2B5EF4-FFF2-40B4-BE49-F238E27FC236}">
                <a16:creationId xmlns="" xmlns:a16="http://schemas.microsoft.com/office/drawing/2014/main" id="{85B9D93A-C0D9-1557-4E41-2344E3466C5B}"/>
              </a:ext>
            </a:extLst>
          </xdr:cNvPr>
          <xdr:cNvCxnSpPr>
            <a:cxnSpLocks/>
          </xdr:cNvCxnSpPr>
        </xdr:nvCxnSpPr>
        <xdr:spPr>
          <a:xfrm flipV="1">
            <a:off x="2843773" y="1237488"/>
            <a:ext cx="51827" cy="653024"/>
          </a:xfrm>
          <a:prstGeom prst="straightConnector1">
            <a:avLst/>
          </a:prstGeom>
          <a:ln w="28575">
            <a:solidFill>
              <a:schemeClr val="bg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198120</xdr:colOff>
      <xdr:row>656</xdr:row>
      <xdr:rowOff>22860</xdr:rowOff>
    </xdr:from>
    <xdr:to>
      <xdr:col>7</xdr:col>
      <xdr:colOff>373319</xdr:colOff>
      <xdr:row>688</xdr:row>
      <xdr:rowOff>93164</xdr:rowOff>
    </xdr:to>
    <xdr:grpSp>
      <xdr:nvGrpSpPr>
        <xdr:cNvPr id="20" name="Group 19">
          <a:extLst>
            <a:ext uri="{FF2B5EF4-FFF2-40B4-BE49-F238E27FC236}">
              <a16:creationId xmlns="" xmlns:a16="http://schemas.microsoft.com/office/drawing/2014/main" id="{59BFB67D-BEC5-9661-6B12-22865E303724}"/>
            </a:ext>
          </a:extLst>
        </xdr:cNvPr>
        <xdr:cNvGrpSpPr/>
      </xdr:nvGrpSpPr>
      <xdr:grpSpPr>
        <a:xfrm>
          <a:off x="960120" y="139506960"/>
          <a:ext cx="5118674" cy="6461579"/>
          <a:chOff x="8118000" y="480667"/>
          <a:chExt cx="5272979" cy="6402524"/>
        </a:xfrm>
      </xdr:grpSpPr>
      <xdr:pic>
        <xdr:nvPicPr>
          <xdr:cNvPr id="21" name="Picture 20">
            <a:extLst>
              <a:ext uri="{FF2B5EF4-FFF2-40B4-BE49-F238E27FC236}">
                <a16:creationId xmlns="" xmlns:a16="http://schemas.microsoft.com/office/drawing/2014/main" id="{400681D5-B575-7809-5C0A-D167CD9B0B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78000" y="3999186"/>
            <a:ext cx="2160000" cy="288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="" xmlns:a16="http://schemas.microsoft.com/office/drawing/2014/main" id="{7DC6318E-4AFB-A22D-D85B-978757463D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70979" y="480667"/>
            <a:ext cx="2520000" cy="33646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="" xmlns:a16="http://schemas.microsoft.com/office/drawing/2014/main" id="{C77FBCEE-A226-7D89-D3FE-F5A767AC4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18000" y="480667"/>
            <a:ext cx="2520000" cy="33646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="" xmlns:a16="http://schemas.microsoft.com/office/drawing/2014/main" id="{6EEE4A49-2B5A-1B57-4758-F1F60C7173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70979" y="3999185"/>
            <a:ext cx="2160000" cy="288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5" name="TextBox 33">
            <a:extLst>
              <a:ext uri="{FF2B5EF4-FFF2-40B4-BE49-F238E27FC236}">
                <a16:creationId xmlns="" xmlns:a16="http://schemas.microsoft.com/office/drawing/2014/main" id="{C7208E8A-5096-22C2-E49A-A15D71D186D8}"/>
              </a:ext>
            </a:extLst>
          </xdr:cNvPr>
          <xdr:cNvSpPr txBox="1"/>
        </xdr:nvSpPr>
        <xdr:spPr>
          <a:xfrm>
            <a:off x="8242662" y="914976"/>
            <a:ext cx="157087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South A, B &amp; C</a:t>
            </a:r>
          </a:p>
        </xdr:txBody>
      </xdr:sp>
      <xdr:sp macro="" textlink="">
        <xdr:nvSpPr>
          <xdr:cNvPr id="26" name="TextBox 34">
            <a:extLst>
              <a:ext uri="{FF2B5EF4-FFF2-40B4-BE49-F238E27FC236}">
                <a16:creationId xmlns="" xmlns:a16="http://schemas.microsoft.com/office/drawing/2014/main" id="{4E613F37-889C-9AFF-377B-FB32CB7FA7DD}"/>
              </a:ext>
            </a:extLst>
          </xdr:cNvPr>
          <xdr:cNvSpPr txBox="1"/>
        </xdr:nvSpPr>
        <xdr:spPr>
          <a:xfrm>
            <a:off x="11872808" y="730310"/>
            <a:ext cx="936475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South 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1ddjTDBwhLVNs9K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736"/>
  <sheetViews>
    <sheetView tabSelected="1" view="pageBreakPreview" topLeftCell="A190" zoomScaleNormal="100" zoomScaleSheetLayoutView="100" zoomScalePageLayoutView="85" workbookViewId="0">
      <selection activeCell="L209" sqref="L209"/>
    </sheetView>
  </sheetViews>
  <sheetFormatPr defaultColWidth="9.28515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28515625" style="36" customWidth="1"/>
    <col min="5" max="7" width="11.7109375" style="36" customWidth="1"/>
    <col min="8" max="8" width="19.5703125" style="36" customWidth="1"/>
    <col min="9" max="9" width="17.42578125" style="18" customWidth="1"/>
    <col min="10" max="10" width="17.28515625" style="18" customWidth="1"/>
    <col min="11" max="11" width="11.85546875" style="18" bestFit="1" customWidth="1"/>
    <col min="12" max="12" width="10.5703125" style="18" customWidth="1"/>
    <col min="13" max="13" width="11.7109375" style="18" customWidth="1"/>
    <col min="14" max="14" width="12.5703125" style="18" customWidth="1"/>
    <col min="15" max="15" width="9.7109375" style="18" customWidth="1"/>
    <col min="16" max="16" width="11.7109375" style="18" customWidth="1"/>
    <col min="17" max="247" width="9.28515625" style="18"/>
    <col min="248" max="248" width="8.7109375" style="18" customWidth="1"/>
    <col min="249" max="249" width="9.71093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7109375" style="18" customWidth="1"/>
    <col min="256" max="256" width="11.28515625" style="18" customWidth="1"/>
    <col min="257" max="257" width="2.7109375" style="18" customWidth="1"/>
    <col min="258" max="258" width="3.5703125" style="18" customWidth="1"/>
    <col min="259" max="503" width="9.28515625" style="18"/>
    <col min="504" max="504" width="8.7109375" style="18" customWidth="1"/>
    <col min="505" max="505" width="9.71093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7109375" style="18" customWidth="1"/>
    <col min="512" max="512" width="11.28515625" style="18" customWidth="1"/>
    <col min="513" max="513" width="2.7109375" style="18" customWidth="1"/>
    <col min="514" max="514" width="3.5703125" style="18" customWidth="1"/>
    <col min="515" max="759" width="9.28515625" style="18"/>
    <col min="760" max="760" width="8.7109375" style="18" customWidth="1"/>
    <col min="761" max="761" width="9.71093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7109375" style="18" customWidth="1"/>
    <col min="768" max="768" width="11.28515625" style="18" customWidth="1"/>
    <col min="769" max="769" width="2.7109375" style="18" customWidth="1"/>
    <col min="770" max="770" width="3.5703125" style="18" customWidth="1"/>
    <col min="771" max="1015" width="9.28515625" style="18"/>
    <col min="1016" max="1016" width="8.7109375" style="18" customWidth="1"/>
    <col min="1017" max="1017" width="9.71093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7109375" style="18" customWidth="1"/>
    <col min="1024" max="1024" width="11.28515625" style="18" customWidth="1"/>
    <col min="1025" max="1025" width="2.7109375" style="18" customWidth="1"/>
    <col min="1026" max="1026" width="3.5703125" style="18" customWidth="1"/>
    <col min="1027" max="1271" width="9.28515625" style="18"/>
    <col min="1272" max="1272" width="8.7109375" style="18" customWidth="1"/>
    <col min="1273" max="1273" width="9.71093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7109375" style="18" customWidth="1"/>
    <col min="1280" max="1280" width="11.28515625" style="18" customWidth="1"/>
    <col min="1281" max="1281" width="2.7109375" style="18" customWidth="1"/>
    <col min="1282" max="1282" width="3.5703125" style="18" customWidth="1"/>
    <col min="1283" max="1527" width="9.28515625" style="18"/>
    <col min="1528" max="1528" width="8.7109375" style="18" customWidth="1"/>
    <col min="1529" max="1529" width="9.71093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7109375" style="18" customWidth="1"/>
    <col min="1536" max="1536" width="11.28515625" style="18" customWidth="1"/>
    <col min="1537" max="1537" width="2.7109375" style="18" customWidth="1"/>
    <col min="1538" max="1538" width="3.5703125" style="18" customWidth="1"/>
    <col min="1539" max="1783" width="9.28515625" style="18"/>
    <col min="1784" max="1784" width="8.7109375" style="18" customWidth="1"/>
    <col min="1785" max="1785" width="9.71093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7109375" style="18" customWidth="1"/>
    <col min="1792" max="1792" width="11.28515625" style="18" customWidth="1"/>
    <col min="1793" max="1793" width="2.7109375" style="18" customWidth="1"/>
    <col min="1794" max="1794" width="3.5703125" style="18" customWidth="1"/>
    <col min="1795" max="2039" width="9.28515625" style="18"/>
    <col min="2040" max="2040" width="8.7109375" style="18" customWidth="1"/>
    <col min="2041" max="2041" width="9.71093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7109375" style="18" customWidth="1"/>
    <col min="2048" max="2048" width="11.28515625" style="18" customWidth="1"/>
    <col min="2049" max="2049" width="2.7109375" style="18" customWidth="1"/>
    <col min="2050" max="2050" width="3.5703125" style="18" customWidth="1"/>
    <col min="2051" max="2295" width="9.28515625" style="18"/>
    <col min="2296" max="2296" width="8.7109375" style="18" customWidth="1"/>
    <col min="2297" max="2297" width="9.71093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7109375" style="18" customWidth="1"/>
    <col min="2304" max="2304" width="11.28515625" style="18" customWidth="1"/>
    <col min="2305" max="2305" width="2.7109375" style="18" customWidth="1"/>
    <col min="2306" max="2306" width="3.5703125" style="18" customWidth="1"/>
    <col min="2307" max="2551" width="9.28515625" style="18"/>
    <col min="2552" max="2552" width="8.7109375" style="18" customWidth="1"/>
    <col min="2553" max="2553" width="9.71093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7109375" style="18" customWidth="1"/>
    <col min="2560" max="2560" width="11.28515625" style="18" customWidth="1"/>
    <col min="2561" max="2561" width="2.7109375" style="18" customWidth="1"/>
    <col min="2562" max="2562" width="3.5703125" style="18" customWidth="1"/>
    <col min="2563" max="2807" width="9.28515625" style="18"/>
    <col min="2808" max="2808" width="8.7109375" style="18" customWidth="1"/>
    <col min="2809" max="2809" width="9.71093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7109375" style="18" customWidth="1"/>
    <col min="2816" max="2816" width="11.28515625" style="18" customWidth="1"/>
    <col min="2817" max="2817" width="2.7109375" style="18" customWidth="1"/>
    <col min="2818" max="2818" width="3.5703125" style="18" customWidth="1"/>
    <col min="2819" max="3063" width="9.28515625" style="18"/>
    <col min="3064" max="3064" width="8.7109375" style="18" customWidth="1"/>
    <col min="3065" max="3065" width="9.71093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7109375" style="18" customWidth="1"/>
    <col min="3072" max="3072" width="11.28515625" style="18" customWidth="1"/>
    <col min="3073" max="3073" width="2.7109375" style="18" customWidth="1"/>
    <col min="3074" max="3074" width="3.5703125" style="18" customWidth="1"/>
    <col min="3075" max="3319" width="9.28515625" style="18"/>
    <col min="3320" max="3320" width="8.7109375" style="18" customWidth="1"/>
    <col min="3321" max="3321" width="9.71093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7109375" style="18" customWidth="1"/>
    <col min="3328" max="3328" width="11.28515625" style="18" customWidth="1"/>
    <col min="3329" max="3329" width="2.7109375" style="18" customWidth="1"/>
    <col min="3330" max="3330" width="3.5703125" style="18" customWidth="1"/>
    <col min="3331" max="3575" width="9.28515625" style="18"/>
    <col min="3576" max="3576" width="8.7109375" style="18" customWidth="1"/>
    <col min="3577" max="3577" width="9.71093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7109375" style="18" customWidth="1"/>
    <col min="3584" max="3584" width="11.28515625" style="18" customWidth="1"/>
    <col min="3585" max="3585" width="2.7109375" style="18" customWidth="1"/>
    <col min="3586" max="3586" width="3.5703125" style="18" customWidth="1"/>
    <col min="3587" max="3831" width="9.28515625" style="18"/>
    <col min="3832" max="3832" width="8.7109375" style="18" customWidth="1"/>
    <col min="3833" max="3833" width="9.71093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7109375" style="18" customWidth="1"/>
    <col min="3840" max="3840" width="11.28515625" style="18" customWidth="1"/>
    <col min="3841" max="3841" width="2.7109375" style="18" customWidth="1"/>
    <col min="3842" max="3842" width="3.5703125" style="18" customWidth="1"/>
    <col min="3843" max="4087" width="9.28515625" style="18"/>
    <col min="4088" max="4088" width="8.7109375" style="18" customWidth="1"/>
    <col min="4089" max="4089" width="9.71093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7109375" style="18" customWidth="1"/>
    <col min="4096" max="4096" width="11.28515625" style="18" customWidth="1"/>
    <col min="4097" max="4097" width="2.7109375" style="18" customWidth="1"/>
    <col min="4098" max="4098" width="3.5703125" style="18" customWidth="1"/>
    <col min="4099" max="4343" width="9.28515625" style="18"/>
    <col min="4344" max="4344" width="8.7109375" style="18" customWidth="1"/>
    <col min="4345" max="4345" width="9.71093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7109375" style="18" customWidth="1"/>
    <col min="4352" max="4352" width="11.28515625" style="18" customWidth="1"/>
    <col min="4353" max="4353" width="2.7109375" style="18" customWidth="1"/>
    <col min="4354" max="4354" width="3.5703125" style="18" customWidth="1"/>
    <col min="4355" max="4599" width="9.28515625" style="18"/>
    <col min="4600" max="4600" width="8.7109375" style="18" customWidth="1"/>
    <col min="4601" max="4601" width="9.71093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7109375" style="18" customWidth="1"/>
    <col min="4608" max="4608" width="11.28515625" style="18" customWidth="1"/>
    <col min="4609" max="4609" width="2.7109375" style="18" customWidth="1"/>
    <col min="4610" max="4610" width="3.5703125" style="18" customWidth="1"/>
    <col min="4611" max="4855" width="9.28515625" style="18"/>
    <col min="4856" max="4856" width="8.7109375" style="18" customWidth="1"/>
    <col min="4857" max="4857" width="9.71093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7109375" style="18" customWidth="1"/>
    <col min="4864" max="4864" width="11.28515625" style="18" customWidth="1"/>
    <col min="4865" max="4865" width="2.7109375" style="18" customWidth="1"/>
    <col min="4866" max="4866" width="3.5703125" style="18" customWidth="1"/>
    <col min="4867" max="5111" width="9.28515625" style="18"/>
    <col min="5112" max="5112" width="8.7109375" style="18" customWidth="1"/>
    <col min="5113" max="5113" width="9.71093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7109375" style="18" customWidth="1"/>
    <col min="5120" max="5120" width="11.28515625" style="18" customWidth="1"/>
    <col min="5121" max="5121" width="2.7109375" style="18" customWidth="1"/>
    <col min="5122" max="5122" width="3.5703125" style="18" customWidth="1"/>
    <col min="5123" max="5367" width="9.28515625" style="18"/>
    <col min="5368" max="5368" width="8.7109375" style="18" customWidth="1"/>
    <col min="5369" max="5369" width="9.71093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7109375" style="18" customWidth="1"/>
    <col min="5376" max="5376" width="11.28515625" style="18" customWidth="1"/>
    <col min="5377" max="5377" width="2.7109375" style="18" customWidth="1"/>
    <col min="5378" max="5378" width="3.5703125" style="18" customWidth="1"/>
    <col min="5379" max="5623" width="9.28515625" style="18"/>
    <col min="5624" max="5624" width="8.7109375" style="18" customWidth="1"/>
    <col min="5625" max="5625" width="9.71093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7109375" style="18" customWidth="1"/>
    <col min="5632" max="5632" width="11.28515625" style="18" customWidth="1"/>
    <col min="5633" max="5633" width="2.7109375" style="18" customWidth="1"/>
    <col min="5634" max="5634" width="3.5703125" style="18" customWidth="1"/>
    <col min="5635" max="5879" width="9.28515625" style="18"/>
    <col min="5880" max="5880" width="8.7109375" style="18" customWidth="1"/>
    <col min="5881" max="5881" width="9.71093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7109375" style="18" customWidth="1"/>
    <col min="5888" max="5888" width="11.28515625" style="18" customWidth="1"/>
    <col min="5889" max="5889" width="2.7109375" style="18" customWidth="1"/>
    <col min="5890" max="5890" width="3.5703125" style="18" customWidth="1"/>
    <col min="5891" max="6135" width="9.28515625" style="18"/>
    <col min="6136" max="6136" width="8.7109375" style="18" customWidth="1"/>
    <col min="6137" max="6137" width="9.71093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7109375" style="18" customWidth="1"/>
    <col min="6144" max="6144" width="11.28515625" style="18" customWidth="1"/>
    <col min="6145" max="6145" width="2.7109375" style="18" customWidth="1"/>
    <col min="6146" max="6146" width="3.5703125" style="18" customWidth="1"/>
    <col min="6147" max="6391" width="9.28515625" style="18"/>
    <col min="6392" max="6392" width="8.7109375" style="18" customWidth="1"/>
    <col min="6393" max="6393" width="9.71093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7109375" style="18" customWidth="1"/>
    <col min="6400" max="6400" width="11.28515625" style="18" customWidth="1"/>
    <col min="6401" max="6401" width="2.7109375" style="18" customWidth="1"/>
    <col min="6402" max="6402" width="3.5703125" style="18" customWidth="1"/>
    <col min="6403" max="6647" width="9.28515625" style="18"/>
    <col min="6648" max="6648" width="8.7109375" style="18" customWidth="1"/>
    <col min="6649" max="6649" width="9.71093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7109375" style="18" customWidth="1"/>
    <col min="6656" max="6656" width="11.28515625" style="18" customWidth="1"/>
    <col min="6657" max="6657" width="2.7109375" style="18" customWidth="1"/>
    <col min="6658" max="6658" width="3.5703125" style="18" customWidth="1"/>
    <col min="6659" max="6903" width="9.28515625" style="18"/>
    <col min="6904" max="6904" width="8.7109375" style="18" customWidth="1"/>
    <col min="6905" max="6905" width="9.71093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7109375" style="18" customWidth="1"/>
    <col min="6912" max="6912" width="11.28515625" style="18" customWidth="1"/>
    <col min="6913" max="6913" width="2.7109375" style="18" customWidth="1"/>
    <col min="6914" max="6914" width="3.5703125" style="18" customWidth="1"/>
    <col min="6915" max="7159" width="9.28515625" style="18"/>
    <col min="7160" max="7160" width="8.7109375" style="18" customWidth="1"/>
    <col min="7161" max="7161" width="9.71093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7109375" style="18" customWidth="1"/>
    <col min="7168" max="7168" width="11.28515625" style="18" customWidth="1"/>
    <col min="7169" max="7169" width="2.7109375" style="18" customWidth="1"/>
    <col min="7170" max="7170" width="3.5703125" style="18" customWidth="1"/>
    <col min="7171" max="7415" width="9.28515625" style="18"/>
    <col min="7416" max="7416" width="8.7109375" style="18" customWidth="1"/>
    <col min="7417" max="7417" width="9.71093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7109375" style="18" customWidth="1"/>
    <col min="7424" max="7424" width="11.28515625" style="18" customWidth="1"/>
    <col min="7425" max="7425" width="2.7109375" style="18" customWidth="1"/>
    <col min="7426" max="7426" width="3.5703125" style="18" customWidth="1"/>
    <col min="7427" max="7671" width="9.28515625" style="18"/>
    <col min="7672" max="7672" width="8.7109375" style="18" customWidth="1"/>
    <col min="7673" max="7673" width="9.71093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7109375" style="18" customWidth="1"/>
    <col min="7680" max="7680" width="11.28515625" style="18" customWidth="1"/>
    <col min="7681" max="7681" width="2.7109375" style="18" customWidth="1"/>
    <col min="7682" max="7682" width="3.5703125" style="18" customWidth="1"/>
    <col min="7683" max="7927" width="9.28515625" style="18"/>
    <col min="7928" max="7928" width="8.7109375" style="18" customWidth="1"/>
    <col min="7929" max="7929" width="9.71093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7109375" style="18" customWidth="1"/>
    <col min="7936" max="7936" width="11.28515625" style="18" customWidth="1"/>
    <col min="7937" max="7937" width="2.7109375" style="18" customWidth="1"/>
    <col min="7938" max="7938" width="3.5703125" style="18" customWidth="1"/>
    <col min="7939" max="8183" width="9.28515625" style="18"/>
    <col min="8184" max="8184" width="8.7109375" style="18" customWidth="1"/>
    <col min="8185" max="8185" width="9.71093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7109375" style="18" customWidth="1"/>
    <col min="8192" max="8192" width="11.28515625" style="18" customWidth="1"/>
    <col min="8193" max="8193" width="2.7109375" style="18" customWidth="1"/>
    <col min="8194" max="8194" width="3.5703125" style="18" customWidth="1"/>
    <col min="8195" max="8439" width="9.28515625" style="18"/>
    <col min="8440" max="8440" width="8.7109375" style="18" customWidth="1"/>
    <col min="8441" max="8441" width="9.71093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7109375" style="18" customWidth="1"/>
    <col min="8448" max="8448" width="11.28515625" style="18" customWidth="1"/>
    <col min="8449" max="8449" width="2.7109375" style="18" customWidth="1"/>
    <col min="8450" max="8450" width="3.5703125" style="18" customWidth="1"/>
    <col min="8451" max="8695" width="9.28515625" style="18"/>
    <col min="8696" max="8696" width="8.7109375" style="18" customWidth="1"/>
    <col min="8697" max="8697" width="9.71093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7109375" style="18" customWidth="1"/>
    <col min="8704" max="8704" width="11.28515625" style="18" customWidth="1"/>
    <col min="8705" max="8705" width="2.7109375" style="18" customWidth="1"/>
    <col min="8706" max="8706" width="3.5703125" style="18" customWidth="1"/>
    <col min="8707" max="8951" width="9.28515625" style="18"/>
    <col min="8952" max="8952" width="8.7109375" style="18" customWidth="1"/>
    <col min="8953" max="8953" width="9.71093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7109375" style="18" customWidth="1"/>
    <col min="8960" max="8960" width="11.28515625" style="18" customWidth="1"/>
    <col min="8961" max="8961" width="2.7109375" style="18" customWidth="1"/>
    <col min="8962" max="8962" width="3.5703125" style="18" customWidth="1"/>
    <col min="8963" max="9207" width="9.28515625" style="18"/>
    <col min="9208" max="9208" width="8.7109375" style="18" customWidth="1"/>
    <col min="9209" max="9209" width="9.71093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7109375" style="18" customWidth="1"/>
    <col min="9216" max="9216" width="11.28515625" style="18" customWidth="1"/>
    <col min="9217" max="9217" width="2.7109375" style="18" customWidth="1"/>
    <col min="9218" max="9218" width="3.5703125" style="18" customWidth="1"/>
    <col min="9219" max="9463" width="9.28515625" style="18"/>
    <col min="9464" max="9464" width="8.7109375" style="18" customWidth="1"/>
    <col min="9465" max="9465" width="9.71093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7109375" style="18" customWidth="1"/>
    <col min="9472" max="9472" width="11.28515625" style="18" customWidth="1"/>
    <col min="9473" max="9473" width="2.7109375" style="18" customWidth="1"/>
    <col min="9474" max="9474" width="3.5703125" style="18" customWidth="1"/>
    <col min="9475" max="9719" width="9.28515625" style="18"/>
    <col min="9720" max="9720" width="8.7109375" style="18" customWidth="1"/>
    <col min="9721" max="9721" width="9.71093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7109375" style="18" customWidth="1"/>
    <col min="9728" max="9728" width="11.28515625" style="18" customWidth="1"/>
    <col min="9729" max="9729" width="2.7109375" style="18" customWidth="1"/>
    <col min="9730" max="9730" width="3.5703125" style="18" customWidth="1"/>
    <col min="9731" max="9975" width="9.28515625" style="18"/>
    <col min="9976" max="9976" width="8.7109375" style="18" customWidth="1"/>
    <col min="9977" max="9977" width="9.71093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7109375" style="18" customWidth="1"/>
    <col min="9984" max="9984" width="11.28515625" style="18" customWidth="1"/>
    <col min="9985" max="9985" width="2.7109375" style="18" customWidth="1"/>
    <col min="9986" max="9986" width="3.5703125" style="18" customWidth="1"/>
    <col min="9987" max="10231" width="9.28515625" style="18"/>
    <col min="10232" max="10232" width="8.7109375" style="18" customWidth="1"/>
    <col min="10233" max="10233" width="9.71093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7109375" style="18" customWidth="1"/>
    <col min="10240" max="10240" width="11.28515625" style="18" customWidth="1"/>
    <col min="10241" max="10241" width="2.7109375" style="18" customWidth="1"/>
    <col min="10242" max="10242" width="3.5703125" style="18" customWidth="1"/>
    <col min="10243" max="10487" width="9.28515625" style="18"/>
    <col min="10488" max="10488" width="8.7109375" style="18" customWidth="1"/>
    <col min="10489" max="10489" width="9.71093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7109375" style="18" customWidth="1"/>
    <col min="10496" max="10496" width="11.28515625" style="18" customWidth="1"/>
    <col min="10497" max="10497" width="2.7109375" style="18" customWidth="1"/>
    <col min="10498" max="10498" width="3.5703125" style="18" customWidth="1"/>
    <col min="10499" max="10743" width="9.28515625" style="18"/>
    <col min="10744" max="10744" width="8.7109375" style="18" customWidth="1"/>
    <col min="10745" max="10745" width="9.71093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7109375" style="18" customWidth="1"/>
    <col min="10752" max="10752" width="11.28515625" style="18" customWidth="1"/>
    <col min="10753" max="10753" width="2.7109375" style="18" customWidth="1"/>
    <col min="10754" max="10754" width="3.5703125" style="18" customWidth="1"/>
    <col min="10755" max="10999" width="9.28515625" style="18"/>
    <col min="11000" max="11000" width="8.7109375" style="18" customWidth="1"/>
    <col min="11001" max="11001" width="9.71093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7109375" style="18" customWidth="1"/>
    <col min="11008" max="11008" width="11.28515625" style="18" customWidth="1"/>
    <col min="11009" max="11009" width="2.7109375" style="18" customWidth="1"/>
    <col min="11010" max="11010" width="3.5703125" style="18" customWidth="1"/>
    <col min="11011" max="11255" width="9.28515625" style="18"/>
    <col min="11256" max="11256" width="8.7109375" style="18" customWidth="1"/>
    <col min="11257" max="11257" width="9.71093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7109375" style="18" customWidth="1"/>
    <col min="11264" max="11264" width="11.28515625" style="18" customWidth="1"/>
    <col min="11265" max="11265" width="2.7109375" style="18" customWidth="1"/>
    <col min="11266" max="11266" width="3.5703125" style="18" customWidth="1"/>
    <col min="11267" max="11511" width="9.28515625" style="18"/>
    <col min="11512" max="11512" width="8.7109375" style="18" customWidth="1"/>
    <col min="11513" max="11513" width="9.71093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7109375" style="18" customWidth="1"/>
    <col min="11520" max="11520" width="11.28515625" style="18" customWidth="1"/>
    <col min="11521" max="11521" width="2.7109375" style="18" customWidth="1"/>
    <col min="11522" max="11522" width="3.5703125" style="18" customWidth="1"/>
    <col min="11523" max="11767" width="9.28515625" style="18"/>
    <col min="11768" max="11768" width="8.7109375" style="18" customWidth="1"/>
    <col min="11769" max="11769" width="9.71093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7109375" style="18" customWidth="1"/>
    <col min="11776" max="11776" width="11.28515625" style="18" customWidth="1"/>
    <col min="11777" max="11777" width="2.7109375" style="18" customWidth="1"/>
    <col min="11778" max="11778" width="3.5703125" style="18" customWidth="1"/>
    <col min="11779" max="12023" width="9.28515625" style="18"/>
    <col min="12024" max="12024" width="8.7109375" style="18" customWidth="1"/>
    <col min="12025" max="12025" width="9.71093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7109375" style="18" customWidth="1"/>
    <col min="12032" max="12032" width="11.28515625" style="18" customWidth="1"/>
    <col min="12033" max="12033" width="2.7109375" style="18" customWidth="1"/>
    <col min="12034" max="12034" width="3.5703125" style="18" customWidth="1"/>
    <col min="12035" max="12279" width="9.28515625" style="18"/>
    <col min="12280" max="12280" width="8.7109375" style="18" customWidth="1"/>
    <col min="12281" max="12281" width="9.71093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7109375" style="18" customWidth="1"/>
    <col min="12288" max="12288" width="11.28515625" style="18" customWidth="1"/>
    <col min="12289" max="12289" width="2.7109375" style="18" customWidth="1"/>
    <col min="12290" max="12290" width="3.5703125" style="18" customWidth="1"/>
    <col min="12291" max="12535" width="9.28515625" style="18"/>
    <col min="12536" max="12536" width="8.7109375" style="18" customWidth="1"/>
    <col min="12537" max="12537" width="9.71093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7109375" style="18" customWidth="1"/>
    <col min="12544" max="12544" width="11.28515625" style="18" customWidth="1"/>
    <col min="12545" max="12545" width="2.7109375" style="18" customWidth="1"/>
    <col min="12546" max="12546" width="3.5703125" style="18" customWidth="1"/>
    <col min="12547" max="12791" width="9.28515625" style="18"/>
    <col min="12792" max="12792" width="8.7109375" style="18" customWidth="1"/>
    <col min="12793" max="12793" width="9.71093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7109375" style="18" customWidth="1"/>
    <col min="12800" max="12800" width="11.28515625" style="18" customWidth="1"/>
    <col min="12801" max="12801" width="2.7109375" style="18" customWidth="1"/>
    <col min="12802" max="12802" width="3.5703125" style="18" customWidth="1"/>
    <col min="12803" max="13047" width="9.28515625" style="18"/>
    <col min="13048" max="13048" width="8.7109375" style="18" customWidth="1"/>
    <col min="13049" max="13049" width="9.71093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7109375" style="18" customWidth="1"/>
    <col min="13056" max="13056" width="11.28515625" style="18" customWidth="1"/>
    <col min="13057" max="13057" width="2.7109375" style="18" customWidth="1"/>
    <col min="13058" max="13058" width="3.5703125" style="18" customWidth="1"/>
    <col min="13059" max="13303" width="9.28515625" style="18"/>
    <col min="13304" max="13304" width="8.7109375" style="18" customWidth="1"/>
    <col min="13305" max="13305" width="9.71093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7109375" style="18" customWidth="1"/>
    <col min="13312" max="13312" width="11.28515625" style="18" customWidth="1"/>
    <col min="13313" max="13313" width="2.7109375" style="18" customWidth="1"/>
    <col min="13314" max="13314" width="3.5703125" style="18" customWidth="1"/>
    <col min="13315" max="13559" width="9.28515625" style="18"/>
    <col min="13560" max="13560" width="8.7109375" style="18" customWidth="1"/>
    <col min="13561" max="13561" width="9.71093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7109375" style="18" customWidth="1"/>
    <col min="13568" max="13568" width="11.28515625" style="18" customWidth="1"/>
    <col min="13569" max="13569" width="2.7109375" style="18" customWidth="1"/>
    <col min="13570" max="13570" width="3.5703125" style="18" customWidth="1"/>
    <col min="13571" max="13815" width="9.28515625" style="18"/>
    <col min="13816" max="13816" width="8.7109375" style="18" customWidth="1"/>
    <col min="13817" max="13817" width="9.71093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7109375" style="18" customWidth="1"/>
    <col min="13824" max="13824" width="11.28515625" style="18" customWidth="1"/>
    <col min="13825" max="13825" width="2.7109375" style="18" customWidth="1"/>
    <col min="13826" max="13826" width="3.5703125" style="18" customWidth="1"/>
    <col min="13827" max="14071" width="9.28515625" style="18"/>
    <col min="14072" max="14072" width="8.7109375" style="18" customWidth="1"/>
    <col min="14073" max="14073" width="9.71093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7109375" style="18" customWidth="1"/>
    <col min="14080" max="14080" width="11.28515625" style="18" customWidth="1"/>
    <col min="14081" max="14081" width="2.7109375" style="18" customWidth="1"/>
    <col min="14082" max="14082" width="3.5703125" style="18" customWidth="1"/>
    <col min="14083" max="14327" width="9.28515625" style="18"/>
    <col min="14328" max="14328" width="8.7109375" style="18" customWidth="1"/>
    <col min="14329" max="14329" width="9.71093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7109375" style="18" customWidth="1"/>
    <col min="14336" max="14336" width="11.28515625" style="18" customWidth="1"/>
    <col min="14337" max="14337" width="2.7109375" style="18" customWidth="1"/>
    <col min="14338" max="14338" width="3.5703125" style="18" customWidth="1"/>
    <col min="14339" max="14583" width="9.28515625" style="18"/>
    <col min="14584" max="14584" width="8.7109375" style="18" customWidth="1"/>
    <col min="14585" max="14585" width="9.71093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7109375" style="18" customWidth="1"/>
    <col min="14592" max="14592" width="11.28515625" style="18" customWidth="1"/>
    <col min="14593" max="14593" width="2.7109375" style="18" customWidth="1"/>
    <col min="14594" max="14594" width="3.5703125" style="18" customWidth="1"/>
    <col min="14595" max="14839" width="9.28515625" style="18"/>
    <col min="14840" max="14840" width="8.7109375" style="18" customWidth="1"/>
    <col min="14841" max="14841" width="9.71093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7109375" style="18" customWidth="1"/>
    <col min="14848" max="14848" width="11.28515625" style="18" customWidth="1"/>
    <col min="14849" max="14849" width="2.7109375" style="18" customWidth="1"/>
    <col min="14850" max="14850" width="3.5703125" style="18" customWidth="1"/>
    <col min="14851" max="15095" width="9.28515625" style="18"/>
    <col min="15096" max="15096" width="8.7109375" style="18" customWidth="1"/>
    <col min="15097" max="15097" width="9.71093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7109375" style="18" customWidth="1"/>
    <col min="15104" max="15104" width="11.28515625" style="18" customWidth="1"/>
    <col min="15105" max="15105" width="2.7109375" style="18" customWidth="1"/>
    <col min="15106" max="15106" width="3.5703125" style="18" customWidth="1"/>
    <col min="15107" max="15351" width="9.28515625" style="18"/>
    <col min="15352" max="15352" width="8.7109375" style="18" customWidth="1"/>
    <col min="15353" max="15353" width="9.71093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7109375" style="18" customWidth="1"/>
    <col min="15360" max="15360" width="11.28515625" style="18" customWidth="1"/>
    <col min="15361" max="15361" width="2.7109375" style="18" customWidth="1"/>
    <col min="15362" max="15362" width="3.5703125" style="18" customWidth="1"/>
    <col min="15363" max="15607" width="9.28515625" style="18"/>
    <col min="15608" max="15608" width="8.7109375" style="18" customWidth="1"/>
    <col min="15609" max="15609" width="9.71093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7109375" style="18" customWidth="1"/>
    <col min="15616" max="15616" width="11.28515625" style="18" customWidth="1"/>
    <col min="15617" max="15617" width="2.7109375" style="18" customWidth="1"/>
    <col min="15618" max="15618" width="3.5703125" style="18" customWidth="1"/>
    <col min="15619" max="15863" width="9.28515625" style="18"/>
    <col min="15864" max="15864" width="8.7109375" style="18" customWidth="1"/>
    <col min="15865" max="15865" width="9.71093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7109375" style="18" customWidth="1"/>
    <col min="15872" max="15872" width="11.28515625" style="18" customWidth="1"/>
    <col min="15873" max="15873" width="2.7109375" style="18" customWidth="1"/>
    <col min="15874" max="15874" width="3.5703125" style="18" customWidth="1"/>
    <col min="15875" max="16119" width="9.28515625" style="18"/>
    <col min="16120" max="16120" width="8.7109375" style="18" customWidth="1"/>
    <col min="16121" max="16121" width="9.71093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7109375" style="18" customWidth="1"/>
    <col min="16128" max="16128" width="11.28515625" style="18" customWidth="1"/>
    <col min="16129" max="16129" width="2.7109375" style="18" customWidth="1"/>
    <col min="16130" max="16130" width="3.5703125" style="18" customWidth="1"/>
    <col min="16131" max="16384" width="9.28515625" style="18"/>
  </cols>
  <sheetData>
    <row r="1" spans="1:9" ht="46.5" customHeight="1" x14ac:dyDescent="0.3">
      <c r="A1" s="226" t="s">
        <v>265</v>
      </c>
      <c r="B1" s="226"/>
      <c r="C1" s="226"/>
      <c r="D1" s="226"/>
      <c r="E1" s="226"/>
      <c r="F1" s="226"/>
      <c r="G1" s="226"/>
      <c r="H1" s="226"/>
      <c r="I1" s="76" t="s">
        <v>290</v>
      </c>
    </row>
    <row r="2" spans="1:9" ht="16.5" customHeight="1" x14ac:dyDescent="0.25">
      <c r="A2" s="148" t="s">
        <v>0</v>
      </c>
      <c r="B2" s="148"/>
      <c r="C2" s="148"/>
      <c r="D2" s="148"/>
      <c r="E2" s="148"/>
      <c r="F2" s="148"/>
      <c r="G2" s="148"/>
      <c r="H2" s="148"/>
    </row>
    <row r="3" spans="1:9" x14ac:dyDescent="0.25">
      <c r="A3" s="156" t="s">
        <v>1</v>
      </c>
      <c r="B3" s="156"/>
      <c r="C3" s="156"/>
      <c r="D3" s="156"/>
      <c r="E3" s="227" t="str">
        <f ca="1">TEXT(TODAY(),"DD/MM/YYYY")</f>
        <v>20/08/2025</v>
      </c>
      <c r="F3" s="156"/>
      <c r="G3" s="156"/>
      <c r="H3" s="156"/>
    </row>
    <row r="4" spans="1:9" ht="15" customHeight="1" x14ac:dyDescent="0.25">
      <c r="A4" s="156" t="s">
        <v>2</v>
      </c>
      <c r="B4" s="156"/>
      <c r="C4" s="156"/>
      <c r="D4" s="156"/>
      <c r="E4" s="156" t="s">
        <v>157</v>
      </c>
      <c r="F4" s="156"/>
      <c r="G4" s="156"/>
      <c r="H4" s="156"/>
    </row>
    <row r="5" spans="1:9" x14ac:dyDescent="0.25">
      <c r="A5" s="156" t="s">
        <v>3</v>
      </c>
      <c r="B5" s="156"/>
      <c r="C5" s="156"/>
      <c r="D5" s="156"/>
      <c r="E5" s="223">
        <v>45871</v>
      </c>
      <c r="F5" s="191"/>
      <c r="G5" s="191"/>
      <c r="H5" s="191"/>
    </row>
    <row r="6" spans="1:9" ht="16.5" customHeight="1" x14ac:dyDescent="0.25">
      <c r="A6" s="156" t="s">
        <v>4</v>
      </c>
      <c r="B6" s="156"/>
      <c r="C6" s="156"/>
      <c r="D6" s="156"/>
      <c r="E6" s="156" t="s">
        <v>176</v>
      </c>
      <c r="F6" s="156"/>
      <c r="G6" s="156"/>
      <c r="H6" s="156"/>
    </row>
    <row r="7" spans="1:9" ht="15" customHeight="1" x14ac:dyDescent="0.25">
      <c r="A7" s="156" t="s">
        <v>5</v>
      </c>
      <c r="B7" s="156"/>
      <c r="C7" s="156"/>
      <c r="D7" s="156"/>
      <c r="E7" s="156" t="str">
        <f>E6</f>
        <v>M/s.Alder Residency Private Limited</v>
      </c>
      <c r="F7" s="156"/>
      <c r="G7" s="156"/>
      <c r="H7" s="156"/>
    </row>
    <row r="8" spans="1:9" x14ac:dyDescent="0.25">
      <c r="A8" s="156" t="s">
        <v>6</v>
      </c>
      <c r="B8" s="156"/>
      <c r="C8" s="156"/>
      <c r="D8" s="156"/>
      <c r="E8" s="155" t="s">
        <v>287</v>
      </c>
      <c r="F8" s="154"/>
      <c r="G8" s="154"/>
      <c r="H8" s="154"/>
    </row>
    <row r="9" spans="1:9" x14ac:dyDescent="0.25">
      <c r="A9" s="156" t="s">
        <v>115</v>
      </c>
      <c r="B9" s="156"/>
      <c r="C9" s="156"/>
      <c r="D9" s="156"/>
      <c r="E9" s="156">
        <v>2230643278</v>
      </c>
      <c r="F9" s="156"/>
      <c r="G9" s="156"/>
      <c r="H9" s="156"/>
    </row>
    <row r="10" spans="1:9" ht="51.75" customHeight="1" x14ac:dyDescent="0.25">
      <c r="A10" s="156" t="s">
        <v>7</v>
      </c>
      <c r="B10" s="156"/>
      <c r="C10" s="156"/>
      <c r="D10" s="156"/>
      <c r="E10" s="224" t="s">
        <v>304</v>
      </c>
      <c r="F10" s="225"/>
      <c r="G10" s="224" t="s">
        <v>303</v>
      </c>
      <c r="H10" s="225"/>
    </row>
    <row r="11" spans="1:9" x14ac:dyDescent="0.25">
      <c r="A11" s="142" t="s">
        <v>8</v>
      </c>
      <c r="B11" s="142"/>
      <c r="C11" s="142"/>
      <c r="D11" s="142"/>
      <c r="E11" s="157" t="s">
        <v>185</v>
      </c>
      <c r="F11" s="157"/>
      <c r="G11" s="157"/>
      <c r="H11" s="157"/>
    </row>
    <row r="12" spans="1:9" ht="145.5" customHeight="1" x14ac:dyDescent="0.25">
      <c r="A12" s="142" t="s">
        <v>9</v>
      </c>
      <c r="B12" s="142"/>
      <c r="C12" s="142"/>
      <c r="D12" s="142"/>
      <c r="E12" s="228" t="s">
        <v>266</v>
      </c>
      <c r="F12" s="191"/>
      <c r="G12" s="191"/>
      <c r="H12" s="191"/>
    </row>
    <row r="13" spans="1:9" ht="51.75" customHeight="1" x14ac:dyDescent="0.25">
      <c r="A13" s="157" t="s">
        <v>10</v>
      </c>
      <c r="B13" s="157"/>
      <c r="C13" s="157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Kalpataru Vivant (North &amp; South), CTS No.33A, 62 &amp; 76, near Ichapurti Ganesh Mandir Talav Walking Park, Station Road, Majas (Jogeshwari), Jogeshwari East, Andheri, Mumbai - 400060.</v>
      </c>
      <c r="D13" s="157"/>
      <c r="E13" s="157"/>
      <c r="F13" s="157"/>
      <c r="G13" s="157"/>
      <c r="H13" s="157"/>
    </row>
    <row r="14" spans="1:9" x14ac:dyDescent="0.25">
      <c r="A14" s="157" t="s">
        <v>187</v>
      </c>
      <c r="B14" s="157"/>
      <c r="C14" s="157" t="s">
        <v>186</v>
      </c>
      <c r="D14" s="157"/>
      <c r="E14" s="157"/>
      <c r="F14" s="157"/>
      <c r="G14" s="157"/>
      <c r="H14" s="157"/>
    </row>
    <row r="15" spans="1:9" ht="15.75" customHeight="1" x14ac:dyDescent="0.25">
      <c r="A15" s="157" t="s">
        <v>11</v>
      </c>
      <c r="B15" s="157"/>
      <c r="C15" s="156" t="s">
        <v>164</v>
      </c>
      <c r="D15" s="156"/>
      <c r="E15" s="157" t="s">
        <v>70</v>
      </c>
      <c r="F15" s="157"/>
      <c r="G15" s="157" t="s">
        <v>158</v>
      </c>
      <c r="H15" s="157"/>
    </row>
    <row r="16" spans="1:9" x14ac:dyDescent="0.25">
      <c r="A16" s="156" t="s">
        <v>13</v>
      </c>
      <c r="B16" s="156"/>
      <c r="C16" s="157" t="s">
        <v>223</v>
      </c>
      <c r="D16" s="157"/>
      <c r="E16" s="157" t="s">
        <v>12</v>
      </c>
      <c r="F16" s="157"/>
      <c r="G16" s="229" t="s">
        <v>159</v>
      </c>
      <c r="H16" s="229"/>
    </row>
    <row r="17" spans="1:8" x14ac:dyDescent="0.25">
      <c r="A17" s="156" t="s">
        <v>71</v>
      </c>
      <c r="B17" s="156"/>
      <c r="C17" s="157" t="s">
        <v>160</v>
      </c>
      <c r="D17" s="157"/>
      <c r="E17" s="157" t="s">
        <v>14</v>
      </c>
      <c r="F17" s="157"/>
      <c r="G17" s="157">
        <v>400060</v>
      </c>
      <c r="H17" s="157"/>
    </row>
    <row r="18" spans="1:8" ht="32.25" customHeight="1" x14ac:dyDescent="0.25">
      <c r="A18" s="156" t="s">
        <v>117</v>
      </c>
      <c r="B18" s="156"/>
      <c r="C18" s="157" t="s">
        <v>165</v>
      </c>
      <c r="D18" s="157"/>
      <c r="E18" s="157" t="s">
        <v>15</v>
      </c>
      <c r="F18" s="157"/>
      <c r="G18" s="157" t="s">
        <v>166</v>
      </c>
      <c r="H18" s="157"/>
    </row>
    <row r="19" spans="1:8" ht="15" customHeight="1" x14ac:dyDescent="0.25">
      <c r="A19" s="159" t="s">
        <v>73</v>
      </c>
      <c r="B19" s="159"/>
      <c r="C19" s="159"/>
      <c r="D19" s="159"/>
      <c r="E19" s="156" t="s">
        <v>16</v>
      </c>
      <c r="F19" s="156"/>
      <c r="G19" s="156"/>
      <c r="H19" s="156"/>
    </row>
    <row r="20" spans="1:8" ht="17.25" customHeight="1" x14ac:dyDescent="0.25">
      <c r="A20" s="159"/>
      <c r="B20" s="159"/>
      <c r="C20" s="159"/>
      <c r="D20" s="159"/>
      <c r="E20" s="156"/>
      <c r="F20" s="156"/>
      <c r="G20" s="156"/>
      <c r="H20" s="156"/>
    </row>
    <row r="21" spans="1:8" x14ac:dyDescent="0.25">
      <c r="A21" s="159" t="s">
        <v>17</v>
      </c>
      <c r="B21" s="159"/>
      <c r="C21" s="159"/>
      <c r="D21" s="159"/>
      <c r="E21" s="157" t="s">
        <v>18</v>
      </c>
      <c r="F21" s="157"/>
      <c r="G21" s="157"/>
      <c r="H21" s="157"/>
    </row>
    <row r="22" spans="1:8" x14ac:dyDescent="0.25">
      <c r="A22" s="142" t="s">
        <v>19</v>
      </c>
      <c r="B22" s="142"/>
      <c r="C22" s="142"/>
      <c r="D22" s="142"/>
      <c r="E22" s="157" t="str">
        <f>IF(AND(G16="Mumbai"),"Upper Class","Middle Class")</f>
        <v>Upper Class</v>
      </c>
      <c r="F22" s="157"/>
      <c r="G22" s="157"/>
      <c r="H22" s="157"/>
    </row>
    <row r="23" spans="1:8" x14ac:dyDescent="0.25">
      <c r="A23" s="142" t="s">
        <v>20</v>
      </c>
      <c r="B23" s="142"/>
      <c r="C23" s="142"/>
      <c r="D23" s="142"/>
      <c r="E23" s="157" t="s">
        <v>21</v>
      </c>
      <c r="F23" s="157"/>
      <c r="G23" s="157"/>
      <c r="H23" s="157"/>
    </row>
    <row r="24" spans="1:8" ht="15.75" customHeight="1" x14ac:dyDescent="0.25">
      <c r="A24" s="142" t="s">
        <v>22</v>
      </c>
      <c r="B24" s="142"/>
      <c r="C24" s="142"/>
      <c r="D24" s="142"/>
      <c r="E24" s="157" t="str">
        <f>IF(AND(G16="Mumbai"),"Developed","Developing")</f>
        <v>Developed</v>
      </c>
      <c r="F24" s="157"/>
      <c r="G24" s="157"/>
      <c r="H24" s="157"/>
    </row>
    <row r="25" spans="1:8" x14ac:dyDescent="0.25">
      <c r="A25" s="142" t="s">
        <v>23</v>
      </c>
      <c r="B25" s="142"/>
      <c r="C25" s="142"/>
      <c r="D25" s="142"/>
      <c r="E25" s="157" t="s">
        <v>24</v>
      </c>
      <c r="F25" s="157"/>
      <c r="G25" s="157"/>
      <c r="H25" s="157"/>
    </row>
    <row r="26" spans="1:8" ht="15.75" customHeight="1" x14ac:dyDescent="0.25">
      <c r="A26" s="142" t="s">
        <v>78</v>
      </c>
      <c r="B26" s="142"/>
      <c r="C26" s="142"/>
      <c r="D26" s="142"/>
      <c r="E26" s="157" t="s">
        <v>79</v>
      </c>
      <c r="F26" s="157"/>
      <c r="G26" s="157"/>
      <c r="H26" s="157"/>
    </row>
    <row r="27" spans="1:8" ht="15" customHeight="1" x14ac:dyDescent="0.25">
      <c r="A27" s="142" t="s">
        <v>32</v>
      </c>
      <c r="B27" s="142"/>
      <c r="C27" s="142"/>
      <c r="D27" s="142"/>
      <c r="E27" s="157" t="str">
        <f>IF(AND(ISNUMBER(SEARCH("Flat",D70)),ISNUMBER(SEARCH("Shop",D70)),ISNUMBER(SEARCH("Office",D70))),"Residential + Commercial",IF(AND(ISNUMBER(SEARCH("Flat",D70)),ISNUMBER(SEARCH("Shop",D70))),"Residential + Commercial",IF(AND(ISNUMBER(SEARCH("Flat",D70)),ISNUMBER(SEARCH("Office",D70))),"Residential + Commercial",IF(AND(ISNUMBER(SEARCH("Shop",D70)),ISNUMBER(SEARCH("Office",D70))),"Commercial",IF(ISNUMBER(SEARCH("Shop",D70)),"Commercial",IF(ISNUMBER(SEARCH("Office",D70)),"Commercial",IF(ISNUMBER(SEARCH("Flat",D70)),"Residential")))))))</f>
        <v>Residential</v>
      </c>
      <c r="F27" s="157"/>
      <c r="G27" s="157"/>
      <c r="H27" s="157"/>
    </row>
    <row r="28" spans="1:8" ht="15.75" customHeight="1" x14ac:dyDescent="0.25">
      <c r="A28" s="142" t="s">
        <v>89</v>
      </c>
      <c r="B28" s="142"/>
      <c r="C28" s="142"/>
      <c r="D28" s="142"/>
      <c r="E28" s="157" t="s">
        <v>33</v>
      </c>
      <c r="F28" s="157"/>
      <c r="G28" s="157"/>
      <c r="H28" s="157"/>
    </row>
    <row r="29" spans="1:8" s="19" customFormat="1" x14ac:dyDescent="0.25">
      <c r="A29" s="236" t="s">
        <v>90</v>
      </c>
      <c r="B29" s="236"/>
      <c r="C29" s="234" t="s">
        <v>268</v>
      </c>
      <c r="D29" s="234"/>
      <c r="E29" s="234"/>
      <c r="F29" s="235" t="s">
        <v>30</v>
      </c>
      <c r="G29" s="235"/>
      <c r="H29" s="235"/>
    </row>
    <row r="30" spans="1:8" s="19" customFormat="1" x14ac:dyDescent="0.25">
      <c r="A30" s="230" t="s">
        <v>25</v>
      </c>
      <c r="B30" s="230" t="s">
        <v>29</v>
      </c>
      <c r="C30" s="231" t="s">
        <v>271</v>
      </c>
      <c r="D30" s="231"/>
      <c r="E30" s="231"/>
      <c r="F30" s="233" t="s">
        <v>164</v>
      </c>
      <c r="G30" s="233"/>
      <c r="H30" s="233"/>
    </row>
    <row r="31" spans="1:8" x14ac:dyDescent="0.25">
      <c r="A31" s="230" t="s">
        <v>26</v>
      </c>
      <c r="B31" s="230" t="s">
        <v>29</v>
      </c>
      <c r="C31" s="231" t="s">
        <v>270</v>
      </c>
      <c r="D31" s="231"/>
      <c r="E31" s="231"/>
      <c r="F31" s="233" t="s">
        <v>163</v>
      </c>
      <c r="G31" s="233"/>
      <c r="H31" s="233"/>
    </row>
    <row r="32" spans="1:8" s="19" customFormat="1" x14ac:dyDescent="0.25">
      <c r="A32" s="230" t="s">
        <v>28</v>
      </c>
      <c r="B32" s="230" t="s">
        <v>29</v>
      </c>
      <c r="C32" s="231" t="s">
        <v>269</v>
      </c>
      <c r="D32" s="231"/>
      <c r="E32" s="231"/>
      <c r="F32" s="233" t="s">
        <v>161</v>
      </c>
      <c r="G32" s="233"/>
      <c r="H32" s="233"/>
    </row>
    <row r="33" spans="1:10" x14ac:dyDescent="0.25">
      <c r="A33" s="230" t="s">
        <v>27</v>
      </c>
      <c r="B33" s="230" t="s">
        <v>29</v>
      </c>
      <c r="C33" s="231" t="s">
        <v>269</v>
      </c>
      <c r="D33" s="231"/>
      <c r="E33" s="231"/>
      <c r="F33" s="233" t="s">
        <v>162</v>
      </c>
      <c r="G33" s="233"/>
      <c r="H33" s="233"/>
    </row>
    <row r="34" spans="1:10" x14ac:dyDescent="0.25">
      <c r="A34" s="142" t="s">
        <v>31</v>
      </c>
      <c r="B34" s="142"/>
      <c r="C34" s="142"/>
      <c r="D34" s="142"/>
      <c r="E34" s="142"/>
      <c r="F34" s="142"/>
      <c r="G34" s="142"/>
      <c r="H34" s="142"/>
    </row>
    <row r="35" spans="1:10" ht="15.75" customHeight="1" x14ac:dyDescent="0.25">
      <c r="A35" s="142" t="s">
        <v>201</v>
      </c>
      <c r="B35" s="142"/>
      <c r="C35" s="241" t="s">
        <v>272</v>
      </c>
      <c r="D35" s="241"/>
      <c r="E35" s="241"/>
      <c r="F35" s="241"/>
      <c r="G35" s="241"/>
      <c r="H35" s="241"/>
      <c r="J35" s="67"/>
    </row>
    <row r="36" spans="1:10" ht="15.75" customHeight="1" x14ac:dyDescent="0.25">
      <c r="A36" s="142" t="s">
        <v>224</v>
      </c>
      <c r="B36" s="142"/>
      <c r="C36" s="238" t="s">
        <v>200</v>
      </c>
      <c r="D36" s="239"/>
      <c r="E36" s="239"/>
      <c r="F36" s="239"/>
      <c r="G36" s="239"/>
      <c r="H36" s="240"/>
      <c r="J36" s="67"/>
    </row>
    <row r="37" spans="1:10" x14ac:dyDescent="0.25">
      <c r="A37" s="237" t="s">
        <v>34</v>
      </c>
      <c r="B37" s="237"/>
      <c r="C37" s="237"/>
      <c r="D37" s="237"/>
      <c r="E37" s="237"/>
      <c r="F37" s="237"/>
      <c r="G37" s="237"/>
      <c r="H37" s="237"/>
    </row>
    <row r="38" spans="1:10" x14ac:dyDescent="0.25">
      <c r="A38" s="142" t="s">
        <v>35</v>
      </c>
      <c r="B38" s="142"/>
      <c r="C38" s="142"/>
      <c r="D38" s="142"/>
      <c r="E38" s="232">
        <v>22661.727999999999</v>
      </c>
      <c r="F38" s="232"/>
      <c r="G38" s="232"/>
      <c r="H38" s="232"/>
    </row>
    <row r="39" spans="1:10" x14ac:dyDescent="0.25">
      <c r="A39" s="142" t="s">
        <v>36</v>
      </c>
      <c r="B39" s="142"/>
      <c r="C39" s="142"/>
      <c r="D39" s="142"/>
      <c r="E39" s="189">
        <f>22661.73/E38</f>
        <v>1.0000000882545232</v>
      </c>
      <c r="F39" s="189"/>
      <c r="G39" s="189"/>
      <c r="H39" s="189"/>
    </row>
    <row r="40" spans="1:10" x14ac:dyDescent="0.25">
      <c r="A40" s="142" t="s">
        <v>37</v>
      </c>
      <c r="B40" s="142"/>
      <c r="C40" s="142"/>
      <c r="D40" s="142"/>
      <c r="E40" s="189">
        <f>E42/E38-E39</f>
        <v>2.2015020655088615</v>
      </c>
      <c r="F40" s="189"/>
      <c r="G40" s="189"/>
      <c r="H40" s="189"/>
    </row>
    <row r="41" spans="1:10" x14ac:dyDescent="0.25">
      <c r="A41" s="142" t="s">
        <v>38</v>
      </c>
      <c r="B41" s="142"/>
      <c r="C41" s="142"/>
      <c r="D41" s="142"/>
      <c r="E41" s="189">
        <f>E39+E40</f>
        <v>3.2015021537633848</v>
      </c>
      <c r="F41" s="189"/>
      <c r="G41" s="189"/>
      <c r="H41" s="189"/>
    </row>
    <row r="42" spans="1:10" x14ac:dyDescent="0.25">
      <c r="A42" s="142" t="s">
        <v>88</v>
      </c>
      <c r="B42" s="142"/>
      <c r="C42" s="142"/>
      <c r="D42" s="142"/>
      <c r="E42" s="199">
        <v>72551.570999999996</v>
      </c>
      <c r="F42" s="199"/>
      <c r="G42" s="199"/>
      <c r="H42" s="199"/>
      <c r="I42" s="18">
        <v>41458.536</v>
      </c>
      <c r="J42" s="18">
        <f>28125.28+13333.256</f>
        <v>41458.536</v>
      </c>
    </row>
    <row r="43" spans="1:10" x14ac:dyDescent="0.25">
      <c r="A43" s="156" t="s">
        <v>39</v>
      </c>
      <c r="B43" s="156"/>
      <c r="C43" s="156"/>
      <c r="D43" s="156"/>
      <c r="E43" s="191" t="s">
        <v>273</v>
      </c>
      <c r="F43" s="191"/>
      <c r="G43" s="191"/>
      <c r="H43" s="191"/>
    </row>
    <row r="44" spans="1:10" x14ac:dyDescent="0.25">
      <c r="A44" s="237" t="s">
        <v>40</v>
      </c>
      <c r="B44" s="237"/>
      <c r="C44" s="237"/>
      <c r="D44" s="237"/>
      <c r="E44" s="237"/>
      <c r="F44" s="237"/>
      <c r="G44" s="237"/>
      <c r="H44" s="237"/>
    </row>
    <row r="45" spans="1:10" ht="30.75" customHeight="1" x14ac:dyDescent="0.25">
      <c r="A45" s="110" t="s">
        <v>146</v>
      </c>
      <c r="B45" s="111"/>
      <c r="C45" s="196" t="s">
        <v>167</v>
      </c>
      <c r="D45" s="197"/>
      <c r="E45" s="197"/>
      <c r="F45" s="197"/>
      <c r="G45" s="197"/>
      <c r="H45" s="198"/>
    </row>
    <row r="46" spans="1:10" x14ac:dyDescent="0.25">
      <c r="A46" s="104" t="s">
        <v>295</v>
      </c>
      <c r="B46" s="105"/>
      <c r="C46" s="105"/>
      <c r="D46" s="105"/>
      <c r="E46" s="105"/>
      <c r="F46" s="105"/>
      <c r="G46" s="105"/>
      <c r="H46" s="106"/>
    </row>
    <row r="47" spans="1:10" ht="35.25" customHeight="1" x14ac:dyDescent="0.25">
      <c r="A47" s="110" t="s">
        <v>293</v>
      </c>
      <c r="B47" s="111"/>
      <c r="C47" s="112" t="s">
        <v>347</v>
      </c>
      <c r="D47" s="113"/>
      <c r="E47" s="114"/>
      <c r="F47" s="47" t="s">
        <v>41</v>
      </c>
      <c r="G47" s="115">
        <v>45796</v>
      </c>
      <c r="H47" s="114"/>
    </row>
    <row r="48" spans="1:10" ht="32.450000000000003" customHeight="1" x14ac:dyDescent="0.25">
      <c r="A48" s="110" t="s">
        <v>350</v>
      </c>
      <c r="B48" s="111"/>
      <c r="C48" s="112" t="str">
        <f>C47</f>
        <v>P-9245/2021/(CTS NO. 33A And Other)/K/E Ward/MAJAS/337/5/Amend</v>
      </c>
      <c r="D48" s="113"/>
      <c r="E48" s="114"/>
      <c r="F48" s="47" t="s">
        <v>41</v>
      </c>
      <c r="G48" s="115">
        <v>45796</v>
      </c>
      <c r="H48" s="114"/>
    </row>
    <row r="49" spans="1:8" ht="50.25" hidden="1" customHeight="1" x14ac:dyDescent="0.25">
      <c r="A49" s="110" t="s">
        <v>298</v>
      </c>
      <c r="B49" s="111"/>
      <c r="C49" s="112" t="s">
        <v>299</v>
      </c>
      <c r="D49" s="113"/>
      <c r="E49" s="114"/>
      <c r="F49" s="47" t="s">
        <v>41</v>
      </c>
      <c r="G49" s="115">
        <v>45315</v>
      </c>
      <c r="H49" s="114"/>
    </row>
    <row r="50" spans="1:8" ht="36.75" hidden="1" customHeight="1" x14ac:dyDescent="0.25">
      <c r="A50" s="110" t="s">
        <v>297</v>
      </c>
      <c r="B50" s="111"/>
      <c r="C50" s="112" t="s">
        <v>282</v>
      </c>
      <c r="D50" s="113"/>
      <c r="E50" s="114"/>
      <c r="F50" s="47" t="s">
        <v>41</v>
      </c>
      <c r="G50" s="115">
        <v>45540</v>
      </c>
      <c r="H50" s="114"/>
    </row>
    <row r="51" spans="1:8" s="20" customFormat="1" ht="31.5" hidden="1" customHeight="1" x14ac:dyDescent="0.25">
      <c r="A51" s="192" t="s">
        <v>302</v>
      </c>
      <c r="B51" s="193"/>
      <c r="C51" s="112" t="s">
        <v>258</v>
      </c>
      <c r="D51" s="113"/>
      <c r="E51" s="114"/>
      <c r="F51" s="47" t="s">
        <v>41</v>
      </c>
      <c r="G51" s="115">
        <v>45327</v>
      </c>
      <c r="H51" s="190"/>
    </row>
    <row r="52" spans="1:8" s="20" customFormat="1" ht="111" hidden="1" customHeight="1" x14ac:dyDescent="0.25">
      <c r="A52" s="194"/>
      <c r="B52" s="195"/>
      <c r="C52" s="112" t="s">
        <v>256</v>
      </c>
      <c r="D52" s="113"/>
      <c r="E52" s="114"/>
      <c r="F52" s="47" t="s">
        <v>116</v>
      </c>
      <c r="G52" s="115">
        <v>45692</v>
      </c>
      <c r="H52" s="190"/>
    </row>
    <row r="53" spans="1:8" s="20" customFormat="1" ht="31.5" hidden="1" customHeight="1" x14ac:dyDescent="0.25">
      <c r="A53" s="192" t="s">
        <v>301</v>
      </c>
      <c r="B53" s="193"/>
      <c r="C53" s="112" t="s">
        <v>259</v>
      </c>
      <c r="D53" s="113"/>
      <c r="E53" s="114"/>
      <c r="F53" s="47" t="s">
        <v>41</v>
      </c>
      <c r="G53" s="115">
        <v>45383</v>
      </c>
      <c r="H53" s="190"/>
    </row>
    <row r="54" spans="1:8" s="20" customFormat="1" ht="82.15" hidden="1" customHeight="1" x14ac:dyDescent="0.25">
      <c r="A54" s="194"/>
      <c r="B54" s="195"/>
      <c r="C54" s="112" t="s">
        <v>292</v>
      </c>
      <c r="D54" s="113"/>
      <c r="E54" s="114"/>
      <c r="F54" s="47" t="s">
        <v>116</v>
      </c>
      <c r="G54" s="115">
        <v>45360</v>
      </c>
      <c r="H54" s="190"/>
    </row>
    <row r="55" spans="1:8" s="20" customFormat="1" ht="31.5" customHeight="1" x14ac:dyDescent="0.25">
      <c r="A55" s="157" t="s">
        <v>320</v>
      </c>
      <c r="B55" s="157"/>
      <c r="C55" s="157" t="s">
        <v>310</v>
      </c>
      <c r="D55" s="157"/>
      <c r="E55" s="157"/>
      <c r="F55" s="47" t="s">
        <v>41</v>
      </c>
      <c r="G55" s="255">
        <v>45594</v>
      </c>
      <c r="H55" s="255"/>
    </row>
    <row r="56" spans="1:8" s="20" customFormat="1" ht="126" customHeight="1" x14ac:dyDescent="0.25">
      <c r="A56" s="157"/>
      <c r="B56" s="157"/>
      <c r="C56" s="157" t="s">
        <v>324</v>
      </c>
      <c r="D56" s="157"/>
      <c r="E56" s="157"/>
      <c r="F56" s="47" t="s">
        <v>116</v>
      </c>
      <c r="G56" s="255">
        <v>45958</v>
      </c>
      <c r="H56" s="255"/>
    </row>
    <row r="57" spans="1:8" s="20" customFormat="1" ht="31.5" customHeight="1" x14ac:dyDescent="0.25">
      <c r="A57" s="157"/>
      <c r="B57" s="157"/>
      <c r="C57" s="157" t="s">
        <v>326</v>
      </c>
      <c r="D57" s="157"/>
      <c r="E57" s="157"/>
      <c r="F57" s="47" t="s">
        <v>41</v>
      </c>
      <c r="G57" s="255">
        <v>45817</v>
      </c>
      <c r="H57" s="255"/>
    </row>
    <row r="58" spans="1:8" s="20" customFormat="1" ht="115.5" customHeight="1" x14ac:dyDescent="0.25">
      <c r="A58" s="157"/>
      <c r="B58" s="157"/>
      <c r="C58" s="157" t="s">
        <v>327</v>
      </c>
      <c r="D58" s="157"/>
      <c r="E58" s="157"/>
      <c r="F58" s="47" t="s">
        <v>116</v>
      </c>
      <c r="G58" s="255">
        <v>46090</v>
      </c>
      <c r="H58" s="255"/>
    </row>
    <row r="59" spans="1:8" x14ac:dyDescent="0.25">
      <c r="A59" s="107" t="s">
        <v>296</v>
      </c>
      <c r="B59" s="108"/>
      <c r="C59" s="108"/>
      <c r="D59" s="108"/>
      <c r="E59" s="108"/>
      <c r="F59" s="108"/>
      <c r="G59" s="108"/>
      <c r="H59" s="109"/>
    </row>
    <row r="60" spans="1:8" ht="33.6" customHeight="1" x14ac:dyDescent="0.25">
      <c r="A60" s="110" t="s">
        <v>294</v>
      </c>
      <c r="B60" s="111"/>
      <c r="C60" s="112" t="s">
        <v>348</v>
      </c>
      <c r="D60" s="113"/>
      <c r="E60" s="114"/>
      <c r="F60" s="47" t="s">
        <v>41</v>
      </c>
      <c r="G60" s="115" t="s">
        <v>349</v>
      </c>
      <c r="H60" s="114"/>
    </row>
    <row r="61" spans="1:8" ht="31.9" customHeight="1" x14ac:dyDescent="0.25">
      <c r="A61" s="110" t="s">
        <v>300</v>
      </c>
      <c r="B61" s="111"/>
      <c r="C61" s="112" t="s">
        <v>348</v>
      </c>
      <c r="D61" s="113"/>
      <c r="E61" s="114"/>
      <c r="F61" s="47" t="s">
        <v>41</v>
      </c>
      <c r="G61" s="115" t="s">
        <v>349</v>
      </c>
      <c r="H61" s="114"/>
    </row>
    <row r="62" spans="1:8" s="20" customFormat="1" ht="31.5" customHeight="1" x14ac:dyDescent="0.25">
      <c r="A62" s="192" t="s">
        <v>320</v>
      </c>
      <c r="B62" s="193"/>
      <c r="C62" s="112" t="s">
        <v>328</v>
      </c>
      <c r="D62" s="113"/>
      <c r="E62" s="114"/>
      <c r="F62" s="47" t="s">
        <v>41</v>
      </c>
      <c r="G62" s="115">
        <v>45810</v>
      </c>
      <c r="H62" s="190"/>
    </row>
    <row r="63" spans="1:8" s="20" customFormat="1" ht="142.5" customHeight="1" x14ac:dyDescent="0.25">
      <c r="A63" s="194"/>
      <c r="B63" s="195"/>
      <c r="C63" s="112" t="s">
        <v>329</v>
      </c>
      <c r="D63" s="113"/>
      <c r="E63" s="114"/>
      <c r="F63" s="47" t="s">
        <v>116</v>
      </c>
      <c r="G63" s="115">
        <v>46090</v>
      </c>
      <c r="H63" s="190"/>
    </row>
    <row r="64" spans="1:8" s="20" customFormat="1" ht="31.5" customHeight="1" x14ac:dyDescent="0.25">
      <c r="A64" s="216" t="s">
        <v>317</v>
      </c>
      <c r="B64" s="217"/>
      <c r="C64" s="112" t="s">
        <v>284</v>
      </c>
      <c r="D64" s="113"/>
      <c r="E64" s="114"/>
      <c r="F64" s="47" t="s">
        <v>41</v>
      </c>
      <c r="G64" s="115">
        <v>44533</v>
      </c>
      <c r="H64" s="190"/>
    </row>
    <row r="65" spans="1:14" s="20" customFormat="1" ht="34.5" customHeight="1" x14ac:dyDescent="0.25">
      <c r="A65" s="218"/>
      <c r="B65" s="219"/>
      <c r="C65" s="112" t="s">
        <v>318</v>
      </c>
      <c r="D65" s="113"/>
      <c r="E65" s="113"/>
      <c r="F65" s="113"/>
      <c r="G65" s="113"/>
      <c r="H65" s="114"/>
    </row>
    <row r="66" spans="1:14" s="20" customFormat="1" x14ac:dyDescent="0.25">
      <c r="A66" s="216" t="s">
        <v>319</v>
      </c>
      <c r="B66" s="217"/>
      <c r="C66" s="112" t="s">
        <v>311</v>
      </c>
      <c r="D66" s="113"/>
      <c r="E66" s="114"/>
      <c r="F66" s="47" t="s">
        <v>41</v>
      </c>
      <c r="G66" s="115">
        <v>44434</v>
      </c>
      <c r="H66" s="190"/>
    </row>
    <row r="67" spans="1:14" s="20" customFormat="1" ht="80.25" customHeight="1" x14ac:dyDescent="0.25">
      <c r="A67" s="218"/>
      <c r="B67" s="219"/>
      <c r="C67" s="112" t="s">
        <v>312</v>
      </c>
      <c r="D67" s="113"/>
      <c r="E67" s="113"/>
      <c r="F67" s="113"/>
      <c r="G67" s="113"/>
      <c r="H67" s="114"/>
    </row>
    <row r="68" spans="1:14" x14ac:dyDescent="0.25">
      <c r="A68" s="212" t="s">
        <v>43</v>
      </c>
      <c r="B68" s="212"/>
      <c r="C68" s="212"/>
      <c r="D68" s="212"/>
      <c r="E68" s="212"/>
      <c r="F68" s="212"/>
      <c r="G68" s="212"/>
      <c r="H68" s="212"/>
    </row>
    <row r="69" spans="1:14" x14ac:dyDescent="0.25">
      <c r="A69" s="159" t="s">
        <v>281</v>
      </c>
      <c r="B69" s="159"/>
      <c r="C69" s="159"/>
      <c r="D69" s="191">
        <f>E42</f>
        <v>72551.570999999996</v>
      </c>
      <c r="E69" s="191"/>
      <c r="F69" s="191"/>
      <c r="G69" s="191"/>
      <c r="H69" s="191"/>
    </row>
    <row r="70" spans="1:14" x14ac:dyDescent="0.25">
      <c r="A70" s="157" t="s">
        <v>44</v>
      </c>
      <c r="B70" s="156"/>
      <c r="C70" s="156"/>
      <c r="D70" s="156" t="s">
        <v>352</v>
      </c>
      <c r="E70" s="156"/>
      <c r="F70" s="156"/>
      <c r="G70" s="156"/>
      <c r="H70" s="156"/>
      <c r="I70" s="21"/>
    </row>
    <row r="71" spans="1:14" ht="51.75" customHeight="1" x14ac:dyDescent="0.25">
      <c r="A71" s="192" t="s">
        <v>45</v>
      </c>
      <c r="B71" s="251"/>
      <c r="C71" s="193"/>
      <c r="D71" s="152" t="s">
        <v>346</v>
      </c>
      <c r="E71" s="220"/>
      <c r="F71" s="220"/>
      <c r="G71" s="220"/>
      <c r="H71" s="220"/>
    </row>
    <row r="72" spans="1:14" x14ac:dyDescent="0.25">
      <c r="A72" s="192" t="s">
        <v>86</v>
      </c>
      <c r="B72" s="251"/>
      <c r="C72" s="193"/>
      <c r="D72" s="193" t="s">
        <v>305</v>
      </c>
      <c r="E72" s="220"/>
      <c r="F72" s="220"/>
      <c r="G72" s="220"/>
      <c r="H72" s="220"/>
    </row>
    <row r="73" spans="1:14" x14ac:dyDescent="0.25">
      <c r="A73" s="252"/>
      <c r="B73" s="221"/>
      <c r="C73" s="253"/>
      <c r="D73" s="193" t="s">
        <v>306</v>
      </c>
      <c r="E73" s="220"/>
      <c r="F73" s="220"/>
      <c r="G73" s="220"/>
      <c r="H73" s="220"/>
    </row>
    <row r="74" spans="1:14" x14ac:dyDescent="0.25">
      <c r="A74" s="252"/>
      <c r="B74" s="221"/>
      <c r="C74" s="253"/>
      <c r="D74" s="221" t="s">
        <v>307</v>
      </c>
      <c r="E74" s="222"/>
      <c r="F74" s="222"/>
      <c r="G74" s="222"/>
      <c r="H74" s="222"/>
    </row>
    <row r="75" spans="1:14" x14ac:dyDescent="0.25">
      <c r="A75" s="194"/>
      <c r="B75" s="254"/>
      <c r="C75" s="195"/>
      <c r="D75" s="221" t="s">
        <v>308</v>
      </c>
      <c r="E75" s="222"/>
      <c r="F75" s="222"/>
      <c r="G75" s="222"/>
      <c r="H75" s="222"/>
    </row>
    <row r="76" spans="1:14" ht="141" customHeight="1" x14ac:dyDescent="0.25">
      <c r="A76" s="142" t="s">
        <v>42</v>
      </c>
      <c r="B76" s="142"/>
      <c r="C76" s="142"/>
      <c r="D76" s="157" t="s">
        <v>357</v>
      </c>
      <c r="E76" s="157"/>
      <c r="F76" s="157"/>
      <c r="G76" s="157"/>
      <c r="H76" s="157"/>
      <c r="J76" s="79"/>
      <c r="K76" s="21"/>
      <c r="N76" s="21"/>
    </row>
    <row r="77" spans="1:14" ht="15.75" customHeight="1" x14ac:dyDescent="0.25">
      <c r="A77" s="142" t="s">
        <v>84</v>
      </c>
      <c r="B77" s="142"/>
      <c r="C77" s="142"/>
      <c r="D77" s="248" t="s">
        <v>249</v>
      </c>
      <c r="E77" s="248"/>
      <c r="F77" s="248"/>
      <c r="G77" s="248"/>
      <c r="H77" s="248"/>
      <c r="N77" s="21"/>
    </row>
    <row r="78" spans="1:14" ht="15.75" customHeight="1" x14ac:dyDescent="0.25">
      <c r="A78" s="142" t="s">
        <v>85</v>
      </c>
      <c r="B78" s="142"/>
      <c r="C78" s="142"/>
      <c r="D78" s="159" t="s">
        <v>24</v>
      </c>
      <c r="E78" s="159"/>
      <c r="F78" s="159"/>
      <c r="G78" s="159"/>
      <c r="H78" s="159"/>
      <c r="J78" s="23"/>
      <c r="K78" s="23"/>
    </row>
    <row r="79" spans="1:14" ht="32.25" customHeight="1" x14ac:dyDescent="0.25">
      <c r="A79" s="156" t="s">
        <v>250</v>
      </c>
      <c r="B79" s="156"/>
      <c r="C79" s="156"/>
      <c r="D79" s="157" t="s">
        <v>274</v>
      </c>
      <c r="E79" s="157"/>
      <c r="F79" s="157"/>
      <c r="G79" s="157"/>
      <c r="H79" s="157"/>
      <c r="I79" s="67" t="s">
        <v>275</v>
      </c>
    </row>
    <row r="80" spans="1:14" x14ac:dyDescent="0.25">
      <c r="A80" s="159" t="s">
        <v>143</v>
      </c>
      <c r="B80" s="159"/>
      <c r="C80" s="159"/>
      <c r="D80" s="159" t="s">
        <v>29</v>
      </c>
      <c r="E80" s="159"/>
      <c r="F80" s="159"/>
      <c r="G80" s="159"/>
      <c r="H80" s="159"/>
      <c r="I80" s="24"/>
      <c r="J80" s="24"/>
      <c r="K80" s="24"/>
      <c r="L80" s="24"/>
      <c r="M80" s="24"/>
      <c r="N80" s="24"/>
    </row>
    <row r="81" spans="1:14" ht="15.75" customHeight="1" x14ac:dyDescent="0.25">
      <c r="A81" s="151" t="s">
        <v>83</v>
      </c>
      <c r="B81" s="151"/>
      <c r="C81" s="151"/>
      <c r="D81" s="152" t="str">
        <f ca="1">(IF(G101&gt;95%,"Nothing",IF(G101&gt;0%,"Cement, Aggregate, Steel, etc",IF(G101=0%,"Work not yet Started"))))</f>
        <v>Cement, Aggregate, Steel, etc</v>
      </c>
      <c r="E81" s="152"/>
      <c r="F81" s="152"/>
      <c r="G81" s="152"/>
      <c r="H81" s="152"/>
      <c r="J81" s="23"/>
    </row>
    <row r="82" spans="1:14" ht="33" customHeight="1" thickBot="1" x14ac:dyDescent="0.3">
      <c r="A82" s="158" t="s">
        <v>109</v>
      </c>
      <c r="B82" s="158"/>
      <c r="C82" s="158"/>
      <c r="D82" s="152" t="str">
        <f ca="1">(IF(D81="Nothing","Yes",IF(D81="Cement, Aggregate, Steel, etc","Under Construction",IF(D81="Work not yet Started","Work not yet Started"))))</f>
        <v>Under Construction</v>
      </c>
      <c r="E82" s="152"/>
      <c r="F82" s="152" t="str">
        <f ca="1">(IF(D81="Nothing","Yes",IF(D81="Cement, Aggregate, Steel, etc","Under Construction",IF(D81="Work not yet Started","Work not yet Started"))))</f>
        <v>Under Construction</v>
      </c>
      <c r="G82" s="152"/>
      <c r="H82" s="152"/>
    </row>
    <row r="83" spans="1:14" x14ac:dyDescent="0.25">
      <c r="A83" s="160" t="s">
        <v>135</v>
      </c>
      <c r="B83" s="161"/>
      <c r="C83" s="162" t="s">
        <v>252</v>
      </c>
      <c r="D83" s="163"/>
      <c r="E83" s="163"/>
      <c r="F83" s="163"/>
      <c r="G83" s="163"/>
      <c r="H83" s="164"/>
      <c r="I83" s="42" t="str">
        <f ca="1">IF(D96=100%,"All work Completed. Possession granted to the Building.",IF(D95=100%,"All work Completed, Waiting for OC",I84&amp;""&amp;I85&amp;""&amp;J84&amp;""&amp;J83&amp;" "&amp;J85))</f>
        <v>Excavation, Plinth Completed, RCC upto 15 Slab, Brickwork upto 14 Floor, Internal Plaster upto 10.5 Floor, External Plaster upto 9.8 Floor Completed</v>
      </c>
      <c r="J83" s="43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15 Slab, Brickwork upto 14 Floor, Internal Plaster upto 10.5 Floor, External Plaster upto 9.8 Floor</v>
      </c>
    </row>
    <row r="84" spans="1:14" x14ac:dyDescent="0.25">
      <c r="A84" s="16" t="s">
        <v>137</v>
      </c>
      <c r="B84" s="46">
        <v>2</v>
      </c>
      <c r="C84" s="46" t="s">
        <v>69</v>
      </c>
      <c r="D84" s="46">
        <v>1</v>
      </c>
      <c r="E84" s="46" t="s">
        <v>68</v>
      </c>
      <c r="F84" s="46">
        <v>0</v>
      </c>
      <c r="G84" s="46" t="s">
        <v>77</v>
      </c>
      <c r="H84" s="17">
        <f ca="1">--TRIM(RIGHT(SUBSTITUTE(LEFT(C83,_xlfn.AGGREGATE(16,6,FIND({0,1,2,3,4,5,6,7,8,9},C83,ROW(INDIRECT("1:"&amp;LEN(C83)))),1))," ",REPT(" ",LEN(C83))),LEN(C83)))</f>
        <v>22</v>
      </c>
      <c r="I84" s="44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45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4" ht="36.6" customHeight="1" x14ac:dyDescent="0.25">
      <c r="A85" s="153" t="s">
        <v>87</v>
      </c>
      <c r="B85" s="154"/>
      <c r="C85" s="155" t="str">
        <f ca="1">I83</f>
        <v>Excavation, Plinth Completed, RCC upto 15 Slab, Brickwork upto 14 Floor, Internal Plaster upto 10.5 Floor, External Plaster upto 9.8 Floor Completed</v>
      </c>
      <c r="D85" s="155"/>
      <c r="E85" s="155"/>
      <c r="F85" s="155"/>
      <c r="G85" s="155"/>
      <c r="H85" s="166"/>
      <c r="I85" s="44" t="str">
        <f ca="1">IF(I84&lt;&gt;""," Completed","")</f>
        <v xml:space="preserve"> Completed</v>
      </c>
      <c r="J85" s="45" t="str">
        <f ca="1">IF(J83&lt;&gt;"","Completed","")</f>
        <v>Completed</v>
      </c>
    </row>
    <row r="86" spans="1:14" ht="15.75" customHeight="1" x14ac:dyDescent="0.25">
      <c r="A86" s="129" t="s">
        <v>46</v>
      </c>
      <c r="B86" s="127"/>
      <c r="C86" s="48" t="s">
        <v>134</v>
      </c>
      <c r="D86" s="48" t="s">
        <v>80</v>
      </c>
      <c r="E86" s="127" t="s">
        <v>82</v>
      </c>
      <c r="F86" s="127"/>
      <c r="G86" s="127" t="s">
        <v>81</v>
      </c>
      <c r="H86" s="165"/>
      <c r="I86" s="14" t="s">
        <v>136</v>
      </c>
      <c r="J86" s="25">
        <f ca="1">H84*25%</f>
        <v>5.5</v>
      </c>
      <c r="K86" s="60" t="s">
        <v>177</v>
      </c>
      <c r="L86" s="60"/>
      <c r="M86" s="60" t="s">
        <v>178</v>
      </c>
      <c r="N86" s="61">
        <v>44768</v>
      </c>
    </row>
    <row r="87" spans="1:14" x14ac:dyDescent="0.25">
      <c r="A87" s="129" t="s">
        <v>123</v>
      </c>
      <c r="B87" s="127"/>
      <c r="C87" s="48">
        <f ca="1">J88</f>
        <v>22</v>
      </c>
      <c r="D87" s="49">
        <f ca="1">((100/H84)*C87)/100</f>
        <v>1.0000000000000002</v>
      </c>
      <c r="E87" s="130">
        <f ca="1">(((C88/H84*10)+(40/(D84+F84+H84)*C89)+(7.5/(H84)*C90)+(7.5/(H84)*C91)+(10/H84*C92)+(10/H84*C93)+(5/H84*C94)+(5/H84*C95)+(5/H84*C96))/100)</f>
        <v>0.48893774703557308</v>
      </c>
      <c r="F87" s="131"/>
      <c r="G87" s="130">
        <f ca="1">((((C87/H84)*20)+((C88/H84)*25)+(30/(H84+F84+D84)*C89)+(5/H84*C90)+(5/H84*C91)+(5/H84*C92)+(5/H84*C93)+(0/H84*C94)+(0/H84*C95)+(5/H84*C96))/100)</f>
        <v>0.72360671936758902</v>
      </c>
      <c r="H87" s="136"/>
      <c r="I87" s="14" t="s">
        <v>92</v>
      </c>
      <c r="J87" s="26">
        <f ca="1">H84*50%</f>
        <v>11</v>
      </c>
      <c r="K87" s="60" t="s">
        <v>179</v>
      </c>
      <c r="L87" s="60"/>
      <c r="M87" s="60"/>
      <c r="N87" s="60"/>
    </row>
    <row r="88" spans="1:14" x14ac:dyDescent="0.25">
      <c r="A88" s="129" t="s">
        <v>47</v>
      </c>
      <c r="B88" s="127"/>
      <c r="C88" s="66">
        <f ca="1">J96</f>
        <v>22</v>
      </c>
      <c r="D88" s="49">
        <f ca="1">((100/H84)*C88)/100</f>
        <v>1.0000000000000002</v>
      </c>
      <c r="E88" s="132"/>
      <c r="F88" s="133"/>
      <c r="G88" s="132"/>
      <c r="H88" s="137"/>
      <c r="I88" s="14" t="s">
        <v>93</v>
      </c>
      <c r="J88" s="26">
        <f ca="1">H84</f>
        <v>22</v>
      </c>
    </row>
    <row r="89" spans="1:14" ht="15.75" customHeight="1" x14ac:dyDescent="0.25">
      <c r="A89" s="129" t="s">
        <v>124</v>
      </c>
      <c r="B89" s="127"/>
      <c r="C89" s="48">
        <v>15</v>
      </c>
      <c r="D89" s="49">
        <f ca="1">((100/(D84+F84+H84))*C89)/100</f>
        <v>0.65217391304347827</v>
      </c>
      <c r="E89" s="132"/>
      <c r="F89" s="133"/>
      <c r="G89" s="132"/>
      <c r="H89" s="137"/>
      <c r="I89" s="14" t="s">
        <v>94</v>
      </c>
      <c r="J89" s="27">
        <f ca="1">(IF(B84&gt;1,(H84/(B84+2)),H84/4))</f>
        <v>5.5</v>
      </c>
    </row>
    <row r="90" spans="1:14" ht="15.75" customHeight="1" x14ac:dyDescent="0.25">
      <c r="A90" s="129" t="s">
        <v>131</v>
      </c>
      <c r="B90" s="127" t="s">
        <v>125</v>
      </c>
      <c r="C90" s="48">
        <f>C89-1</f>
        <v>14</v>
      </c>
      <c r="D90" s="49">
        <f ca="1">((100/H84)*C90)/100</f>
        <v>0.63636363636363635</v>
      </c>
      <c r="E90" s="132"/>
      <c r="F90" s="133"/>
      <c r="G90" s="132"/>
      <c r="H90" s="137"/>
      <c r="I90" s="14" t="s">
        <v>95</v>
      </c>
      <c r="J90" s="27">
        <f ca="1">(IF(B84&gt;1,(H84/(B84+2)+J89),H84/4+J89))</f>
        <v>11</v>
      </c>
    </row>
    <row r="91" spans="1:14" ht="15.75" customHeight="1" x14ac:dyDescent="0.25">
      <c r="A91" s="129" t="s">
        <v>132</v>
      </c>
      <c r="B91" s="127" t="s">
        <v>125</v>
      </c>
      <c r="C91" s="66">
        <f>C90*0.75</f>
        <v>10.5</v>
      </c>
      <c r="D91" s="49">
        <f ca="1">((100/H84)*C91)/100</f>
        <v>0.47727272727272735</v>
      </c>
      <c r="E91" s="132"/>
      <c r="F91" s="133"/>
      <c r="G91" s="132"/>
      <c r="H91" s="137"/>
      <c r="I91" s="14" t="s">
        <v>141</v>
      </c>
      <c r="J91" s="27">
        <f ca="1">(IF(B84&gt;1,(H84/(B84+2)+J90),0))</f>
        <v>16.5</v>
      </c>
    </row>
    <row r="92" spans="1:14" ht="15" customHeight="1" x14ac:dyDescent="0.25">
      <c r="A92" s="129" t="s">
        <v>130</v>
      </c>
      <c r="B92" s="127" t="s">
        <v>127</v>
      </c>
      <c r="C92" s="66">
        <f>C90*0.7</f>
        <v>9.7999999999999989</v>
      </c>
      <c r="D92" s="49">
        <f ca="1">((100/(H84))*C92)/100</f>
        <v>0.44545454545454549</v>
      </c>
      <c r="E92" s="132"/>
      <c r="F92" s="133"/>
      <c r="G92" s="132"/>
      <c r="H92" s="137"/>
      <c r="I92" s="14" t="s">
        <v>138</v>
      </c>
      <c r="J92" s="27">
        <f>(IF(B84&gt;2,(H84/(B84+2)+J91),0))</f>
        <v>0</v>
      </c>
    </row>
    <row r="93" spans="1:14" ht="15.75" customHeight="1" x14ac:dyDescent="0.25">
      <c r="A93" s="129" t="s">
        <v>126</v>
      </c>
      <c r="B93" s="127" t="s">
        <v>126</v>
      </c>
      <c r="C93" s="48">
        <v>0</v>
      </c>
      <c r="D93" s="49">
        <f ca="1">((100/H84)*C93)/100</f>
        <v>0</v>
      </c>
      <c r="E93" s="132"/>
      <c r="F93" s="133"/>
      <c r="G93" s="132"/>
      <c r="H93" s="137"/>
      <c r="I93" s="14" t="s">
        <v>139</v>
      </c>
      <c r="J93" s="28">
        <f>(IF(B84&gt;3,(H84/(B84+2)+J92),0))</f>
        <v>0</v>
      </c>
    </row>
    <row r="94" spans="1:14" ht="15.75" customHeight="1" x14ac:dyDescent="0.25">
      <c r="A94" s="129" t="s">
        <v>133</v>
      </c>
      <c r="B94" s="127"/>
      <c r="C94" s="48">
        <v>0</v>
      </c>
      <c r="D94" s="49">
        <f ca="1">((100/H84)*C94)/100</f>
        <v>0</v>
      </c>
      <c r="E94" s="132"/>
      <c r="F94" s="133"/>
      <c r="G94" s="132"/>
      <c r="H94" s="137"/>
      <c r="I94" s="14" t="s">
        <v>140</v>
      </c>
      <c r="J94" s="27">
        <f>(IF(B84&gt;4,(H84/(B84+2)+J93),0))</f>
        <v>0</v>
      </c>
    </row>
    <row r="95" spans="1:14" ht="15.75" customHeight="1" x14ac:dyDescent="0.25">
      <c r="A95" s="129" t="s">
        <v>128</v>
      </c>
      <c r="B95" s="127" t="s">
        <v>128</v>
      </c>
      <c r="C95" s="48">
        <v>0</v>
      </c>
      <c r="D95" s="49">
        <f ca="1">((100/(H84))*C95)/100</f>
        <v>0</v>
      </c>
      <c r="E95" s="132"/>
      <c r="F95" s="133"/>
      <c r="G95" s="132"/>
      <c r="H95" s="137"/>
      <c r="I95" s="14" t="s">
        <v>142</v>
      </c>
      <c r="J95" s="27">
        <f>(IF(B84=1,(H84/(B84+3)+J90),IF(B84=0,(H84/4+J90),IF(B84&gt;1,0))))</f>
        <v>0</v>
      </c>
    </row>
    <row r="96" spans="1:14" ht="16.5" thickBot="1" x14ac:dyDescent="0.3">
      <c r="A96" s="139" t="s">
        <v>129</v>
      </c>
      <c r="B96" s="140"/>
      <c r="C96" s="69">
        <v>0</v>
      </c>
      <c r="D96" s="50">
        <f ca="1">((100/(H84))*C96)/100</f>
        <v>0</v>
      </c>
      <c r="E96" s="134"/>
      <c r="F96" s="135"/>
      <c r="G96" s="134"/>
      <c r="H96" s="138"/>
      <c r="I96" s="15" t="s">
        <v>96</v>
      </c>
      <c r="J96" s="29">
        <f ca="1">(IF(B84&gt;1.5,(H84/(B84+2)+J90+MAX(0,J91-J90)+MAX(0,J92-J91)+MAX(0,J93-J92)+MAX(0,J94-J93)+MAX(0,J95-J94)),IF(B84=1,(H84/(B84+3)+J95),IF(B84=0,H84/4+J95))))</f>
        <v>22</v>
      </c>
    </row>
    <row r="97" spans="1:14" x14ac:dyDescent="0.25">
      <c r="A97" s="160" t="s">
        <v>135</v>
      </c>
      <c r="B97" s="161"/>
      <c r="C97" s="162" t="s">
        <v>220</v>
      </c>
      <c r="D97" s="163"/>
      <c r="E97" s="163"/>
      <c r="F97" s="163"/>
      <c r="G97" s="163"/>
      <c r="H97" s="164"/>
      <c r="I97" s="42" t="str">
        <f ca="1">IF(D110=100%,"All work Completed. Possession granted to the Building.",IF(D109=100%,"All work Completed, Waiting for OC",I98&amp;""&amp;I99&amp;""&amp;J98&amp;""&amp;J97&amp;" "&amp;J99))</f>
        <v>Excavation, Plinth, RCC Slab, Brickwork, Internal Plaster Completed, External Plaster upto 19 Floor, Flooring upto 14 Floor, Painting upto 6 Floor Completed</v>
      </c>
      <c r="J97" s="43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External Plaster upto 19 Floor, Flooring upto 14 Floor, Painting upto 6 Floor</v>
      </c>
    </row>
    <row r="98" spans="1:14" x14ac:dyDescent="0.25">
      <c r="A98" s="16" t="s">
        <v>137</v>
      </c>
      <c r="B98" s="46">
        <v>2</v>
      </c>
      <c r="C98" s="46" t="s">
        <v>69</v>
      </c>
      <c r="D98" s="46">
        <v>1</v>
      </c>
      <c r="E98" s="46" t="s">
        <v>68</v>
      </c>
      <c r="F98" s="46">
        <v>0</v>
      </c>
      <c r="G98" s="46" t="s">
        <v>77</v>
      </c>
      <c r="H98" s="17">
        <f ca="1">--TRIM(RIGHT(SUBSTITUTE(LEFT(C97,_xlfn.AGGREGATE(16,6,FIND({0,1,2,3,4,5,6,7,8,9},C97,ROW(INDIRECT("1:"&amp;LEN(C97)))),1))," ",REPT(" ",LEN(C97))),LEN(C97)))</f>
        <v>22</v>
      </c>
      <c r="I98" s="44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Slab, Brickwork, Internal Plaster</v>
      </c>
      <c r="J98" s="45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4" ht="34.5" customHeight="1" x14ac:dyDescent="0.25">
      <c r="A99" s="153" t="s">
        <v>87</v>
      </c>
      <c r="B99" s="154"/>
      <c r="C99" s="155" t="str">
        <f ca="1">I97</f>
        <v>Excavation, Plinth, RCC Slab, Brickwork, Internal Plaster Completed, External Plaster upto 19 Floor, Flooring upto 14 Floor, Painting upto 6 Floor Completed</v>
      </c>
      <c r="D99" s="155"/>
      <c r="E99" s="155"/>
      <c r="F99" s="155"/>
      <c r="G99" s="155"/>
      <c r="H99" s="166"/>
      <c r="I99" s="44" t="str">
        <f ca="1">IF(I98&lt;&gt;""," Completed","")</f>
        <v xml:space="preserve"> Completed</v>
      </c>
      <c r="J99" s="45" t="str">
        <f ca="1">IF(J97&lt;&gt;"","Completed","")</f>
        <v>Completed</v>
      </c>
    </row>
    <row r="100" spans="1:14" ht="15.75" customHeight="1" x14ac:dyDescent="0.25">
      <c r="A100" s="129" t="s">
        <v>46</v>
      </c>
      <c r="B100" s="127"/>
      <c r="C100" s="48" t="s">
        <v>134</v>
      </c>
      <c r="D100" s="48" t="s">
        <v>80</v>
      </c>
      <c r="E100" s="127" t="s">
        <v>82</v>
      </c>
      <c r="F100" s="127"/>
      <c r="G100" s="127" t="s">
        <v>81</v>
      </c>
      <c r="H100" s="165"/>
      <c r="I100" s="14" t="s">
        <v>136</v>
      </c>
      <c r="J100" s="25">
        <f ca="1">H98*25%</f>
        <v>5.5</v>
      </c>
      <c r="K100" s="60" t="s">
        <v>177</v>
      </c>
      <c r="L100" s="60"/>
      <c r="M100" s="60" t="s">
        <v>178</v>
      </c>
      <c r="N100" s="61">
        <v>44768</v>
      </c>
    </row>
    <row r="101" spans="1:14" x14ac:dyDescent="0.25">
      <c r="A101" s="127" t="s">
        <v>123</v>
      </c>
      <c r="B101" s="127"/>
      <c r="C101" s="48">
        <v>22</v>
      </c>
      <c r="D101" s="49">
        <f ca="1">((100/H98)*C101)/100</f>
        <v>1.0000000000000002</v>
      </c>
      <c r="E101" s="150">
        <f ca="1">(((C102/H98*10)+(40/(D98+F98+H98)*C103)+(7.5/(H98)*C104)+(7.5/(H98)*C105)+(10/H98*C106)+(10/H98*C107)+(5/H98*C108)+(5/H98*C109)+(5/H98*C110))/100)</f>
        <v>0.8136363636363636</v>
      </c>
      <c r="F101" s="150"/>
      <c r="G101" s="150">
        <f ca="1">((((C101/H98)*20)+((C102/H98)*25)+(30/(H98+F98+D98)*C103)+(5/H98*C104)+(5/H98*C105)+(5/H98*C106)+(5/H98*C107)+(0/H98*C108)+(0/H98*C109)+(5/H98*C110))/100)</f>
        <v>0.92500000000000004</v>
      </c>
      <c r="H101" s="150"/>
      <c r="I101" s="14" t="s">
        <v>92</v>
      </c>
      <c r="J101" s="26">
        <f ca="1">H98*50%</f>
        <v>11</v>
      </c>
      <c r="K101" s="60" t="s">
        <v>179</v>
      </c>
      <c r="L101" s="60"/>
      <c r="M101" s="60"/>
      <c r="N101" s="60"/>
    </row>
    <row r="102" spans="1:14" x14ac:dyDescent="0.25">
      <c r="A102" s="127" t="s">
        <v>47</v>
      </c>
      <c r="B102" s="127"/>
      <c r="C102" s="66">
        <f ca="1">J110</f>
        <v>22</v>
      </c>
      <c r="D102" s="49">
        <f ca="1">((100/H98)*C102)/100</f>
        <v>1.0000000000000002</v>
      </c>
      <c r="E102" s="150"/>
      <c r="F102" s="150"/>
      <c r="G102" s="150"/>
      <c r="H102" s="150"/>
      <c r="I102" s="14" t="s">
        <v>93</v>
      </c>
      <c r="J102" s="26">
        <f ca="1">H98</f>
        <v>22</v>
      </c>
    </row>
    <row r="103" spans="1:14" ht="15.75" customHeight="1" x14ac:dyDescent="0.25">
      <c r="A103" s="127" t="s">
        <v>124</v>
      </c>
      <c r="B103" s="127"/>
      <c r="C103" s="48">
        <v>23</v>
      </c>
      <c r="D103" s="49">
        <f ca="1">((100/(D98+F98+H98))*C103)/100</f>
        <v>1</v>
      </c>
      <c r="E103" s="150"/>
      <c r="F103" s="150"/>
      <c r="G103" s="150"/>
      <c r="H103" s="150"/>
      <c r="I103" s="14" t="s">
        <v>94</v>
      </c>
      <c r="J103" s="27">
        <f ca="1">(IF(B98&gt;1,(H98/(B98+2)),H98/4))</f>
        <v>5.5</v>
      </c>
    </row>
    <row r="104" spans="1:14" ht="15.75" customHeight="1" x14ac:dyDescent="0.25">
      <c r="A104" s="127" t="s">
        <v>131</v>
      </c>
      <c r="B104" s="127" t="s">
        <v>125</v>
      </c>
      <c r="C104" s="48">
        <f>C103-D98</f>
        <v>22</v>
      </c>
      <c r="D104" s="49">
        <f ca="1">((100/H98)*C104)/100</f>
        <v>1.0000000000000002</v>
      </c>
      <c r="E104" s="150"/>
      <c r="F104" s="150"/>
      <c r="G104" s="150"/>
      <c r="H104" s="150"/>
      <c r="I104" s="14" t="s">
        <v>95</v>
      </c>
      <c r="J104" s="27">
        <f ca="1">(IF(B98&gt;1,(H98/(B98+2)+J103),H98/4+J103))</f>
        <v>11</v>
      </c>
    </row>
    <row r="105" spans="1:14" ht="15.75" customHeight="1" x14ac:dyDescent="0.25">
      <c r="A105" s="127" t="s">
        <v>132</v>
      </c>
      <c r="B105" s="127" t="s">
        <v>125</v>
      </c>
      <c r="C105" s="66">
        <v>22</v>
      </c>
      <c r="D105" s="49">
        <f ca="1">((100/H98)*C105)/100</f>
        <v>1.0000000000000002</v>
      </c>
      <c r="E105" s="150"/>
      <c r="F105" s="150"/>
      <c r="G105" s="150"/>
      <c r="H105" s="150"/>
      <c r="I105" s="14" t="s">
        <v>141</v>
      </c>
      <c r="J105" s="27">
        <f ca="1">(IF(B98&gt;1,(H98/(B98+2)+J104),0))</f>
        <v>16.5</v>
      </c>
    </row>
    <row r="106" spans="1:14" ht="15" customHeight="1" x14ac:dyDescent="0.25">
      <c r="A106" s="127" t="s">
        <v>130</v>
      </c>
      <c r="B106" s="127" t="s">
        <v>127</v>
      </c>
      <c r="C106" s="66">
        <v>19</v>
      </c>
      <c r="D106" s="49">
        <f ca="1">((100/(H98))*C106)/100</f>
        <v>0.86363636363636376</v>
      </c>
      <c r="E106" s="150"/>
      <c r="F106" s="150"/>
      <c r="G106" s="150"/>
      <c r="H106" s="150"/>
      <c r="I106" s="14" t="s">
        <v>138</v>
      </c>
      <c r="J106" s="27">
        <f>(IF(B98&gt;2,(H98/(B98+2)+J105),0))</f>
        <v>0</v>
      </c>
    </row>
    <row r="107" spans="1:14" ht="15.75" customHeight="1" x14ac:dyDescent="0.25">
      <c r="A107" s="127" t="s">
        <v>126</v>
      </c>
      <c r="B107" s="127" t="s">
        <v>126</v>
      </c>
      <c r="C107" s="48">
        <v>14</v>
      </c>
      <c r="D107" s="49">
        <f ca="1">((100/H98)*C107)/100</f>
        <v>0.63636363636363635</v>
      </c>
      <c r="E107" s="150"/>
      <c r="F107" s="150"/>
      <c r="G107" s="150"/>
      <c r="H107" s="150"/>
      <c r="I107" s="14" t="s">
        <v>139</v>
      </c>
      <c r="J107" s="28">
        <f>(IF(B98&gt;3,(H98/(B98+2)+J106),0))</f>
        <v>0</v>
      </c>
    </row>
    <row r="108" spans="1:14" ht="15.75" customHeight="1" x14ac:dyDescent="0.25">
      <c r="A108" s="127" t="s">
        <v>133</v>
      </c>
      <c r="B108" s="127"/>
      <c r="C108" s="48">
        <v>6</v>
      </c>
      <c r="D108" s="49">
        <f ca="1">((100/H98)*C108)/100</f>
        <v>0.27272727272727271</v>
      </c>
      <c r="E108" s="150"/>
      <c r="F108" s="150"/>
      <c r="G108" s="150"/>
      <c r="H108" s="150"/>
      <c r="I108" s="14" t="s">
        <v>140</v>
      </c>
      <c r="J108" s="27">
        <f>(IF(B98&gt;4,(H98/(B98+2)+J107),0))</f>
        <v>0</v>
      </c>
    </row>
    <row r="109" spans="1:14" ht="15.75" customHeight="1" x14ac:dyDescent="0.25">
      <c r="A109" s="127" t="s">
        <v>128</v>
      </c>
      <c r="B109" s="127" t="s">
        <v>128</v>
      </c>
      <c r="C109" s="48">
        <v>0</v>
      </c>
      <c r="D109" s="49">
        <f ca="1">((100/(H98))*C109)/100</f>
        <v>0</v>
      </c>
      <c r="E109" s="150"/>
      <c r="F109" s="150"/>
      <c r="G109" s="150"/>
      <c r="H109" s="150"/>
      <c r="I109" s="14" t="s">
        <v>142</v>
      </c>
      <c r="J109" s="27">
        <f>(IF(B98=1,(H98/(B98+3)+J104),IF(B98=0,(H98/4+J104),IF(B98&gt;1,0))))</f>
        <v>0</v>
      </c>
    </row>
    <row r="110" spans="1:14" ht="16.5" thickBot="1" x14ac:dyDescent="0.3">
      <c r="A110" s="127" t="s">
        <v>129</v>
      </c>
      <c r="B110" s="127"/>
      <c r="C110" s="48">
        <v>0</v>
      </c>
      <c r="D110" s="49">
        <f ca="1">((100/(H98))*C110)/100</f>
        <v>0</v>
      </c>
      <c r="E110" s="150"/>
      <c r="F110" s="150"/>
      <c r="G110" s="150"/>
      <c r="H110" s="150"/>
      <c r="I110" s="15" t="s">
        <v>96</v>
      </c>
      <c r="J110" s="29">
        <f ca="1">(IF(B98&gt;1.5,(H98/(B98+2)+J104+MAX(0,J105-J104)+MAX(0,J106-J105)+MAX(0,J107-J106)+MAX(0,J108-J107)+MAX(0,J109-J108)),IF(B98=1,(H98/(B98+3)+J109),IF(B98=0,H98/4+J109))))</f>
        <v>22</v>
      </c>
    </row>
    <row r="111" spans="1:14" x14ac:dyDescent="0.25">
      <c r="A111" s="155" t="s">
        <v>135</v>
      </c>
      <c r="B111" s="155"/>
      <c r="C111" s="155" t="s">
        <v>221</v>
      </c>
      <c r="D111" s="155"/>
      <c r="E111" s="155"/>
      <c r="F111" s="155"/>
      <c r="G111" s="155"/>
      <c r="H111" s="155"/>
      <c r="I111" s="77" t="str">
        <f ca="1">IF(D124=100%,"All work Completed. Possession granted to the Building.",IF(D123=100%,"All work Completed, Waiting for OC",I112&amp;""&amp;I113&amp;""&amp;J112&amp;""&amp;J111&amp;" "&amp;J113))</f>
        <v>Excavation, Plinth, RCC Slab, Brickwork Completed, Internal Plaster upto 20 Floor, External Plaster upto 20 Floor, Flooring upto 12 Floor Completed</v>
      </c>
      <c r="J111" s="43" t="str">
        <f ca="1">(IF(C117=(D112+F112+H112),"",IF(C117&gt;0,", RCC upto "&amp;C117&amp;" Slab","")))&amp;(IF(C118=H112,"",IF(C118&gt;0,", Brickwork upto "&amp;C118&amp;" Floor","")))&amp;(IF(C119=H112,"",IF(C119&gt;0,", Internal Plaster upto "&amp;C119&amp;" Floor","")))&amp;(IF(C120=H112,"",IF(C120&gt;0,", External Plaster upto "&amp;C120&amp;" Floor","")))&amp;(IF(C121=H112,"",IF(C121&gt;0,", Flooring upto "&amp;C121&amp;" Floor","")))&amp;(IF(C122=H112,"",IF(C122&gt;0,", Painting upto "&amp;C122&amp;" Floor","")))&amp;(IF(C123=H112,"",IF(C123&gt;0,", Finishing upto "&amp;C123&amp;" Floor","")))&amp;(IF(C124=H112,"",IF(C124&gt;0,", Possession upto "&amp;C124&amp;" Floor","")))</f>
        <v>, Internal Plaster upto 20 Floor, External Plaster upto 20 Floor, Flooring upto 12 Floor</v>
      </c>
    </row>
    <row r="112" spans="1:14" x14ac:dyDescent="0.25">
      <c r="A112" s="46" t="s">
        <v>137</v>
      </c>
      <c r="B112" s="46">
        <v>2</v>
      </c>
      <c r="C112" s="46" t="s">
        <v>69</v>
      </c>
      <c r="D112" s="46">
        <v>1</v>
      </c>
      <c r="E112" s="46" t="s">
        <v>68</v>
      </c>
      <c r="F112" s="46">
        <v>0</v>
      </c>
      <c r="G112" s="46" t="s">
        <v>77</v>
      </c>
      <c r="H112" s="46">
        <f ca="1">--TRIM(RIGHT(SUBSTITUTE(LEFT(C111,_xlfn.AGGREGATE(16,6,FIND({0,1,2,3,4,5,6,7,8,9},C111,ROW(INDIRECT("1:"&amp;LEN(C111)))),1))," ",REPT(" ",LEN(C111))),LEN(C111)))</f>
        <v>22</v>
      </c>
      <c r="I112" s="78" t="str">
        <f ca="1">IF(D115=100%,"Excavation","")&amp;IF(D116=100%,", Plinth","")&amp;IF(D117=100%,", RCC Slab","")&amp;IF(D118=100%,", Brickwork","")&amp;IF(D119=100%,", Internal Plaster","")&amp;IF(D120=100%,", External Plaster","")&amp;IF(D121=100%,", Flooring","")&amp;IF(D122=100%,", Painting","")&amp;IF(D123=100%,", Building common Amenities","")</f>
        <v>Excavation, Plinth, RCC Slab, Brickwork</v>
      </c>
      <c r="J112" s="45" t="str">
        <f ca="1">(IF(C115=0,"Work not yet Started.",IF(D115=25%,"Piling work in process",IF(D115=50%,"Excavation work in process",IF(D115=100%,"","0")))))&amp;(IF(C116=0%,"",IF(C116=J117,", Footing work is process",IF(C116=J118,", Footing work Completed",IF(C116=J119,", 1st Basement Completed",IF(C116=J120,", 1st &amp; 2nd Basement Completed",IF(C116=J121,", 1st to 3rd Basement Completed",IF(C116=J122,", 1st to 4th Basement Completed",IF(C116=J123,", Plinth work is process",IF(C116=J124,"","0"))))))))))</f>
        <v/>
      </c>
    </row>
    <row r="113" spans="1:14" ht="33" customHeight="1" x14ac:dyDescent="0.25">
      <c r="A113" s="154" t="s">
        <v>87</v>
      </c>
      <c r="B113" s="154"/>
      <c r="C113" s="155" t="str">
        <f ca="1">I111</f>
        <v>Excavation, Plinth, RCC Slab, Brickwork Completed, Internal Plaster upto 20 Floor, External Plaster upto 20 Floor, Flooring upto 12 Floor Completed</v>
      </c>
      <c r="D113" s="155"/>
      <c r="E113" s="155"/>
      <c r="F113" s="155"/>
      <c r="G113" s="155"/>
      <c r="H113" s="155"/>
      <c r="I113" s="78" t="str">
        <f ca="1">IF(I112&lt;&gt;""," Completed","")</f>
        <v xml:space="preserve"> Completed</v>
      </c>
      <c r="J113" s="45" t="str">
        <f ca="1">IF(J111&lt;&gt;"","Completed","")</f>
        <v>Completed</v>
      </c>
    </row>
    <row r="114" spans="1:14" ht="15.75" customHeight="1" x14ac:dyDescent="0.25">
      <c r="A114" s="127" t="s">
        <v>46</v>
      </c>
      <c r="B114" s="127"/>
      <c r="C114" s="48" t="s">
        <v>134</v>
      </c>
      <c r="D114" s="48" t="s">
        <v>80</v>
      </c>
      <c r="E114" s="127" t="s">
        <v>82</v>
      </c>
      <c r="F114" s="127"/>
      <c r="G114" s="127" t="s">
        <v>81</v>
      </c>
      <c r="H114" s="127"/>
      <c r="I114" s="14" t="s">
        <v>136</v>
      </c>
      <c r="J114" s="25">
        <f ca="1">H112*25%</f>
        <v>5.5</v>
      </c>
      <c r="K114" s="60" t="s">
        <v>177</v>
      </c>
      <c r="L114" s="60"/>
      <c r="M114" s="60" t="s">
        <v>178</v>
      </c>
      <c r="N114" s="61">
        <v>44768</v>
      </c>
    </row>
    <row r="115" spans="1:14" x14ac:dyDescent="0.25">
      <c r="A115" s="127" t="s">
        <v>123</v>
      </c>
      <c r="B115" s="127"/>
      <c r="C115" s="48">
        <v>22</v>
      </c>
      <c r="D115" s="49">
        <f ca="1">((100/H112)*C115)/100</f>
        <v>1.0000000000000002</v>
      </c>
      <c r="E115" s="150">
        <f ca="1">(((C116/H112*10)+(40/(D112+F112+H112)*C117)+(7.5/(H112)*C118)+(7.5/(H112)*C119)+(10/H112*C120)+(10/H112*C121)+(5/H112*C122)+(5/H112*C123)+(5/H112*C124))/100)</f>
        <v>0.78863636363636358</v>
      </c>
      <c r="F115" s="150"/>
      <c r="G115" s="150">
        <f ca="1">((((C115/H112)*20)+((C116/H112)*25)+(30/(H112+F112+D112)*C117)+(5/H112*C118)+(5/H112*C119)+(5/H112*C120)+(5/H112*C121)+(0/H112*C122)+(0/H112*C123)+(5/H112*C124))/100)</f>
        <v>0.91818181818181832</v>
      </c>
      <c r="H115" s="150"/>
      <c r="I115" s="14" t="s">
        <v>92</v>
      </c>
      <c r="J115" s="26">
        <f ca="1">H112*50%</f>
        <v>11</v>
      </c>
      <c r="K115" s="60" t="s">
        <v>179</v>
      </c>
      <c r="L115" s="60"/>
      <c r="M115" s="60"/>
      <c r="N115" s="60"/>
    </row>
    <row r="116" spans="1:14" x14ac:dyDescent="0.25">
      <c r="A116" s="127" t="s">
        <v>47</v>
      </c>
      <c r="B116" s="127"/>
      <c r="C116" s="66">
        <f ca="1">J124</f>
        <v>22</v>
      </c>
      <c r="D116" s="49">
        <f ca="1">((100/H112)*C116)/100</f>
        <v>1.0000000000000002</v>
      </c>
      <c r="E116" s="150"/>
      <c r="F116" s="150"/>
      <c r="G116" s="150"/>
      <c r="H116" s="150"/>
      <c r="I116" s="14" t="s">
        <v>93</v>
      </c>
      <c r="J116" s="26">
        <f ca="1">H112</f>
        <v>22</v>
      </c>
    </row>
    <row r="117" spans="1:14" ht="15.75" customHeight="1" x14ac:dyDescent="0.25">
      <c r="A117" s="127" t="s">
        <v>124</v>
      </c>
      <c r="B117" s="127"/>
      <c r="C117" s="48">
        <v>23</v>
      </c>
      <c r="D117" s="49">
        <f ca="1">((100/(D112+F112+H112))*C117)/100</f>
        <v>1</v>
      </c>
      <c r="E117" s="150"/>
      <c r="F117" s="150"/>
      <c r="G117" s="150"/>
      <c r="H117" s="150"/>
      <c r="I117" s="14" t="s">
        <v>94</v>
      </c>
      <c r="J117" s="27">
        <f ca="1">(IF(B112&gt;1,(H112/(B112+2)),H112/4))</f>
        <v>5.5</v>
      </c>
    </row>
    <row r="118" spans="1:14" ht="15.75" customHeight="1" x14ac:dyDescent="0.25">
      <c r="A118" s="127" t="s">
        <v>131</v>
      </c>
      <c r="B118" s="127" t="s">
        <v>125</v>
      </c>
      <c r="C118" s="48">
        <f>C117-D112</f>
        <v>22</v>
      </c>
      <c r="D118" s="49">
        <f ca="1">((100/H112)*C118)/100</f>
        <v>1.0000000000000002</v>
      </c>
      <c r="E118" s="150"/>
      <c r="F118" s="150"/>
      <c r="G118" s="150"/>
      <c r="H118" s="150"/>
      <c r="I118" s="14" t="s">
        <v>95</v>
      </c>
      <c r="J118" s="27">
        <f ca="1">(IF(B112&gt;1,(H112/(B112+2)+J117),H112/4+J117))</f>
        <v>11</v>
      </c>
    </row>
    <row r="119" spans="1:14" ht="15.75" customHeight="1" x14ac:dyDescent="0.25">
      <c r="A119" s="127" t="s">
        <v>132</v>
      </c>
      <c r="B119" s="127" t="s">
        <v>125</v>
      </c>
      <c r="C119" s="66">
        <v>20</v>
      </c>
      <c r="D119" s="49">
        <f ca="1">((100/H112)*C119)/100</f>
        <v>0.90909090909090917</v>
      </c>
      <c r="E119" s="150"/>
      <c r="F119" s="150"/>
      <c r="G119" s="150"/>
      <c r="H119" s="150"/>
      <c r="I119" s="14" t="s">
        <v>141</v>
      </c>
      <c r="J119" s="27">
        <f ca="1">(IF(B112&gt;1,(H112/(B112+2)+J118),0))</f>
        <v>16.5</v>
      </c>
    </row>
    <row r="120" spans="1:14" ht="15" customHeight="1" x14ac:dyDescent="0.25">
      <c r="A120" s="127" t="s">
        <v>130</v>
      </c>
      <c r="B120" s="127" t="s">
        <v>127</v>
      </c>
      <c r="C120" s="66">
        <v>20</v>
      </c>
      <c r="D120" s="49">
        <f ca="1">((100/(H112))*C120)/100</f>
        <v>0.90909090909090917</v>
      </c>
      <c r="E120" s="150"/>
      <c r="F120" s="150"/>
      <c r="G120" s="150"/>
      <c r="H120" s="150"/>
      <c r="I120" s="14" t="s">
        <v>138</v>
      </c>
      <c r="J120" s="27">
        <f>(IF(B112&gt;2,(H112/(B112+2)+J119),0))</f>
        <v>0</v>
      </c>
    </row>
    <row r="121" spans="1:14" ht="15.75" customHeight="1" x14ac:dyDescent="0.25">
      <c r="A121" s="127" t="s">
        <v>126</v>
      </c>
      <c r="B121" s="127" t="s">
        <v>126</v>
      </c>
      <c r="C121" s="48">
        <v>12</v>
      </c>
      <c r="D121" s="49">
        <f ca="1">((100/H112)*C121)/100</f>
        <v>0.54545454545454541</v>
      </c>
      <c r="E121" s="150"/>
      <c r="F121" s="150"/>
      <c r="G121" s="150"/>
      <c r="H121" s="150"/>
      <c r="I121" s="14" t="s">
        <v>139</v>
      </c>
      <c r="J121" s="28">
        <f>(IF(B112&gt;3,(H112/(B112+2)+J120),0))</f>
        <v>0</v>
      </c>
    </row>
    <row r="122" spans="1:14" ht="15.75" customHeight="1" x14ac:dyDescent="0.25">
      <c r="A122" s="127" t="s">
        <v>133</v>
      </c>
      <c r="B122" s="127"/>
      <c r="C122" s="48">
        <v>0</v>
      </c>
      <c r="D122" s="49">
        <f ca="1">((100/H112)*C122)/100</f>
        <v>0</v>
      </c>
      <c r="E122" s="150"/>
      <c r="F122" s="150"/>
      <c r="G122" s="150"/>
      <c r="H122" s="150"/>
      <c r="I122" s="14" t="s">
        <v>140</v>
      </c>
      <c r="J122" s="27">
        <f>(IF(B112&gt;4,(H112/(B112+2)+J121),0))</f>
        <v>0</v>
      </c>
    </row>
    <row r="123" spans="1:14" ht="15.75" customHeight="1" x14ac:dyDescent="0.25">
      <c r="A123" s="127" t="s">
        <v>128</v>
      </c>
      <c r="B123" s="127" t="s">
        <v>128</v>
      </c>
      <c r="C123" s="48">
        <v>0</v>
      </c>
      <c r="D123" s="49">
        <f ca="1">((100/(H112))*C123)/100</f>
        <v>0</v>
      </c>
      <c r="E123" s="150"/>
      <c r="F123" s="150"/>
      <c r="G123" s="150"/>
      <c r="H123" s="150"/>
      <c r="I123" s="14" t="s">
        <v>142</v>
      </c>
      <c r="J123" s="27">
        <f>(IF(B112=1,(H112/(B112+3)+J118),IF(B112=0,(H112/4+J118),IF(B112&gt;1,0))))</f>
        <v>0</v>
      </c>
    </row>
    <row r="124" spans="1:14" ht="16.5" thickBot="1" x14ac:dyDescent="0.3">
      <c r="A124" s="127" t="s">
        <v>129</v>
      </c>
      <c r="B124" s="127"/>
      <c r="C124" s="48">
        <v>0</v>
      </c>
      <c r="D124" s="49">
        <f ca="1">((100/(H112))*C124)/100</f>
        <v>0</v>
      </c>
      <c r="E124" s="150"/>
      <c r="F124" s="150"/>
      <c r="G124" s="150"/>
      <c r="H124" s="150"/>
      <c r="I124" s="15" t="s">
        <v>96</v>
      </c>
      <c r="J124" s="29">
        <f ca="1">(IF(B112&gt;1.5,(H112/(B112+2)+J118+MAX(0,J119-J118)+MAX(0,J120-J119)+MAX(0,J121-J120)+MAX(0,J122-J121)+MAX(0,J123-J122)),IF(B112=1,(H112/(B112+3)+J123),IF(B112=0,H112/4+J123))))</f>
        <v>22</v>
      </c>
    </row>
    <row r="125" spans="1:14" x14ac:dyDescent="0.25">
      <c r="A125" s="186" t="s">
        <v>135</v>
      </c>
      <c r="B125" s="187"/>
      <c r="C125" s="200" t="s">
        <v>234</v>
      </c>
      <c r="D125" s="201"/>
      <c r="E125" s="201"/>
      <c r="F125" s="201"/>
      <c r="G125" s="201"/>
      <c r="H125" s="202"/>
      <c r="I125" s="42" t="str">
        <f ca="1">IF(D138=100%,"All work Completed. Possession granted to the Building.",IF(D137=100%,"All work Completed, Waiting for OC",I126&amp;""&amp;I127&amp;""&amp;J126&amp;""&amp;J125&amp;" "&amp;J127))</f>
        <v>Excavation, Plinth, RCC Slab, Brickwork Completed, Internal Plaster upto 20 Floor, External Plaster upto 20 Floor, Flooring upto 12 Floor, Painting upto 5 Floor Completed</v>
      </c>
      <c r="J125" s="43" t="str">
        <f ca="1">(IF(C131=(D126+F126+H126),"",IF(C131&gt;0,", RCC upto "&amp;C131&amp;" Slab","")))&amp;(IF(C132=H126,"",IF(C132&gt;0,", Brickwork upto "&amp;C132&amp;" Floor","")))&amp;(IF(C133=H126,"",IF(C133&gt;0,", Internal Plaster upto "&amp;C133&amp;" Floor","")))&amp;(IF(C134=H126,"",IF(C134&gt;0,", External Plaster upto "&amp;C134&amp;" Floor","")))&amp;(IF(C135=H126,"",IF(C135&gt;0,", Flooring upto "&amp;C135&amp;" Floor","")))&amp;(IF(C136=H126,"",IF(C136&gt;0,", Painting upto "&amp;C136&amp;" Floor","")))&amp;(IF(C137=H126,"",IF(C137&gt;0,", Finishing upto "&amp;C137&amp;" Floor","")))&amp;(IF(C138=H126,"",IF(C138&gt;0,", Possession upto "&amp;C138&amp;" Floor","")))</f>
        <v>, Internal Plaster upto 20 Floor, External Plaster upto 20 Floor, Flooring upto 12 Floor, Painting upto 5 Floor</v>
      </c>
    </row>
    <row r="126" spans="1:14" x14ac:dyDescent="0.25">
      <c r="A126" s="16" t="s">
        <v>137</v>
      </c>
      <c r="B126" s="46">
        <v>2</v>
      </c>
      <c r="C126" s="46" t="s">
        <v>69</v>
      </c>
      <c r="D126" s="46">
        <v>1</v>
      </c>
      <c r="E126" s="46" t="s">
        <v>68</v>
      </c>
      <c r="F126" s="46">
        <v>0</v>
      </c>
      <c r="G126" s="46" t="s">
        <v>77</v>
      </c>
      <c r="H126" s="17">
        <f ca="1">--TRIM(RIGHT(SUBSTITUTE(LEFT(C125,_xlfn.AGGREGATE(16,6,FIND({0,1,2,3,4,5,6,7,8,9},C125,ROW(INDIRECT("1:"&amp;LEN(C125)))),1))," ",REPT(" ",LEN(C125))),LEN(C125)))</f>
        <v>22</v>
      </c>
      <c r="I126" s="44" t="str">
        <f ca="1">IF(D129=100%,"Excavation","")&amp;IF(D130=100%,", Plinth","")&amp;IF(D131=100%,", RCC Slab","")&amp;IF(D132=100%,", Brickwork","")&amp;IF(D133=100%,", Internal Plaster","")&amp;IF(D134=100%,", External Plaster","")&amp;IF(D135=100%,", Flooring","")&amp;IF(D136=100%,", Painting","")&amp;IF(D137=100%,", Building common Amenities","")</f>
        <v>Excavation, Plinth, RCC Slab, Brickwork</v>
      </c>
      <c r="J126" s="45" t="str">
        <f ca="1">(IF(C129=0,"Work not yet Started.",IF(D129=25%,"Piling work in process",IF(D129=50%,"Excavation work in process",IF(D129=100%,"","0")))))&amp;(IF(C130=0%,"",IF(C130=J131,", Footing work is process",IF(C130=J132,", Footing work Completed",IF(C130=J133,", 1st Basement Completed",IF(C130=J134,", 1st &amp; 2nd Basement Completed",IF(C130=J135,", 1st to 3rd Basement Completed",IF(C130=J136,", 1st to 4th Basement Completed",IF(C130=J137,", Plinth work is process",IF(C130=J138,"","0"))))))))))</f>
        <v/>
      </c>
    </row>
    <row r="127" spans="1:14" ht="33" customHeight="1" x14ac:dyDescent="0.25">
      <c r="A127" s="153" t="s">
        <v>87</v>
      </c>
      <c r="B127" s="154"/>
      <c r="C127" s="155" t="str">
        <f ca="1">I125</f>
        <v>Excavation, Plinth, RCC Slab, Brickwork Completed, Internal Plaster upto 20 Floor, External Plaster upto 20 Floor, Flooring upto 12 Floor, Painting upto 5 Floor Completed</v>
      </c>
      <c r="D127" s="155"/>
      <c r="E127" s="155"/>
      <c r="F127" s="155"/>
      <c r="G127" s="155"/>
      <c r="H127" s="166"/>
      <c r="I127" s="44" t="str">
        <f ca="1">IF(I126&lt;&gt;""," Completed","")</f>
        <v xml:space="preserve"> Completed</v>
      </c>
      <c r="J127" s="45" t="str">
        <f ca="1">IF(J125&lt;&gt;"","Completed","")</f>
        <v>Completed</v>
      </c>
    </row>
    <row r="128" spans="1:14" ht="15.75" customHeight="1" x14ac:dyDescent="0.25">
      <c r="A128" s="129" t="s">
        <v>46</v>
      </c>
      <c r="B128" s="127"/>
      <c r="C128" s="48" t="s">
        <v>134</v>
      </c>
      <c r="D128" s="48" t="s">
        <v>80</v>
      </c>
      <c r="E128" s="127" t="s">
        <v>82</v>
      </c>
      <c r="F128" s="127"/>
      <c r="G128" s="127" t="s">
        <v>81</v>
      </c>
      <c r="H128" s="165"/>
      <c r="I128" s="14" t="s">
        <v>136</v>
      </c>
      <c r="J128" s="25">
        <f ca="1">H126*25%</f>
        <v>5.5</v>
      </c>
      <c r="K128" s="60"/>
      <c r="L128" s="60"/>
      <c r="M128" s="60"/>
      <c r="N128" s="61"/>
    </row>
    <row r="129" spans="1:14" x14ac:dyDescent="0.25">
      <c r="A129" s="129" t="s">
        <v>123</v>
      </c>
      <c r="B129" s="127"/>
      <c r="C129" s="48">
        <f ca="1">J130</f>
        <v>22</v>
      </c>
      <c r="D129" s="49">
        <f ca="1">((100/H126)*C129)/100</f>
        <v>1.0000000000000002</v>
      </c>
      <c r="E129" s="130">
        <f ca="1">(((C130/H126*10)+(40/(D126+F126+H126)*C131)+(7.5/(H126)*C132)+(7.5/(H126)*C133)+(10/H126*C134)+(10/H126*C135)+(5/H126*C136)+(5/H126*C137)+(5/H126*C138))/100)</f>
        <v>0.8</v>
      </c>
      <c r="F129" s="131"/>
      <c r="G129" s="130">
        <f ca="1">((((C129/H126)*20)+((C130/H126)*25)+(30/(H126+F126+D126)*C131)+(5/H126*C132)+(5/H126*C133)+(5/H126*C134)+(5/H126*C135)+(0/H126*C136)+(0/H126*C137)+(5/H126*C138))/100)</f>
        <v>0.91818181818181832</v>
      </c>
      <c r="H129" s="136"/>
      <c r="I129" s="14" t="s">
        <v>92</v>
      </c>
      <c r="J129" s="26">
        <f ca="1">H126*50%</f>
        <v>11</v>
      </c>
      <c r="K129" s="60"/>
      <c r="L129" s="60"/>
      <c r="M129" s="60"/>
      <c r="N129" s="60"/>
    </row>
    <row r="130" spans="1:14" x14ac:dyDescent="0.25">
      <c r="A130" s="129" t="s">
        <v>47</v>
      </c>
      <c r="B130" s="127"/>
      <c r="C130" s="66">
        <v>22</v>
      </c>
      <c r="D130" s="49">
        <f ca="1">((100/H126)*C130)/100</f>
        <v>1.0000000000000002</v>
      </c>
      <c r="E130" s="132"/>
      <c r="F130" s="133"/>
      <c r="G130" s="132"/>
      <c r="H130" s="137"/>
      <c r="I130" s="14" t="s">
        <v>93</v>
      </c>
      <c r="J130" s="26">
        <f ca="1">H126</f>
        <v>22</v>
      </c>
    </row>
    <row r="131" spans="1:14" ht="15.75" customHeight="1" x14ac:dyDescent="0.25">
      <c r="A131" s="129" t="s">
        <v>124</v>
      </c>
      <c r="B131" s="127"/>
      <c r="C131" s="48">
        <v>23</v>
      </c>
      <c r="D131" s="49">
        <f ca="1">((100/(D126+F126+H126))*C131)/100</f>
        <v>1</v>
      </c>
      <c r="E131" s="132"/>
      <c r="F131" s="133"/>
      <c r="G131" s="132"/>
      <c r="H131" s="137"/>
      <c r="I131" s="14" t="s">
        <v>94</v>
      </c>
      <c r="J131" s="27">
        <f ca="1">(IF(B126&gt;1,(H126/(B126+2)),H126/4))</f>
        <v>5.5</v>
      </c>
    </row>
    <row r="132" spans="1:14" ht="15.75" customHeight="1" x14ac:dyDescent="0.25">
      <c r="A132" s="129" t="s">
        <v>131</v>
      </c>
      <c r="B132" s="127" t="s">
        <v>125</v>
      </c>
      <c r="C132" s="48">
        <f>C131-D126</f>
        <v>22</v>
      </c>
      <c r="D132" s="49">
        <f ca="1">((100/H126)*C132)/100</f>
        <v>1.0000000000000002</v>
      </c>
      <c r="E132" s="132"/>
      <c r="F132" s="133"/>
      <c r="G132" s="132"/>
      <c r="H132" s="137"/>
      <c r="I132" s="14" t="s">
        <v>95</v>
      </c>
      <c r="J132" s="27">
        <f ca="1">(IF(B126&gt;1,(H126/(B126+2)+J131),H126/4+J131))</f>
        <v>11</v>
      </c>
    </row>
    <row r="133" spans="1:14" ht="15.75" customHeight="1" x14ac:dyDescent="0.25">
      <c r="A133" s="129" t="s">
        <v>132</v>
      </c>
      <c r="B133" s="127" t="s">
        <v>125</v>
      </c>
      <c r="C133" s="66">
        <v>20</v>
      </c>
      <c r="D133" s="49">
        <f ca="1">((100/H126)*C133)/100</f>
        <v>0.90909090909090917</v>
      </c>
      <c r="E133" s="132"/>
      <c r="F133" s="133"/>
      <c r="G133" s="132"/>
      <c r="H133" s="137"/>
      <c r="I133" s="14" t="s">
        <v>141</v>
      </c>
      <c r="J133" s="27">
        <f ca="1">(IF(B126&gt;1,(H126/(B126+2)+J132),0))</f>
        <v>16.5</v>
      </c>
    </row>
    <row r="134" spans="1:14" ht="15" customHeight="1" x14ac:dyDescent="0.25">
      <c r="A134" s="129" t="s">
        <v>130</v>
      </c>
      <c r="B134" s="127" t="s">
        <v>127</v>
      </c>
      <c r="C134" s="66">
        <v>20</v>
      </c>
      <c r="D134" s="49">
        <f ca="1">((100/(H126))*C134)/100</f>
        <v>0.90909090909090917</v>
      </c>
      <c r="E134" s="132"/>
      <c r="F134" s="133"/>
      <c r="G134" s="132"/>
      <c r="H134" s="137"/>
      <c r="I134" s="14" t="s">
        <v>138</v>
      </c>
      <c r="J134" s="27">
        <f>(IF(B126&gt;2,(H126/(B126+2)+J133),0))</f>
        <v>0</v>
      </c>
    </row>
    <row r="135" spans="1:14" ht="15.75" customHeight="1" x14ac:dyDescent="0.25">
      <c r="A135" s="129" t="s">
        <v>126</v>
      </c>
      <c r="B135" s="127" t="s">
        <v>126</v>
      </c>
      <c r="C135" s="48">
        <v>12</v>
      </c>
      <c r="D135" s="49">
        <f ca="1">((100/H126)*C135)/100</f>
        <v>0.54545454545454541</v>
      </c>
      <c r="E135" s="132"/>
      <c r="F135" s="133"/>
      <c r="G135" s="132"/>
      <c r="H135" s="137"/>
      <c r="I135" s="14" t="s">
        <v>139</v>
      </c>
      <c r="J135" s="28">
        <f>(IF(B126&gt;3,(H126/(B126+2)+J134),0))</f>
        <v>0</v>
      </c>
    </row>
    <row r="136" spans="1:14" ht="15.75" customHeight="1" x14ac:dyDescent="0.25">
      <c r="A136" s="129" t="s">
        <v>133</v>
      </c>
      <c r="B136" s="127"/>
      <c r="C136" s="48">
        <v>5</v>
      </c>
      <c r="D136" s="49">
        <f ca="1">((100/H126)*C136)/100</f>
        <v>0.22727272727272729</v>
      </c>
      <c r="E136" s="132"/>
      <c r="F136" s="133"/>
      <c r="G136" s="132"/>
      <c r="H136" s="137"/>
      <c r="I136" s="14" t="s">
        <v>140</v>
      </c>
      <c r="J136" s="27">
        <f>(IF(B126&gt;4,(H126/(B126+2)+J135),0))</f>
        <v>0</v>
      </c>
    </row>
    <row r="137" spans="1:14" ht="15.75" customHeight="1" x14ac:dyDescent="0.25">
      <c r="A137" s="129" t="s">
        <v>128</v>
      </c>
      <c r="B137" s="127" t="s">
        <v>128</v>
      </c>
      <c r="C137" s="48">
        <v>0</v>
      </c>
      <c r="D137" s="49">
        <f ca="1">((100/(H126))*C137)/100</f>
        <v>0</v>
      </c>
      <c r="E137" s="132"/>
      <c r="F137" s="133"/>
      <c r="G137" s="132"/>
      <c r="H137" s="137"/>
      <c r="I137" s="14" t="s">
        <v>142</v>
      </c>
      <c r="J137" s="27">
        <f>(IF(B126=1,(H126/(B126+3)+J132),IF(B126=0,(H126/4+J132),IF(B126&gt;1,0))))</f>
        <v>0</v>
      </c>
    </row>
    <row r="138" spans="1:14" ht="16.5" thickBot="1" x14ac:dyDescent="0.3">
      <c r="A138" s="139" t="s">
        <v>129</v>
      </c>
      <c r="B138" s="140"/>
      <c r="C138" s="69">
        <v>0</v>
      </c>
      <c r="D138" s="50">
        <f ca="1">((100/(H126))*C138)/100</f>
        <v>0</v>
      </c>
      <c r="E138" s="134"/>
      <c r="F138" s="135"/>
      <c r="G138" s="134"/>
      <c r="H138" s="138"/>
      <c r="I138" s="15" t="s">
        <v>96</v>
      </c>
      <c r="J138" s="29">
        <f ca="1">(IF(B126&gt;1.5,(H126/(B126+2)+J132+MAX(0,J133-J132)+MAX(0,J134-J133)+MAX(0,J135-J134)+MAX(0,J136-J135)+MAX(0,J137-J136)),IF(B126=1,(H126/(B126+3)+J137),IF(B126=0,H126/4+J137))))</f>
        <v>22</v>
      </c>
    </row>
    <row r="139" spans="1:14" x14ac:dyDescent="0.25">
      <c r="A139" s="160" t="s">
        <v>135</v>
      </c>
      <c r="B139" s="161"/>
      <c r="C139" s="162" t="s">
        <v>222</v>
      </c>
      <c r="D139" s="163"/>
      <c r="E139" s="163"/>
      <c r="F139" s="163"/>
      <c r="G139" s="163"/>
      <c r="H139" s="164"/>
      <c r="I139" s="42" t="str">
        <f ca="1">IF(D152=100%,"All work Completed. Possession granted to the Building.",IF(D151=100%,"All work Completed, Waiting for OC",I140&amp;""&amp;I141&amp;""&amp;J140&amp;""&amp;J139&amp;" "&amp;J141))</f>
        <v>Excavation, Plinth, RCC Slab, Brickwork Completed, Internal Plaster upto 18 Floor, External Plaster upto 18 Floor, Flooring upto 11 Floor Completed</v>
      </c>
      <c r="J139" s="43" t="str">
        <f ca="1">(IF(C145=(D140+F140+H140),"",IF(C145&gt;0,", RCC upto "&amp;C145&amp;" Slab","")))&amp;(IF(C146=H140,"",IF(C146&gt;0,", Brickwork upto "&amp;C146&amp;" Floor","")))&amp;(IF(C147=H140,"",IF(C147&gt;0,", Internal Plaster upto "&amp;C147&amp;" Floor","")))&amp;(IF(C148=H140,"",IF(C148&gt;0,", External Plaster upto "&amp;C148&amp;" Floor","")))&amp;(IF(C149=H140,"",IF(C149&gt;0,", Flooring upto "&amp;C149&amp;" Floor","")))&amp;(IF(C150=H140,"",IF(C150&gt;0,", Painting upto "&amp;C150&amp;" Floor","")))&amp;(IF(C151=H140,"",IF(C151&gt;0,", Finishing upto "&amp;C151&amp;" Floor","")))&amp;(IF(C152=H140,"",IF(C152&gt;0,", Possession upto "&amp;C152&amp;" Floor","")))</f>
        <v>, Internal Plaster upto 18 Floor, External Plaster upto 18 Floor, Flooring upto 11 Floor</v>
      </c>
    </row>
    <row r="140" spans="1:14" x14ac:dyDescent="0.25">
      <c r="A140" s="16" t="s">
        <v>137</v>
      </c>
      <c r="B140" s="46">
        <v>2</v>
      </c>
      <c r="C140" s="46" t="s">
        <v>69</v>
      </c>
      <c r="D140" s="46">
        <v>1</v>
      </c>
      <c r="E140" s="46" t="s">
        <v>68</v>
      </c>
      <c r="F140" s="46">
        <v>0</v>
      </c>
      <c r="G140" s="46" t="s">
        <v>77</v>
      </c>
      <c r="H140" s="17">
        <f ca="1">--TRIM(RIGHT(SUBSTITUTE(LEFT(C139,_xlfn.AGGREGATE(16,6,FIND({0,1,2,3,4,5,6,7,8,9},C139,ROW(INDIRECT("1:"&amp;LEN(C139)))),1))," ",REPT(" ",LEN(C139))),LEN(C139)))</f>
        <v>22</v>
      </c>
      <c r="I140" s="44" t="str">
        <f ca="1">IF(D143=100%,"Excavation","")&amp;IF(D144=100%,", Plinth","")&amp;IF(D145=100%,", RCC Slab","")&amp;IF(D146=100%,", Brickwork","")&amp;IF(D147=100%,", Internal Plaster","")&amp;IF(D148=100%,", External Plaster","")&amp;IF(D149=100%,", Flooring","")&amp;IF(D150=100%,", Painting","")&amp;IF(D151=100%,", Building common Amenities","")</f>
        <v>Excavation, Plinth, RCC Slab, Brickwork</v>
      </c>
      <c r="J140" s="45" t="str">
        <f ca="1">(IF(C143=0,"Work not yet Started.",IF(D143=25%,"Piling work in process",IF(D143=50%,"Excavation work in process",IF(D143=100%,"","0")))))&amp;(IF(C144=0%,"",IF(C144=J145,", Footing work is process",IF(C144=J146,", Footing work Completed",IF(C144=J147,", 1st Basement Completed",IF(C144=J148,", 1st &amp; 2nd Basement Completed",IF(C144=J149,", 1st to 3rd Basement Completed",IF(C144=J150,", 1st to 4th Basement Completed",IF(C144=J151,", Plinth work is process",IF(C144=J152,"","0"))))))))))</f>
        <v/>
      </c>
    </row>
    <row r="141" spans="1:14" ht="31.5" customHeight="1" x14ac:dyDescent="0.25">
      <c r="A141" s="153" t="s">
        <v>87</v>
      </c>
      <c r="B141" s="154"/>
      <c r="C141" s="155" t="str">
        <f ca="1">I139</f>
        <v>Excavation, Plinth, RCC Slab, Brickwork Completed, Internal Plaster upto 18 Floor, External Plaster upto 18 Floor, Flooring upto 11 Floor Completed</v>
      </c>
      <c r="D141" s="155"/>
      <c r="E141" s="155"/>
      <c r="F141" s="155"/>
      <c r="G141" s="155"/>
      <c r="H141" s="166"/>
      <c r="I141" s="44" t="str">
        <f ca="1">IF(I140&lt;&gt;""," Completed","")</f>
        <v xml:space="preserve"> Completed</v>
      </c>
      <c r="J141" s="45" t="str">
        <f ca="1">IF(J139&lt;&gt;"","Completed","")</f>
        <v>Completed</v>
      </c>
    </row>
    <row r="142" spans="1:14" ht="15.75" customHeight="1" x14ac:dyDescent="0.25">
      <c r="A142" s="129" t="s">
        <v>46</v>
      </c>
      <c r="B142" s="127"/>
      <c r="C142" s="48" t="s">
        <v>134</v>
      </c>
      <c r="D142" s="48" t="s">
        <v>80</v>
      </c>
      <c r="E142" s="127" t="s">
        <v>82</v>
      </c>
      <c r="F142" s="127"/>
      <c r="G142" s="127" t="s">
        <v>81</v>
      </c>
      <c r="H142" s="165"/>
      <c r="I142" s="14" t="s">
        <v>136</v>
      </c>
      <c r="J142" s="25">
        <f ca="1">H140*25%</f>
        <v>5.5</v>
      </c>
      <c r="K142" s="60" t="s">
        <v>177</v>
      </c>
      <c r="L142" s="60"/>
      <c r="M142" s="60" t="s">
        <v>178</v>
      </c>
      <c r="N142" s="61">
        <v>44768</v>
      </c>
    </row>
    <row r="143" spans="1:14" x14ac:dyDescent="0.25">
      <c r="A143" s="127" t="s">
        <v>123</v>
      </c>
      <c r="B143" s="127"/>
      <c r="C143" s="48">
        <v>22</v>
      </c>
      <c r="D143" s="49">
        <f ca="1">((100/H140)*C143)/100</f>
        <v>1.0000000000000002</v>
      </c>
      <c r="E143" s="150">
        <f ca="1">(((C144/H140*10)+(40/(D140+F140+H140)*C145)+(7.5/(H140)*C146)+(7.5/(H140)*C147)+(10/H140*C148)+(10/H140*C149)+(5/H140*C150)+(5/H140*C151)+(5/H140*C152))/100)</f>
        <v>0.76818181818181808</v>
      </c>
      <c r="F143" s="150"/>
      <c r="G143" s="150">
        <f ca="1">((((C143/H140)*20)+((C144/H140)*25)+(30/(H140+F140+D140)*C145)+(5/H140*C146)+(5/H140*C147)+(5/H140*C148)+(5/H140*C149)+(0/H140*C150)+(0/H140*C151)+(5/H140*C152))/100)</f>
        <v>0.90681818181818186</v>
      </c>
      <c r="H143" s="150"/>
      <c r="I143" s="14" t="s">
        <v>92</v>
      </c>
      <c r="J143" s="26">
        <f ca="1">H140*50%</f>
        <v>11</v>
      </c>
      <c r="K143" s="60" t="s">
        <v>179</v>
      </c>
      <c r="L143" s="60"/>
      <c r="M143" s="60"/>
      <c r="N143" s="60"/>
    </row>
    <row r="144" spans="1:14" x14ac:dyDescent="0.25">
      <c r="A144" s="127" t="s">
        <v>47</v>
      </c>
      <c r="B144" s="127"/>
      <c r="C144" s="66">
        <f ca="1">J152</f>
        <v>22</v>
      </c>
      <c r="D144" s="49">
        <f ca="1">((100/H140)*C144)/100</f>
        <v>1.0000000000000002</v>
      </c>
      <c r="E144" s="150"/>
      <c r="F144" s="150"/>
      <c r="G144" s="150"/>
      <c r="H144" s="150"/>
      <c r="I144" s="14" t="s">
        <v>93</v>
      </c>
      <c r="J144" s="26">
        <f ca="1">H140</f>
        <v>22</v>
      </c>
    </row>
    <row r="145" spans="1:14" ht="15.75" customHeight="1" x14ac:dyDescent="0.25">
      <c r="A145" s="127" t="s">
        <v>124</v>
      </c>
      <c r="B145" s="127"/>
      <c r="C145" s="48">
        <v>23</v>
      </c>
      <c r="D145" s="49">
        <f ca="1">((100/(D140+F140+H140))*C145)/100</f>
        <v>1</v>
      </c>
      <c r="E145" s="150"/>
      <c r="F145" s="150"/>
      <c r="G145" s="150"/>
      <c r="H145" s="150"/>
      <c r="I145" s="14" t="s">
        <v>94</v>
      </c>
      <c r="J145" s="27">
        <f ca="1">(IF(B140&gt;1,(H140/(B140+2)),H140/4))</f>
        <v>5.5</v>
      </c>
    </row>
    <row r="146" spans="1:14" ht="15.75" customHeight="1" x14ac:dyDescent="0.25">
      <c r="A146" s="127" t="s">
        <v>131</v>
      </c>
      <c r="B146" s="127" t="s">
        <v>125</v>
      </c>
      <c r="C146" s="48">
        <f>C145-D140</f>
        <v>22</v>
      </c>
      <c r="D146" s="49">
        <f ca="1">((100/H140)*C146)/100</f>
        <v>1.0000000000000002</v>
      </c>
      <c r="E146" s="150"/>
      <c r="F146" s="150"/>
      <c r="G146" s="150"/>
      <c r="H146" s="150"/>
      <c r="I146" s="14" t="s">
        <v>95</v>
      </c>
      <c r="J146" s="27">
        <f ca="1">(IF(B140&gt;1,(H140/(B140+2)+J145),H140/4+J145))</f>
        <v>11</v>
      </c>
    </row>
    <row r="147" spans="1:14" ht="15.75" customHeight="1" x14ac:dyDescent="0.25">
      <c r="A147" s="127" t="s">
        <v>132</v>
      </c>
      <c r="B147" s="127" t="s">
        <v>125</v>
      </c>
      <c r="C147" s="66">
        <v>18</v>
      </c>
      <c r="D147" s="49">
        <f ca="1">((100/H140)*C147)/100</f>
        <v>0.81818181818181823</v>
      </c>
      <c r="E147" s="150"/>
      <c r="F147" s="150"/>
      <c r="G147" s="150"/>
      <c r="H147" s="150"/>
      <c r="I147" s="14" t="s">
        <v>141</v>
      </c>
      <c r="J147" s="27">
        <f ca="1">(IF(B140&gt;1,(H140/(B140+2)+J146),0))</f>
        <v>16.5</v>
      </c>
    </row>
    <row r="148" spans="1:14" ht="15" customHeight="1" x14ac:dyDescent="0.25">
      <c r="A148" s="127" t="s">
        <v>130</v>
      </c>
      <c r="B148" s="127" t="s">
        <v>127</v>
      </c>
      <c r="C148" s="66">
        <v>18</v>
      </c>
      <c r="D148" s="49">
        <f ca="1">((100/(H140))*C148)/100</f>
        <v>0.81818181818181823</v>
      </c>
      <c r="E148" s="150"/>
      <c r="F148" s="150"/>
      <c r="G148" s="150"/>
      <c r="H148" s="150"/>
      <c r="I148" s="14" t="s">
        <v>138</v>
      </c>
      <c r="J148" s="27">
        <f>(IF(B140&gt;2,(H140/(B140+2)+J147),0))</f>
        <v>0</v>
      </c>
    </row>
    <row r="149" spans="1:14" ht="15.75" customHeight="1" x14ac:dyDescent="0.25">
      <c r="A149" s="127" t="s">
        <v>126</v>
      </c>
      <c r="B149" s="127" t="s">
        <v>126</v>
      </c>
      <c r="C149" s="48">
        <v>11</v>
      </c>
      <c r="D149" s="49">
        <f ca="1">((100/H140)*C149)/100</f>
        <v>0.50000000000000011</v>
      </c>
      <c r="E149" s="150"/>
      <c r="F149" s="150"/>
      <c r="G149" s="150"/>
      <c r="H149" s="150"/>
      <c r="I149" s="14" t="s">
        <v>139</v>
      </c>
      <c r="J149" s="28">
        <f>(IF(B140&gt;3,(H140/(B140+2)+J148),0))</f>
        <v>0</v>
      </c>
    </row>
    <row r="150" spans="1:14" ht="15.75" customHeight="1" x14ac:dyDescent="0.25">
      <c r="A150" s="127" t="s">
        <v>133</v>
      </c>
      <c r="B150" s="127"/>
      <c r="C150" s="48">
        <v>0</v>
      </c>
      <c r="D150" s="49">
        <f ca="1">((100/H140)*C150)/100</f>
        <v>0</v>
      </c>
      <c r="E150" s="150"/>
      <c r="F150" s="150"/>
      <c r="G150" s="150"/>
      <c r="H150" s="150"/>
      <c r="I150" s="14" t="s">
        <v>140</v>
      </c>
      <c r="J150" s="27">
        <f>(IF(B140&gt;4,(H140/(B140+2)+J149),0))</f>
        <v>0</v>
      </c>
    </row>
    <row r="151" spans="1:14" ht="15.75" customHeight="1" x14ac:dyDescent="0.25">
      <c r="A151" s="127" t="s">
        <v>128</v>
      </c>
      <c r="B151" s="127" t="s">
        <v>128</v>
      </c>
      <c r="C151" s="48">
        <v>0</v>
      </c>
      <c r="D151" s="49">
        <f ca="1">((100/(H140))*C151)/100</f>
        <v>0</v>
      </c>
      <c r="E151" s="150"/>
      <c r="F151" s="150"/>
      <c r="G151" s="150"/>
      <c r="H151" s="150"/>
      <c r="I151" s="14" t="s">
        <v>142</v>
      </c>
      <c r="J151" s="27">
        <f>(IF(B140=1,(H140/(B140+3)+J146),IF(B140=0,(H140/4+J146),IF(B140&gt;1,0))))</f>
        <v>0</v>
      </c>
    </row>
    <row r="152" spans="1:14" ht="16.5" thickBot="1" x14ac:dyDescent="0.3">
      <c r="A152" s="127" t="s">
        <v>129</v>
      </c>
      <c r="B152" s="127"/>
      <c r="C152" s="48">
        <v>0</v>
      </c>
      <c r="D152" s="49">
        <f ca="1">((100/(H140))*C152)/100</f>
        <v>0</v>
      </c>
      <c r="E152" s="150"/>
      <c r="F152" s="150"/>
      <c r="G152" s="150"/>
      <c r="H152" s="150"/>
      <c r="I152" s="15" t="s">
        <v>96</v>
      </c>
      <c r="J152" s="29">
        <f ca="1">(IF(B140&gt;1.5,(H140/(B140+2)+J146+MAX(0,J147-J146)+MAX(0,J148-J147)+MAX(0,J149-J148)+MAX(0,J150-J149)+MAX(0,J151-J150)),IF(B140=1,(H140/(B140+3)+J151),IF(B140=0,H140/4+J151))))</f>
        <v>22</v>
      </c>
    </row>
    <row r="153" spans="1:14" x14ac:dyDescent="0.25">
      <c r="A153" s="155" t="s">
        <v>135</v>
      </c>
      <c r="B153" s="155"/>
      <c r="C153" s="155" t="s">
        <v>276</v>
      </c>
      <c r="D153" s="155"/>
      <c r="E153" s="155"/>
      <c r="F153" s="155"/>
      <c r="G153" s="155"/>
      <c r="H153" s="155"/>
      <c r="I153" s="77" t="str">
        <f ca="1">IF(D166=100%,"All work Completed. Possession granted to the Building.",IF(D165=100%,"All work Completed, Waiting for OC",I154&amp;""&amp;I155&amp;""&amp;J154&amp;""&amp;J153&amp;" "&amp;J155))</f>
        <v>Excavation, Plinth Completed, RCC upto 5 Slab Completed</v>
      </c>
      <c r="J153" s="43" t="str">
        <f ca="1">(IF(C159=(D154+F154+H154),"",IF(C159&gt;0,", RCC upto "&amp;C159&amp;" Slab","")))&amp;(IF(C160=H154,"",IF(C160&gt;0,", Brickwork upto "&amp;C160&amp;" Floor","")))&amp;(IF(C161=H154,"",IF(C161&gt;0,", Internal Plaster upto "&amp;C161&amp;" Floor","")))&amp;(IF(C162=H154,"",IF(C162&gt;0,", External Plaster upto "&amp;C162&amp;" Floor","")))&amp;(IF(C163=H154,"",IF(C163&gt;0,", Flooring upto "&amp;C163&amp;" Floor","")))&amp;(IF(C164=H154,"",IF(C164&gt;0,", Painting upto "&amp;C164&amp;" Floor","")))&amp;(IF(C165=H154,"",IF(C165&gt;0,", Finishing upto "&amp;C165&amp;" Floor","")))&amp;(IF(C166=H154,"",IF(C166&gt;0,", Possession upto "&amp;C166&amp;" Floor","")))</f>
        <v>, RCC upto 5 Slab</v>
      </c>
    </row>
    <row r="154" spans="1:14" x14ac:dyDescent="0.25">
      <c r="A154" s="46" t="s">
        <v>137</v>
      </c>
      <c r="B154" s="46">
        <v>2</v>
      </c>
      <c r="C154" s="46" t="s">
        <v>69</v>
      </c>
      <c r="D154" s="46">
        <v>1</v>
      </c>
      <c r="E154" s="46" t="s">
        <v>68</v>
      </c>
      <c r="F154" s="46">
        <v>0</v>
      </c>
      <c r="G154" s="46" t="s">
        <v>77</v>
      </c>
      <c r="H154" s="46">
        <f ca="1">--TRIM(RIGHT(SUBSTITUTE(LEFT(C153,_xlfn.AGGREGATE(16,6,FIND({0,1,2,3,4,5,6,7,8,9},C153,ROW(INDIRECT("1:"&amp;LEN(C153)))),1))," ",REPT(" ",LEN(C153))),LEN(C153)))</f>
        <v>22</v>
      </c>
      <c r="I154" s="78" t="str">
        <f ca="1">IF(D157=100%,"Excavation","")&amp;IF(D158=100%,", Plinth","")&amp;IF(D159=100%,", RCC Slab","")&amp;IF(D160=100%,", Brickwork","")&amp;IF(D161=100%,", Internal Plaster","")&amp;IF(D162=100%,", External Plaster","")&amp;IF(D163=100%,", Flooring","")&amp;IF(D164=100%,", Painting","")&amp;IF(D165=100%,", Building common Amenities","")</f>
        <v>Excavation, Plinth</v>
      </c>
      <c r="J154" s="45" t="str">
        <f ca="1">(IF(C157=0,"Work not yet Started.",IF(D157=25%,"Piling work in process",IF(D157=50%,"Excavation work in process",IF(D157=100%,"","0")))))&amp;(IF(C158=0%,"",IF(C158=J159,", Footing work is process",IF(C158=J160,", Footing work Completed",IF(C158=J161,", 1st Basement Completed",IF(C158=J162,", 1st &amp; 2nd Basement Completed",IF(C158=J163,", 1st to 3rd Basement Completed",IF(C158=J164,", 1st to 4th Basement Completed",IF(C158=J165,", Plinth work is process",IF(C158=J166,"","0"))))))))))</f>
        <v/>
      </c>
    </row>
    <row r="155" spans="1:14" x14ac:dyDescent="0.25">
      <c r="A155" s="154" t="s">
        <v>87</v>
      </c>
      <c r="B155" s="154"/>
      <c r="C155" s="155" t="str">
        <f ca="1">I153</f>
        <v>Excavation, Plinth Completed, RCC upto 5 Slab Completed</v>
      </c>
      <c r="D155" s="155"/>
      <c r="E155" s="155"/>
      <c r="F155" s="155"/>
      <c r="G155" s="155"/>
      <c r="H155" s="155"/>
      <c r="I155" s="78" t="str">
        <f ca="1">IF(I154&lt;&gt;""," Completed","")</f>
        <v xml:space="preserve"> Completed</v>
      </c>
      <c r="J155" s="45" t="str">
        <f ca="1">IF(J153&lt;&gt;"","Completed","")</f>
        <v>Completed</v>
      </c>
    </row>
    <row r="156" spans="1:14" ht="15.75" customHeight="1" x14ac:dyDescent="0.25">
      <c r="A156" s="127" t="s">
        <v>46</v>
      </c>
      <c r="B156" s="127"/>
      <c r="C156" s="48" t="s">
        <v>134</v>
      </c>
      <c r="D156" s="48" t="s">
        <v>80</v>
      </c>
      <c r="E156" s="127" t="s">
        <v>82</v>
      </c>
      <c r="F156" s="127"/>
      <c r="G156" s="127" t="s">
        <v>81</v>
      </c>
      <c r="H156" s="127"/>
      <c r="I156" s="14" t="s">
        <v>136</v>
      </c>
      <c r="J156" s="25">
        <f ca="1">H154*25%</f>
        <v>5.5</v>
      </c>
      <c r="K156" s="60" t="s">
        <v>177</v>
      </c>
      <c r="L156" s="60"/>
      <c r="M156" s="60" t="s">
        <v>178</v>
      </c>
      <c r="N156" s="61">
        <v>44768</v>
      </c>
    </row>
    <row r="157" spans="1:14" x14ac:dyDescent="0.25">
      <c r="A157" s="127" t="s">
        <v>123</v>
      </c>
      <c r="B157" s="127"/>
      <c r="C157" s="48">
        <f ca="1">J158</f>
        <v>22</v>
      </c>
      <c r="D157" s="49">
        <f ca="1">((100/H154)*C157)/100</f>
        <v>1.0000000000000002</v>
      </c>
      <c r="E157" s="150">
        <f ca="1">(((C158/H154*10)+(40/(D154+F154+H154)*C159)+(7.5/(H154)*C160)+(7.5/(H154)*C161)+(10/H154*C162)+(10/H154*C163)+(5/H154*C164)+(5/H154*C165)+(5/H154*C166))/100)</f>
        <v>0.18695652173913044</v>
      </c>
      <c r="F157" s="150"/>
      <c r="G157" s="150">
        <f ca="1">((((C157/H154)*20)+((C158/H154)*25)+(30/(H154+F154+D154)*C159)+(5/H154*C160)+(5/H154*C161)+(5/H154*C162)+(5/H154*C163)+(0/H154*C164)+(0/H154*C165)+(5/H154*C166))/100)</f>
        <v>0.51521739130434785</v>
      </c>
      <c r="H157" s="150"/>
      <c r="I157" s="14" t="s">
        <v>92</v>
      </c>
      <c r="J157" s="26">
        <f ca="1">H154*50%</f>
        <v>11</v>
      </c>
      <c r="K157" s="60" t="s">
        <v>179</v>
      </c>
      <c r="L157" s="60"/>
      <c r="M157" s="60"/>
      <c r="N157" s="60"/>
    </row>
    <row r="158" spans="1:14" x14ac:dyDescent="0.25">
      <c r="A158" s="127" t="s">
        <v>47</v>
      </c>
      <c r="B158" s="127"/>
      <c r="C158" s="66">
        <f ca="1">J166</f>
        <v>22</v>
      </c>
      <c r="D158" s="49">
        <f ca="1">((100/H154)*C158)/100</f>
        <v>1.0000000000000002</v>
      </c>
      <c r="E158" s="150"/>
      <c r="F158" s="150"/>
      <c r="G158" s="150"/>
      <c r="H158" s="150"/>
      <c r="I158" s="14" t="s">
        <v>93</v>
      </c>
      <c r="J158" s="26">
        <f ca="1">H154</f>
        <v>22</v>
      </c>
    </row>
    <row r="159" spans="1:14" ht="15.75" customHeight="1" x14ac:dyDescent="0.25">
      <c r="A159" s="127" t="s">
        <v>124</v>
      </c>
      <c r="B159" s="127"/>
      <c r="C159" s="48">
        <v>5</v>
      </c>
      <c r="D159" s="49">
        <f ca="1">((100/(D154+F154+H154))*C159)/100</f>
        <v>0.21739130434782608</v>
      </c>
      <c r="E159" s="150"/>
      <c r="F159" s="150"/>
      <c r="G159" s="150"/>
      <c r="H159" s="150"/>
      <c r="I159" s="14" t="s">
        <v>94</v>
      </c>
      <c r="J159" s="27">
        <f ca="1">(IF(B154&gt;1,(H154/(B154+2)),H154/4))</f>
        <v>5.5</v>
      </c>
    </row>
    <row r="160" spans="1:14" ht="15.75" customHeight="1" x14ac:dyDescent="0.25">
      <c r="A160" s="127" t="s">
        <v>131</v>
      </c>
      <c r="B160" s="127" t="s">
        <v>125</v>
      </c>
      <c r="C160" s="48">
        <v>0</v>
      </c>
      <c r="D160" s="49">
        <f ca="1">((100/H154)*C160)/100</f>
        <v>0</v>
      </c>
      <c r="E160" s="150"/>
      <c r="F160" s="150"/>
      <c r="G160" s="150"/>
      <c r="H160" s="150"/>
      <c r="I160" s="14" t="s">
        <v>95</v>
      </c>
      <c r="J160" s="27">
        <f ca="1">(IF(B154&gt;1,(H154/(B154+2)+J159),H154/4+J159))</f>
        <v>11</v>
      </c>
    </row>
    <row r="161" spans="1:14" ht="15.75" customHeight="1" x14ac:dyDescent="0.25">
      <c r="A161" s="127" t="s">
        <v>132</v>
      </c>
      <c r="B161" s="127" t="s">
        <v>125</v>
      </c>
      <c r="C161" s="48">
        <v>0</v>
      </c>
      <c r="D161" s="49">
        <f ca="1">((100/H154)*C161)/100</f>
        <v>0</v>
      </c>
      <c r="E161" s="150"/>
      <c r="F161" s="150"/>
      <c r="G161" s="150"/>
      <c r="H161" s="150"/>
      <c r="I161" s="14" t="s">
        <v>141</v>
      </c>
      <c r="J161" s="27">
        <f ca="1">(IF(B154&gt;1,(H154/(B154+2)+J160),0))</f>
        <v>16.5</v>
      </c>
    </row>
    <row r="162" spans="1:14" ht="15" customHeight="1" x14ac:dyDescent="0.25">
      <c r="A162" s="127" t="s">
        <v>130</v>
      </c>
      <c r="B162" s="127" t="s">
        <v>127</v>
      </c>
      <c r="C162" s="48">
        <v>0</v>
      </c>
      <c r="D162" s="49">
        <f ca="1">((100/(H154))*C162)/100</f>
        <v>0</v>
      </c>
      <c r="E162" s="150"/>
      <c r="F162" s="150"/>
      <c r="G162" s="150"/>
      <c r="H162" s="150"/>
      <c r="I162" s="14" t="s">
        <v>138</v>
      </c>
      <c r="J162" s="27">
        <f>(IF(B154&gt;2,(H154/(B154+2)+J161),0))</f>
        <v>0</v>
      </c>
    </row>
    <row r="163" spans="1:14" ht="15.75" customHeight="1" x14ac:dyDescent="0.25">
      <c r="A163" s="127" t="s">
        <v>126</v>
      </c>
      <c r="B163" s="127" t="s">
        <v>126</v>
      </c>
      <c r="C163" s="48">
        <v>0</v>
      </c>
      <c r="D163" s="49">
        <f ca="1">((100/H154)*C163)/100</f>
        <v>0</v>
      </c>
      <c r="E163" s="150"/>
      <c r="F163" s="150"/>
      <c r="G163" s="150"/>
      <c r="H163" s="150"/>
      <c r="I163" s="14" t="s">
        <v>139</v>
      </c>
      <c r="J163" s="28">
        <f>(IF(B154&gt;3,(H154/(B154+2)+J162),0))</f>
        <v>0</v>
      </c>
    </row>
    <row r="164" spans="1:14" ht="15.75" customHeight="1" x14ac:dyDescent="0.25">
      <c r="A164" s="127" t="s">
        <v>133</v>
      </c>
      <c r="B164" s="127"/>
      <c r="C164" s="48">
        <v>0</v>
      </c>
      <c r="D164" s="49">
        <f ca="1">((100/H154)*C164)/100</f>
        <v>0</v>
      </c>
      <c r="E164" s="150"/>
      <c r="F164" s="150"/>
      <c r="G164" s="150"/>
      <c r="H164" s="150"/>
      <c r="I164" s="14" t="s">
        <v>140</v>
      </c>
      <c r="J164" s="27">
        <f>(IF(B154&gt;4,(H154/(B154+2)+J163),0))</f>
        <v>0</v>
      </c>
    </row>
    <row r="165" spans="1:14" ht="15.75" customHeight="1" x14ac:dyDescent="0.25">
      <c r="A165" s="127" t="s">
        <v>128</v>
      </c>
      <c r="B165" s="127" t="s">
        <v>128</v>
      </c>
      <c r="C165" s="48">
        <v>0</v>
      </c>
      <c r="D165" s="49">
        <f ca="1">((100/(H154))*C165)/100</f>
        <v>0</v>
      </c>
      <c r="E165" s="150"/>
      <c r="F165" s="150"/>
      <c r="G165" s="150"/>
      <c r="H165" s="150"/>
      <c r="I165" s="14" t="s">
        <v>142</v>
      </c>
      <c r="J165" s="27">
        <f>(IF(B154=1,(H154/(B154+3)+J160),IF(B154=0,(H154/4+J160),IF(B154&gt;1,0))))</f>
        <v>0</v>
      </c>
    </row>
    <row r="166" spans="1:14" ht="16.5" thickBot="1" x14ac:dyDescent="0.3">
      <c r="A166" s="127" t="s">
        <v>129</v>
      </c>
      <c r="B166" s="127"/>
      <c r="C166" s="48">
        <v>0</v>
      </c>
      <c r="D166" s="49">
        <f ca="1">((100/(H154))*C166)/100</f>
        <v>0</v>
      </c>
      <c r="E166" s="150"/>
      <c r="F166" s="150"/>
      <c r="G166" s="150"/>
      <c r="H166" s="150"/>
      <c r="I166" s="15" t="s">
        <v>96</v>
      </c>
      <c r="J166" s="29">
        <f ca="1">(IF(B154&gt;1.5,(H154/(B154+2)+J160+MAX(0,J161-J160)+MAX(0,J162-J161)+MAX(0,J163-J162)+MAX(0,J164-J163)+MAX(0,J165-J164)),IF(B154=1,(H154/(B154+3)+J165),IF(B154=0,H154/4+J165))))</f>
        <v>22</v>
      </c>
    </row>
    <row r="167" spans="1:14" x14ac:dyDescent="0.25">
      <c r="A167" s="186" t="s">
        <v>135</v>
      </c>
      <c r="B167" s="187"/>
      <c r="C167" s="200" t="str">
        <f>D74</f>
        <v xml:space="preserve">Building No. 2 (Wing A &amp; B) = 3B + G/St + 1st to 22nd Floor
</v>
      </c>
      <c r="D167" s="201"/>
      <c r="E167" s="201"/>
      <c r="F167" s="201"/>
      <c r="G167" s="201"/>
      <c r="H167" s="202"/>
      <c r="I167" s="42" t="str">
        <f ca="1">IF(D180=100%,"All work Completed. Possession granted to the Building.",IF(D179=100%,"All work Completed, Waiting for OC",I168&amp;""&amp;I169&amp;""&amp;J168&amp;""&amp;J167&amp;" "&amp;J169))</f>
        <v>Excavation, Plinth, RCC Slab, Brickwork, Internal Plaster Completed, External Plaster upto 20 Floor, Flooring upto 16 Floor, Painting upto 10 Floor Completed</v>
      </c>
      <c r="J167" s="43" t="str">
        <f ca="1">(IF(C173=(D168+F168+H168),"",IF(C173&gt;0,", RCC upto "&amp;C173&amp;" Slab","")))&amp;(IF(C174=H168,"",IF(C174&gt;0,", Brickwork upto "&amp;C174&amp;" Floor","")))&amp;(IF(C175=H168,"",IF(C175&gt;0,", Internal Plaster upto "&amp;C175&amp;" Floor","")))&amp;(IF(C176=H168,"",IF(C176&gt;0,", External Plaster upto "&amp;C176&amp;" Floor","")))&amp;(IF(C177=H168,"",IF(C177&gt;0,", Flooring upto "&amp;C177&amp;" Floor","")))&amp;(IF(C178=H168,"",IF(C178&gt;0,", Painting upto "&amp;C178&amp;" Floor","")))&amp;(IF(C179=H168,"",IF(C179&gt;0,", Finishing upto "&amp;C179&amp;" Floor","")))&amp;(IF(C180=H168,"",IF(C180&gt;0,", Possession upto "&amp;C180&amp;" Floor","")))</f>
        <v>, External Plaster upto 20 Floor, Flooring upto 16 Floor, Painting upto 10 Floor</v>
      </c>
    </row>
    <row r="168" spans="1:14" x14ac:dyDescent="0.25">
      <c r="A168" s="16" t="s">
        <v>137</v>
      </c>
      <c r="B168" s="46">
        <v>3</v>
      </c>
      <c r="C168" s="46" t="s">
        <v>69</v>
      </c>
      <c r="D168" s="46">
        <v>1</v>
      </c>
      <c r="E168" s="46" t="s">
        <v>68</v>
      </c>
      <c r="F168" s="46">
        <v>0</v>
      </c>
      <c r="G168" s="46" t="s">
        <v>77</v>
      </c>
      <c r="H168" s="17">
        <f ca="1">--TRIM(RIGHT(SUBSTITUTE(LEFT(C167,_xlfn.AGGREGATE(16,6,FIND({0,1,2,3,4,5,6,7,8,9},C167,ROW(INDIRECT("1:"&amp;LEN(C167)))),1))," ",REPT(" ",LEN(C167))),LEN(C167)))</f>
        <v>22</v>
      </c>
      <c r="I168" s="44" t="str">
        <f ca="1">IF(D171=100%,"Excavation","")&amp;IF(D172=100%,", Plinth","")&amp;IF(D173=100%,", RCC Slab","")&amp;IF(D174=100%,", Brickwork","")&amp;IF(D175=100%,", Internal Plaster","")&amp;IF(D176=100%,", External Plaster","")&amp;IF(D177=100%,", Flooring","")&amp;IF(D178=100%,", Painting","")&amp;IF(D179=100%,", Building common Amenities","")</f>
        <v>Excavation, Plinth, RCC Slab, Brickwork, Internal Plaster</v>
      </c>
      <c r="J168" s="45" t="str">
        <f ca="1">(IF(C171=0,"Work not yet Started.",IF(D171=25%,"Piling work in process",IF(D171=50%,"Excavation work in process",IF(D171=100%,"","0")))))&amp;(IF(C172=0%,"",IF(C172=J173,", Footing work is process",IF(C172=J174,", Footing work Completed",IF(C172=J175,", 1st Basement Completed",IF(C172=J176,", 1st &amp; 2nd Basement Completed",IF(C172=J177,", 1st to 3rd Basement Completed",IF(C172=J178,", 1st to 4th Basement Completed",IF(C172=J179,", Plinth work is process",IF(C172=J180,"","0"))))))))))</f>
        <v/>
      </c>
    </row>
    <row r="169" spans="1:14" ht="32.25" customHeight="1" x14ac:dyDescent="0.25">
      <c r="A169" s="153" t="s">
        <v>87</v>
      </c>
      <c r="B169" s="154"/>
      <c r="C169" s="155" t="str">
        <f ca="1">I167</f>
        <v>Excavation, Plinth, RCC Slab, Brickwork, Internal Plaster Completed, External Plaster upto 20 Floor, Flooring upto 16 Floor, Painting upto 10 Floor Completed</v>
      </c>
      <c r="D169" s="155"/>
      <c r="E169" s="155"/>
      <c r="F169" s="155"/>
      <c r="G169" s="155"/>
      <c r="H169" s="166"/>
      <c r="I169" s="44" t="str">
        <f ca="1">IF(I168&lt;&gt;""," Completed","")</f>
        <v xml:space="preserve"> Completed</v>
      </c>
      <c r="J169" s="45" t="str">
        <f ca="1">IF(J167&lt;&gt;"","Completed","")</f>
        <v>Completed</v>
      </c>
    </row>
    <row r="170" spans="1:14" ht="15.75" customHeight="1" x14ac:dyDescent="0.25">
      <c r="A170" s="129" t="s">
        <v>46</v>
      </c>
      <c r="B170" s="127"/>
      <c r="C170" s="48" t="s">
        <v>134</v>
      </c>
      <c r="D170" s="48" t="s">
        <v>80</v>
      </c>
      <c r="E170" s="127" t="s">
        <v>82</v>
      </c>
      <c r="F170" s="127"/>
      <c r="G170" s="127" t="s">
        <v>81</v>
      </c>
      <c r="H170" s="165"/>
      <c r="I170" s="14" t="s">
        <v>136</v>
      </c>
      <c r="J170" s="25">
        <f ca="1">H168*25%</f>
        <v>5.5</v>
      </c>
      <c r="K170" s="60" t="s">
        <v>177</v>
      </c>
      <c r="L170" s="60"/>
      <c r="M170" s="60" t="s">
        <v>178</v>
      </c>
      <c r="N170" s="61">
        <v>44768</v>
      </c>
    </row>
    <row r="171" spans="1:14" x14ac:dyDescent="0.25">
      <c r="A171" s="129" t="s">
        <v>123</v>
      </c>
      <c r="B171" s="127"/>
      <c r="C171" s="48">
        <v>22</v>
      </c>
      <c r="D171" s="49">
        <f ca="1">((100/H168)*C171)/100</f>
        <v>1.0000000000000002</v>
      </c>
      <c r="E171" s="130">
        <f ca="1">(((C172/H168*10)+(40/(D168+F168+H168)*C173)+(7.5/(H168)*C174)+(7.5/(H168)*C175)+(10/H168*C176)+(10/H168*C177)+(5/H168*C178)+(5/H168*C179)+(5/H168*C180))/100)</f>
        <v>0.83636363636363631</v>
      </c>
      <c r="F171" s="131"/>
      <c r="G171" s="130">
        <f ca="1">((((C171/H168)*20)+((C172/H168)*25)+(30/(H168+F168+D168)*C173)+(5/H168*C174)+(5/H168*C175)+(5/H168*C176)+(5/H168*C177)+(0/H168*C178)+(0/H168*C179)+(5/H168*C180))/100)</f>
        <v>0.93181818181818188</v>
      </c>
      <c r="H171" s="136"/>
      <c r="I171" s="14" t="s">
        <v>92</v>
      </c>
      <c r="J171" s="26">
        <f ca="1">H168*50%</f>
        <v>11</v>
      </c>
      <c r="K171" s="60" t="s">
        <v>179</v>
      </c>
      <c r="L171" s="60"/>
      <c r="M171" s="60"/>
      <c r="N171" s="60"/>
    </row>
    <row r="172" spans="1:14" x14ac:dyDescent="0.25">
      <c r="A172" s="129" t="s">
        <v>47</v>
      </c>
      <c r="B172" s="127"/>
      <c r="C172" s="66">
        <v>22</v>
      </c>
      <c r="D172" s="49">
        <f ca="1">((100/H168)*C172)/100</f>
        <v>1.0000000000000002</v>
      </c>
      <c r="E172" s="132"/>
      <c r="F172" s="133"/>
      <c r="G172" s="132"/>
      <c r="H172" s="137"/>
      <c r="I172" s="14" t="s">
        <v>93</v>
      </c>
      <c r="J172" s="26">
        <f ca="1">H168</f>
        <v>22</v>
      </c>
    </row>
    <row r="173" spans="1:14" ht="15.75" customHeight="1" x14ac:dyDescent="0.25">
      <c r="A173" s="129" t="s">
        <v>124</v>
      </c>
      <c r="B173" s="127"/>
      <c r="C173" s="48">
        <f>D168+22</f>
        <v>23</v>
      </c>
      <c r="D173" s="49">
        <f ca="1">((100/(D168+F168+H168))*C173)/100</f>
        <v>1</v>
      </c>
      <c r="E173" s="132"/>
      <c r="F173" s="133"/>
      <c r="G173" s="132"/>
      <c r="H173" s="137"/>
      <c r="I173" s="14" t="s">
        <v>94</v>
      </c>
      <c r="J173" s="27">
        <f ca="1">(IF(B168&gt;1,(H168/(B168+2)),H168/4))</f>
        <v>4.4000000000000004</v>
      </c>
    </row>
    <row r="174" spans="1:14" ht="15.75" customHeight="1" x14ac:dyDescent="0.25">
      <c r="A174" s="129" t="s">
        <v>131</v>
      </c>
      <c r="B174" s="127" t="s">
        <v>125</v>
      </c>
      <c r="C174" s="48">
        <f>C173-1</f>
        <v>22</v>
      </c>
      <c r="D174" s="49">
        <f ca="1">((100/H168)*C174)/100</f>
        <v>1.0000000000000002</v>
      </c>
      <c r="E174" s="132"/>
      <c r="F174" s="133"/>
      <c r="G174" s="132"/>
      <c r="H174" s="137"/>
      <c r="I174" s="14" t="s">
        <v>95</v>
      </c>
      <c r="J174" s="27">
        <f ca="1">(IF(B168&gt;1,(H168/(B168+2)+J173),H168/4+J173))</f>
        <v>8.8000000000000007</v>
      </c>
    </row>
    <row r="175" spans="1:14" ht="15.75" customHeight="1" x14ac:dyDescent="0.25">
      <c r="A175" s="129" t="s">
        <v>132</v>
      </c>
      <c r="B175" s="127" t="s">
        <v>125</v>
      </c>
      <c r="C175" s="66">
        <v>22</v>
      </c>
      <c r="D175" s="49">
        <f ca="1">((100/H168)*C175)/100</f>
        <v>1.0000000000000002</v>
      </c>
      <c r="E175" s="132"/>
      <c r="F175" s="133"/>
      <c r="G175" s="132"/>
      <c r="H175" s="137"/>
      <c r="I175" s="14" t="s">
        <v>141</v>
      </c>
      <c r="J175" s="27">
        <f ca="1">(IF(B168&gt;1,(H168/(B168+2)+J174),0))</f>
        <v>13.200000000000001</v>
      </c>
    </row>
    <row r="176" spans="1:14" ht="15" customHeight="1" x14ac:dyDescent="0.25">
      <c r="A176" s="129" t="s">
        <v>130</v>
      </c>
      <c r="B176" s="127" t="s">
        <v>127</v>
      </c>
      <c r="C176" s="66">
        <v>20</v>
      </c>
      <c r="D176" s="49">
        <f ca="1">((100/(H168))*C176)/100</f>
        <v>0.90909090909090917</v>
      </c>
      <c r="E176" s="132"/>
      <c r="F176" s="133"/>
      <c r="G176" s="132"/>
      <c r="H176" s="137"/>
      <c r="I176" s="14" t="s">
        <v>138</v>
      </c>
      <c r="J176" s="27">
        <f ca="1">(IF(B168&gt;2,(H168/(B168+2)+J175),0))</f>
        <v>17.600000000000001</v>
      </c>
    </row>
    <row r="177" spans="1:14" ht="15.75" customHeight="1" x14ac:dyDescent="0.25">
      <c r="A177" s="129" t="s">
        <v>126</v>
      </c>
      <c r="B177" s="127" t="s">
        <v>126</v>
      </c>
      <c r="C177" s="48">
        <v>16</v>
      </c>
      <c r="D177" s="49">
        <f ca="1">((100/H168)*C177)/100</f>
        <v>0.72727272727272729</v>
      </c>
      <c r="E177" s="132"/>
      <c r="F177" s="133"/>
      <c r="G177" s="132"/>
      <c r="H177" s="137"/>
      <c r="I177" s="14" t="s">
        <v>139</v>
      </c>
      <c r="J177" s="28">
        <f>(IF(B168&gt;3,(H168/(B168+2)+J176),0))</f>
        <v>0</v>
      </c>
    </row>
    <row r="178" spans="1:14" ht="15.75" customHeight="1" x14ac:dyDescent="0.25">
      <c r="A178" s="129" t="s">
        <v>133</v>
      </c>
      <c r="B178" s="127"/>
      <c r="C178" s="48">
        <v>10</v>
      </c>
      <c r="D178" s="49">
        <f ca="1">((100/H168)*C178)/100</f>
        <v>0.45454545454545459</v>
      </c>
      <c r="E178" s="132"/>
      <c r="F178" s="133"/>
      <c r="G178" s="132"/>
      <c r="H178" s="137"/>
      <c r="I178" s="14" t="s">
        <v>140</v>
      </c>
      <c r="J178" s="27">
        <f>(IF(B168&gt;4,(H168/(B168+2)+J177),0))</f>
        <v>0</v>
      </c>
    </row>
    <row r="179" spans="1:14" ht="15.75" customHeight="1" x14ac:dyDescent="0.25">
      <c r="A179" s="129" t="s">
        <v>128</v>
      </c>
      <c r="B179" s="127" t="s">
        <v>128</v>
      </c>
      <c r="C179" s="48">
        <v>0</v>
      </c>
      <c r="D179" s="49">
        <f ca="1">((100/(H168))*C179)/100</f>
        <v>0</v>
      </c>
      <c r="E179" s="132"/>
      <c r="F179" s="133"/>
      <c r="G179" s="132"/>
      <c r="H179" s="137"/>
      <c r="I179" s="14" t="s">
        <v>142</v>
      </c>
      <c r="J179" s="27">
        <f>(IF(B168=1,(H168/(B168+3)+J174),IF(B168=0,(H168/4+J174),IF(B168&gt;1,0))))</f>
        <v>0</v>
      </c>
    </row>
    <row r="180" spans="1:14" ht="16.5" thickBot="1" x14ac:dyDescent="0.3">
      <c r="A180" s="139" t="s">
        <v>129</v>
      </c>
      <c r="B180" s="140"/>
      <c r="C180" s="69">
        <v>0</v>
      </c>
      <c r="D180" s="50">
        <f ca="1">((100/(H168))*C180)/100</f>
        <v>0</v>
      </c>
      <c r="E180" s="134"/>
      <c r="F180" s="135"/>
      <c r="G180" s="134"/>
      <c r="H180" s="138"/>
      <c r="I180" s="15" t="s">
        <v>96</v>
      </c>
      <c r="J180" s="29">
        <f ca="1">(IF(B168&gt;1.5,(H168/(B168+2)+J174+MAX(0,J175-J174)+MAX(0,J176-J175)+MAX(0,J177-J176)+MAX(0,J178-J177)+MAX(0,J179-J178)),IF(B168=1,(H168/(B168+3)+J179),IF(B168=0,H168/4+J179))))</f>
        <v>22</v>
      </c>
    </row>
    <row r="181" spans="1:14" x14ac:dyDescent="0.25">
      <c r="A181" s="160" t="s">
        <v>135</v>
      </c>
      <c r="B181" s="161"/>
      <c r="C181" s="162" t="str">
        <f>D75</f>
        <v xml:space="preserve">Building No. 2 (Wing C) = 3B + G/St + 1st to 22nd Floor
</v>
      </c>
      <c r="D181" s="163"/>
      <c r="E181" s="163"/>
      <c r="F181" s="163"/>
      <c r="G181" s="163"/>
      <c r="H181" s="164"/>
      <c r="I181" s="42" t="str">
        <f ca="1">IF(D194=100%,"All work Completed. Possession granted to the Building.",IF(D193=100%,"All work Completed, Waiting for OC",I182&amp;""&amp;I183&amp;""&amp;J182&amp;""&amp;J181&amp;" "&amp;J183))</f>
        <v>Excavation, Plinth Completed, RCC upto 19 Slab, Brickwork upto 18 Floor, Internal Plaster upto 13.5 Floor, External Plaster upto 9.45 Floor Completed</v>
      </c>
      <c r="J181" s="43" t="str">
        <f ca="1">(IF(C187=(D182+F182+H182),"",IF(C187&gt;0,", RCC upto "&amp;C187&amp;" Slab","")))&amp;(IF(C188=H182,"",IF(C188&gt;0,", Brickwork upto "&amp;C188&amp;" Floor","")))&amp;(IF(C189=H182,"",IF(C189&gt;0,", Internal Plaster upto "&amp;C189&amp;" Floor","")))&amp;(IF(C190=H182,"",IF(C190&gt;0,", External Plaster upto "&amp;C190&amp;" Floor","")))&amp;(IF(C191=H182,"",IF(C191&gt;0,", Flooring upto "&amp;C191&amp;" Floor","")))&amp;(IF(C192=H182,"",IF(C192&gt;0,", Painting upto "&amp;C192&amp;" Floor","")))&amp;(IF(C193=H182,"",IF(C193&gt;0,", Finishing upto "&amp;C193&amp;" Floor","")))&amp;(IF(C194=H182,"",IF(C194&gt;0,", Possession upto "&amp;C194&amp;" Floor","")))</f>
        <v>, RCC upto 19 Slab, Brickwork upto 18 Floor, Internal Plaster upto 13.5 Floor, External Plaster upto 9.45 Floor</v>
      </c>
    </row>
    <row r="182" spans="1:14" x14ac:dyDescent="0.25">
      <c r="A182" s="16" t="s">
        <v>137</v>
      </c>
      <c r="B182" s="46">
        <v>3</v>
      </c>
      <c r="C182" s="46" t="s">
        <v>69</v>
      </c>
      <c r="D182" s="46">
        <v>1</v>
      </c>
      <c r="E182" s="46" t="s">
        <v>68</v>
      </c>
      <c r="F182" s="46">
        <v>0</v>
      </c>
      <c r="G182" s="46" t="s">
        <v>77</v>
      </c>
      <c r="H182" s="17">
        <f ca="1">--TRIM(RIGHT(SUBSTITUTE(LEFT(C181,_xlfn.AGGREGATE(16,6,FIND({0,1,2,3,4,5,6,7,8,9},C181,ROW(INDIRECT("1:"&amp;LEN(C181)))),1))," ",REPT(" ",LEN(C181))),LEN(C181)))</f>
        <v>22</v>
      </c>
      <c r="I182" s="44" t="str">
        <f ca="1">IF(D185=100%,"Excavation","")&amp;IF(D186=100%,", Plinth","")&amp;IF(D187=100%,", RCC Slab","")&amp;IF(D188=100%,", Brickwork","")&amp;IF(D189=100%,", Internal Plaster","")&amp;IF(D190=100%,", External Plaster","")&amp;IF(D191=100%,", Flooring","")&amp;IF(D192=100%,", Painting","")&amp;IF(D193=100%,", Building common Amenities","")</f>
        <v>Excavation, Plinth</v>
      </c>
      <c r="J182" s="45" t="str">
        <f ca="1">(IF(C185=0,"Work not yet Started.",IF(D185=25%,"Piling work in process",IF(D185=50%,"Excavation work in process",IF(D185=100%,"","0")))))&amp;(IF(C186=0%,"",IF(C186=J187,", Footing work is process",IF(C186=J188,", Footing work Completed",IF(C186=J189,", 1st Basement Completed",IF(C186=J190,", 1st &amp; 2nd Basement Completed",IF(C186=J191,", 1st to 3rd Basement Completed",IF(C186=J192,", 1st to 4th Basement Completed",IF(C186=J193,", Plinth work is process",IF(C186=J194,"","0"))))))))))</f>
        <v/>
      </c>
    </row>
    <row r="183" spans="1:14" ht="34.15" customHeight="1" x14ac:dyDescent="0.25">
      <c r="A183" s="153" t="s">
        <v>87</v>
      </c>
      <c r="B183" s="154"/>
      <c r="C183" s="155" t="str">
        <f ca="1">I181</f>
        <v>Excavation, Plinth Completed, RCC upto 19 Slab, Brickwork upto 18 Floor, Internal Plaster upto 13.5 Floor, External Plaster upto 9.45 Floor Completed</v>
      </c>
      <c r="D183" s="155"/>
      <c r="E183" s="155"/>
      <c r="F183" s="155"/>
      <c r="G183" s="155"/>
      <c r="H183" s="166"/>
      <c r="I183" s="44" t="str">
        <f ca="1">IF(I182&lt;&gt;""," Completed","")</f>
        <v xml:space="preserve"> Completed</v>
      </c>
      <c r="J183" s="45" t="str">
        <f ca="1">IF(J181&lt;&gt;"","Completed","")</f>
        <v>Completed</v>
      </c>
    </row>
    <row r="184" spans="1:14" ht="15.75" customHeight="1" x14ac:dyDescent="0.25">
      <c r="A184" s="129" t="s">
        <v>46</v>
      </c>
      <c r="B184" s="127"/>
      <c r="C184" s="48" t="s">
        <v>134</v>
      </c>
      <c r="D184" s="48" t="s">
        <v>80</v>
      </c>
      <c r="E184" s="127" t="s">
        <v>82</v>
      </c>
      <c r="F184" s="127"/>
      <c r="G184" s="127" t="s">
        <v>81</v>
      </c>
      <c r="H184" s="165"/>
      <c r="I184" s="14" t="s">
        <v>136</v>
      </c>
      <c r="J184" s="25">
        <f ca="1">H182*25%</f>
        <v>5.5</v>
      </c>
      <c r="K184" s="60"/>
      <c r="L184" s="60"/>
      <c r="M184" s="60"/>
      <c r="N184" s="61"/>
    </row>
    <row r="185" spans="1:14" x14ac:dyDescent="0.25">
      <c r="A185" s="127" t="s">
        <v>123</v>
      </c>
      <c r="B185" s="127"/>
      <c r="C185" s="48">
        <f ca="1">J186</f>
        <v>22</v>
      </c>
      <c r="D185" s="49">
        <f ca="1">((100/H182)*C185)/100</f>
        <v>1.0000000000000002</v>
      </c>
      <c r="E185" s="150">
        <f ca="1">(((C186/H182*10)+(40/(D182+F182+H182)*C187)+(7.5/(H182)*C188)+(7.5/(H182)*C189)+(10/H182*C190)+(10/H182*C191)+(5/H182*C192)+(5/H182*C193)+(5/H182*C194))/100)</f>
        <v>0.58077569169960475</v>
      </c>
      <c r="F185" s="150"/>
      <c r="G185" s="150">
        <f ca="1">((((C185/H182)*20)+((C186/H182)*25)+(30/(H182+F182+D182)*C187)+(5/H182*C188)+(5/H182*C189)+(5/H182*C190)+(5/H182*C191)+(0/H182*C192)+(0/H182*C193)+(5/H182*C194))/100)</f>
        <v>0.79089426877470348</v>
      </c>
      <c r="H185" s="150"/>
      <c r="I185" s="14" t="s">
        <v>92</v>
      </c>
      <c r="J185" s="26">
        <f ca="1">H182*50%</f>
        <v>11</v>
      </c>
      <c r="K185" s="60"/>
      <c r="L185" s="60"/>
      <c r="M185" s="60"/>
      <c r="N185" s="60"/>
    </row>
    <row r="186" spans="1:14" x14ac:dyDescent="0.25">
      <c r="A186" s="127" t="s">
        <v>47</v>
      </c>
      <c r="B186" s="127"/>
      <c r="C186" s="66">
        <f ca="1">J194</f>
        <v>22</v>
      </c>
      <c r="D186" s="49">
        <f ca="1">((100/H182)*C186)/100</f>
        <v>1.0000000000000002</v>
      </c>
      <c r="E186" s="150"/>
      <c r="F186" s="150"/>
      <c r="G186" s="150"/>
      <c r="H186" s="150"/>
      <c r="I186" s="14" t="s">
        <v>93</v>
      </c>
      <c r="J186" s="26">
        <f ca="1">H182</f>
        <v>22</v>
      </c>
    </row>
    <row r="187" spans="1:14" ht="15.75" customHeight="1" x14ac:dyDescent="0.25">
      <c r="A187" s="127" t="s">
        <v>124</v>
      </c>
      <c r="B187" s="127"/>
      <c r="C187" s="48">
        <v>19</v>
      </c>
      <c r="D187" s="49">
        <f ca="1">((100/(D182+F182+H182))*C187)/100</f>
        <v>0.82608695652173902</v>
      </c>
      <c r="E187" s="150"/>
      <c r="F187" s="150"/>
      <c r="G187" s="150"/>
      <c r="H187" s="150"/>
      <c r="I187" s="14" t="s">
        <v>94</v>
      </c>
      <c r="J187" s="27">
        <f ca="1">(IF(B182&gt;1,(H182/(B182+2)),H182/4))</f>
        <v>4.4000000000000004</v>
      </c>
    </row>
    <row r="188" spans="1:14" ht="15.75" customHeight="1" x14ac:dyDescent="0.25">
      <c r="A188" s="127" t="s">
        <v>131</v>
      </c>
      <c r="B188" s="127" t="s">
        <v>125</v>
      </c>
      <c r="C188" s="48">
        <f>C187-1</f>
        <v>18</v>
      </c>
      <c r="D188" s="49">
        <f ca="1">((100/H182)*C188)/100</f>
        <v>0.81818181818181823</v>
      </c>
      <c r="E188" s="150"/>
      <c r="F188" s="150"/>
      <c r="G188" s="150"/>
      <c r="H188" s="150"/>
      <c r="I188" s="14" t="s">
        <v>95</v>
      </c>
      <c r="J188" s="27">
        <f ca="1">(IF(B182&gt;1,(H182/(B182+2)+J187),H182/4+J187))</f>
        <v>8.8000000000000007</v>
      </c>
      <c r="L188" s="22">
        <v>45331</v>
      </c>
      <c r="M188" s="18" t="s">
        <v>257</v>
      </c>
    </row>
    <row r="189" spans="1:14" ht="15.75" customHeight="1" x14ac:dyDescent="0.25">
      <c r="A189" s="127" t="s">
        <v>132</v>
      </c>
      <c r="B189" s="127" t="s">
        <v>125</v>
      </c>
      <c r="C189" s="66">
        <f>C188*0.75</f>
        <v>13.5</v>
      </c>
      <c r="D189" s="49">
        <f ca="1">((100/H182)*C189)/100</f>
        <v>0.61363636363636365</v>
      </c>
      <c r="E189" s="150"/>
      <c r="F189" s="150"/>
      <c r="G189" s="150"/>
      <c r="H189" s="150"/>
      <c r="I189" s="14" t="s">
        <v>141</v>
      </c>
      <c r="J189" s="27">
        <f ca="1">(IF(B182&gt;1,(H182/(B182+2)+J188),0))</f>
        <v>13.200000000000001</v>
      </c>
    </row>
    <row r="190" spans="1:14" ht="15" customHeight="1" x14ac:dyDescent="0.25">
      <c r="A190" s="127" t="s">
        <v>130</v>
      </c>
      <c r="B190" s="127" t="s">
        <v>127</v>
      </c>
      <c r="C190" s="66">
        <f>C189*0.7</f>
        <v>9.4499999999999993</v>
      </c>
      <c r="D190" s="49">
        <f ca="1">((100/(H182))*C190)/100</f>
        <v>0.42954545454545451</v>
      </c>
      <c r="E190" s="150"/>
      <c r="F190" s="150"/>
      <c r="G190" s="150"/>
      <c r="H190" s="150"/>
      <c r="I190" s="14" t="s">
        <v>138</v>
      </c>
      <c r="J190" s="27">
        <f ca="1">(IF(B182&gt;2,(H182/(B182+2)+J189),0))</f>
        <v>17.600000000000001</v>
      </c>
    </row>
    <row r="191" spans="1:14" ht="15.75" customHeight="1" x14ac:dyDescent="0.25">
      <c r="A191" s="127" t="s">
        <v>126</v>
      </c>
      <c r="B191" s="127" t="s">
        <v>126</v>
      </c>
      <c r="C191" s="48">
        <v>0</v>
      </c>
      <c r="D191" s="49">
        <f ca="1">((100/H182)*C191)/100</f>
        <v>0</v>
      </c>
      <c r="E191" s="150"/>
      <c r="F191" s="150"/>
      <c r="G191" s="150"/>
      <c r="H191" s="150"/>
      <c r="I191" s="14" t="s">
        <v>139</v>
      </c>
      <c r="J191" s="28">
        <f>(IF(B182&gt;3,(H182/(B182+2)+J190),0))</f>
        <v>0</v>
      </c>
    </row>
    <row r="192" spans="1:14" ht="15.75" customHeight="1" x14ac:dyDescent="0.25">
      <c r="A192" s="127" t="s">
        <v>133</v>
      </c>
      <c r="B192" s="127"/>
      <c r="C192" s="48">
        <v>0</v>
      </c>
      <c r="D192" s="49">
        <f ca="1">((100/H182)*C192)/100</f>
        <v>0</v>
      </c>
      <c r="E192" s="150"/>
      <c r="F192" s="150"/>
      <c r="G192" s="150"/>
      <c r="H192" s="150"/>
      <c r="I192" s="14" t="s">
        <v>140</v>
      </c>
      <c r="J192" s="27">
        <f>(IF(B182&gt;4,(H182/(B182+2)+J191),0))</f>
        <v>0</v>
      </c>
    </row>
    <row r="193" spans="1:13" ht="15.75" customHeight="1" x14ac:dyDescent="0.25">
      <c r="A193" s="127" t="s">
        <v>128</v>
      </c>
      <c r="B193" s="127" t="s">
        <v>128</v>
      </c>
      <c r="C193" s="48">
        <v>0</v>
      </c>
      <c r="D193" s="49">
        <f ca="1">((100/(H182))*C193)/100</f>
        <v>0</v>
      </c>
      <c r="E193" s="150"/>
      <c r="F193" s="150"/>
      <c r="G193" s="150"/>
      <c r="H193" s="150"/>
      <c r="I193" s="14" t="s">
        <v>142</v>
      </c>
      <c r="J193" s="27">
        <f>(IF(B182=1,(H182/(B182+3)+J188),IF(B182=0,(H182/4+J188),IF(B182&gt;1,0))))</f>
        <v>0</v>
      </c>
    </row>
    <row r="194" spans="1:13" ht="16.5" thickBot="1" x14ac:dyDescent="0.3">
      <c r="A194" s="127" t="s">
        <v>129</v>
      </c>
      <c r="B194" s="127"/>
      <c r="C194" s="48">
        <v>0</v>
      </c>
      <c r="D194" s="49">
        <f ca="1">((100/(H182))*C194)/100</f>
        <v>0</v>
      </c>
      <c r="E194" s="150"/>
      <c r="F194" s="150"/>
      <c r="G194" s="150"/>
      <c r="H194" s="150"/>
      <c r="I194" s="15" t="s">
        <v>96</v>
      </c>
      <c r="J194" s="29">
        <f ca="1">(IF(B182&gt;1.5,(H182/(B182+2)+J188+MAX(0,J189-J188)+MAX(0,J190-J189)+MAX(0,J191-J190)+MAX(0,J192-J191)+MAX(0,J193-J192)),IF(B182=1,(H182/(B182+3)+J193),IF(B182=0,H182/4+J193))))</f>
        <v>22</v>
      </c>
    </row>
    <row r="195" spans="1:13" x14ac:dyDescent="0.25">
      <c r="A195" s="237" t="s">
        <v>151</v>
      </c>
      <c r="B195" s="237"/>
      <c r="C195" s="237"/>
      <c r="D195" s="237"/>
      <c r="E195" s="237"/>
      <c r="F195" s="148" t="s">
        <v>155</v>
      </c>
      <c r="G195" s="148"/>
      <c r="H195" s="148"/>
      <c r="I195" s="51" t="s">
        <v>217</v>
      </c>
      <c r="J195" s="51"/>
      <c r="K195" s="51" t="s">
        <v>218</v>
      </c>
      <c r="L195" s="51" t="s">
        <v>219</v>
      </c>
      <c r="M195" s="68">
        <v>45097</v>
      </c>
    </row>
    <row r="196" spans="1:13" x14ac:dyDescent="0.25">
      <c r="A196" s="142" t="s">
        <v>153</v>
      </c>
      <c r="B196" s="142"/>
      <c r="C196" s="142"/>
      <c r="D196" s="142"/>
      <c r="E196" s="142"/>
      <c r="F196" s="143">
        <v>22500</v>
      </c>
      <c r="G196" s="143"/>
      <c r="H196" s="143"/>
      <c r="I196" s="18" t="s">
        <v>359</v>
      </c>
    </row>
    <row r="197" spans="1:13" hidden="1" x14ac:dyDescent="0.25">
      <c r="A197" s="142" t="s">
        <v>152</v>
      </c>
      <c r="B197" s="142"/>
      <c r="C197" s="142"/>
      <c r="D197" s="142"/>
      <c r="E197" s="142"/>
      <c r="F197" s="143"/>
      <c r="G197" s="143"/>
      <c r="H197" s="143"/>
    </row>
    <row r="198" spans="1:13" hidden="1" x14ac:dyDescent="0.25">
      <c r="A198" s="142" t="s">
        <v>154</v>
      </c>
      <c r="B198" s="142"/>
      <c r="C198" s="142"/>
      <c r="D198" s="142"/>
      <c r="E198" s="142"/>
      <c r="F198" s="143"/>
      <c r="G198" s="143"/>
      <c r="H198" s="143"/>
      <c r="K198" s="33"/>
    </row>
    <row r="199" spans="1:13" s="30" customFormat="1" x14ac:dyDescent="0.25">
      <c r="A199" s="142" t="s">
        <v>358</v>
      </c>
      <c r="B199" s="142"/>
      <c r="C199" s="142"/>
      <c r="D199" s="142"/>
      <c r="E199" s="142"/>
      <c r="F199" s="143">
        <v>100</v>
      </c>
      <c r="G199" s="143"/>
      <c r="H199" s="143"/>
      <c r="K199" s="33"/>
    </row>
    <row r="200" spans="1:13" x14ac:dyDescent="0.25">
      <c r="A200" s="128" t="s">
        <v>235</v>
      </c>
      <c r="B200" s="128"/>
      <c r="C200" s="128"/>
      <c r="D200" s="128"/>
      <c r="E200" s="128"/>
      <c r="F200" s="141">
        <v>22500</v>
      </c>
      <c r="G200" s="141"/>
      <c r="H200" s="141"/>
      <c r="I200" s="51" t="s">
        <v>236</v>
      </c>
      <c r="J200" s="51"/>
      <c r="K200" s="51"/>
      <c r="L200" s="51"/>
      <c r="M200" s="68"/>
    </row>
    <row r="201" spans="1:13" hidden="1" x14ac:dyDescent="0.25">
      <c r="A201" s="128" t="s">
        <v>152</v>
      </c>
      <c r="B201" s="128"/>
      <c r="C201" s="128"/>
      <c r="D201" s="128"/>
      <c r="E201" s="128"/>
      <c r="F201" s="141"/>
      <c r="G201" s="141"/>
      <c r="H201" s="141"/>
    </row>
    <row r="202" spans="1:13" hidden="1" x14ac:dyDescent="0.25">
      <c r="A202" s="128" t="s">
        <v>154</v>
      </c>
      <c r="B202" s="128"/>
      <c r="C202" s="128"/>
      <c r="D202" s="128"/>
      <c r="E202" s="128"/>
      <c r="F202" s="141"/>
      <c r="G202" s="141"/>
      <c r="H202" s="141"/>
      <c r="K202" s="33"/>
    </row>
    <row r="203" spans="1:13" s="30" customFormat="1" x14ac:dyDescent="0.25">
      <c r="A203" s="128" t="s">
        <v>360</v>
      </c>
      <c r="B203" s="128"/>
      <c r="C203" s="128"/>
      <c r="D203" s="128"/>
      <c r="E203" s="128"/>
      <c r="F203" s="141">
        <v>100</v>
      </c>
      <c r="G203" s="141"/>
      <c r="H203" s="141"/>
      <c r="K203" s="33"/>
    </row>
    <row r="204" spans="1:13" s="30" customFormat="1" x14ac:dyDescent="0.25">
      <c r="A204" s="142" t="s">
        <v>216</v>
      </c>
      <c r="B204" s="142"/>
      <c r="C204" s="142"/>
      <c r="D204" s="142"/>
      <c r="E204" s="142"/>
      <c r="F204" s="143">
        <v>250000</v>
      </c>
      <c r="G204" s="143"/>
      <c r="H204" s="143"/>
    </row>
    <row r="205" spans="1:13" s="30" customFormat="1" x14ac:dyDescent="0.25">
      <c r="A205" s="142" t="s">
        <v>212</v>
      </c>
      <c r="B205" s="142"/>
      <c r="C205" s="142"/>
      <c r="D205" s="142"/>
      <c r="E205" s="142"/>
      <c r="F205" s="143">
        <v>10000</v>
      </c>
      <c r="G205" s="143"/>
      <c r="H205" s="143"/>
    </row>
    <row r="206" spans="1:13" s="30" customFormat="1" hidden="1" x14ac:dyDescent="0.25">
      <c r="A206" s="142" t="s">
        <v>156</v>
      </c>
      <c r="B206" s="142"/>
      <c r="C206" s="142"/>
      <c r="D206" s="142"/>
      <c r="E206" s="142"/>
      <c r="F206" s="143">
        <v>15000</v>
      </c>
      <c r="G206" s="143"/>
      <c r="H206" s="143"/>
    </row>
    <row r="207" spans="1:13" s="30" customFormat="1" x14ac:dyDescent="0.25">
      <c r="A207" s="142" t="s">
        <v>213</v>
      </c>
      <c r="B207" s="142"/>
      <c r="C207" s="142"/>
      <c r="D207" s="142"/>
      <c r="E207" s="142"/>
      <c r="F207" s="143">
        <v>100000</v>
      </c>
      <c r="G207" s="143"/>
      <c r="H207" s="143"/>
    </row>
    <row r="208" spans="1:13" s="30" customFormat="1" x14ac:dyDescent="0.25">
      <c r="A208" s="142" t="s">
        <v>214</v>
      </c>
      <c r="B208" s="142"/>
      <c r="C208" s="142"/>
      <c r="D208" s="142"/>
      <c r="E208" s="142"/>
      <c r="F208" s="143">
        <v>100000</v>
      </c>
      <c r="G208" s="143"/>
      <c r="H208" s="143"/>
    </row>
    <row r="209" spans="1:8" s="30" customFormat="1" x14ac:dyDescent="0.25">
      <c r="A209" s="142" t="s">
        <v>215</v>
      </c>
      <c r="B209" s="142"/>
      <c r="C209" s="142"/>
      <c r="D209" s="142"/>
      <c r="E209" s="142"/>
      <c r="F209" s="143">
        <v>50000</v>
      </c>
      <c r="G209" s="143"/>
      <c r="H209" s="143"/>
    </row>
    <row r="210" spans="1:8" s="30" customFormat="1" x14ac:dyDescent="0.25">
      <c r="A210" s="142" t="s">
        <v>91</v>
      </c>
      <c r="B210" s="142"/>
      <c r="C210" s="142"/>
      <c r="D210" s="142"/>
      <c r="E210" s="142"/>
      <c r="F210" s="143">
        <v>160000</v>
      </c>
      <c r="G210" s="143"/>
      <c r="H210" s="143"/>
    </row>
    <row r="211" spans="1:8" x14ac:dyDescent="0.25">
      <c r="A211" s="142" t="s">
        <v>48</v>
      </c>
      <c r="B211" s="142"/>
      <c r="C211" s="142"/>
      <c r="D211" s="142"/>
      <c r="E211" s="142"/>
      <c r="F211" s="143">
        <v>1000000</v>
      </c>
      <c r="G211" s="143"/>
      <c r="H211" s="143"/>
    </row>
    <row r="212" spans="1:8" s="31" customFormat="1" x14ac:dyDescent="0.25">
      <c r="A212" s="237" t="s">
        <v>49</v>
      </c>
      <c r="B212" s="237"/>
      <c r="C212" s="237"/>
      <c r="D212" s="237"/>
      <c r="E212" s="237"/>
      <c r="F212" s="143">
        <f>F196*0.8</f>
        <v>18000</v>
      </c>
      <c r="G212" s="143"/>
      <c r="H212" s="143"/>
    </row>
    <row r="213" spans="1:8" s="32" customFormat="1" ht="15.75" hidden="1" customHeight="1" x14ac:dyDescent="0.25">
      <c r="A213" s="247" t="s">
        <v>72</v>
      </c>
      <c r="B213" s="247"/>
      <c r="C213" s="247"/>
      <c r="D213" s="247"/>
      <c r="E213" s="247"/>
      <c r="F213" s="247"/>
      <c r="G213" s="247"/>
      <c r="H213" s="247"/>
    </row>
    <row r="214" spans="1:8" s="32" customFormat="1" ht="15.75" hidden="1" customHeight="1" x14ac:dyDescent="0.25">
      <c r="A214" s="175" t="s">
        <v>50</v>
      </c>
      <c r="B214" s="175"/>
      <c r="C214" s="246" t="s">
        <v>75</v>
      </c>
      <c r="D214" s="246"/>
      <c r="E214" s="214" t="s">
        <v>51</v>
      </c>
      <c r="F214" s="214"/>
      <c r="G214" s="175" t="s">
        <v>52</v>
      </c>
      <c r="H214" s="175"/>
    </row>
    <row r="215" spans="1:8" s="32" customFormat="1" hidden="1" x14ac:dyDescent="0.25">
      <c r="A215" s="242"/>
      <c r="B215" s="242"/>
      <c r="C215" s="184"/>
      <c r="D215" s="184"/>
      <c r="E215" s="243"/>
      <c r="F215" s="243"/>
      <c r="G215" s="185"/>
      <c r="H215" s="185"/>
    </row>
    <row r="216" spans="1:8" s="32" customFormat="1" hidden="1" x14ac:dyDescent="0.25">
      <c r="A216" s="242"/>
      <c r="B216" s="242"/>
      <c r="C216" s="184"/>
      <c r="D216" s="184"/>
      <c r="E216" s="243"/>
      <c r="F216" s="243"/>
      <c r="G216" s="185"/>
      <c r="H216" s="185"/>
    </row>
    <row r="217" spans="1:8" s="32" customFormat="1" hidden="1" x14ac:dyDescent="0.25">
      <c r="A217" s="247" t="s">
        <v>145</v>
      </c>
      <c r="B217" s="247"/>
      <c r="C217" s="246"/>
      <c r="D217" s="246"/>
      <c r="E217" s="214"/>
      <c r="F217" s="214"/>
      <c r="G217" s="175"/>
      <c r="H217" s="175"/>
    </row>
    <row r="218" spans="1:8" s="32" customFormat="1" x14ac:dyDescent="0.25">
      <c r="A218" s="247" t="s">
        <v>67</v>
      </c>
      <c r="B218" s="247"/>
      <c r="C218" s="247"/>
      <c r="D218" s="247"/>
      <c r="E218" s="247"/>
      <c r="F218" s="247"/>
      <c r="G218" s="247"/>
      <c r="H218" s="247"/>
    </row>
    <row r="219" spans="1:8" s="32" customFormat="1" ht="15.75" customHeight="1" x14ac:dyDescent="0.25">
      <c r="A219" s="175" t="s">
        <v>50</v>
      </c>
      <c r="B219" s="175"/>
      <c r="C219" s="246" t="s">
        <v>75</v>
      </c>
      <c r="D219" s="246"/>
      <c r="E219" s="214" t="s">
        <v>51</v>
      </c>
      <c r="F219" s="214"/>
      <c r="G219" s="175" t="s">
        <v>52</v>
      </c>
      <c r="H219" s="175"/>
    </row>
    <row r="220" spans="1:8" s="32" customFormat="1" x14ac:dyDescent="0.25">
      <c r="A220" s="91" t="s">
        <v>28</v>
      </c>
      <c r="B220" s="40" t="s">
        <v>198</v>
      </c>
      <c r="C220" s="245">
        <f>COUNT(D247:D248,D251)+COUNT(D253:D254,D257)+COUNT(D259:D260,D263)+COUNT(D265:D269)+COUNT(D271:D275)*10+COUNT(D277:D281)*8</f>
        <v>104</v>
      </c>
      <c r="D220" s="245"/>
      <c r="E220" s="96">
        <f>SUM(D247:D248,D251)+SUM(D253:D254,D257)+SUM(D259:D260,D263)+SUM(D265:D269)+SUM(D271:D275)*10+SUM(D277:D281)*8</f>
        <v>84338.314538399994</v>
      </c>
      <c r="F220" s="96"/>
      <c r="G220" s="96">
        <f>SUM(F247:F248,F251)+SUM(F253:F254,F257)+SUM(F259:F260,F263)+SUM(F265:F269)+SUM(F271:F275)*10+SUM(F277:F281)*8</f>
        <v>130830.30529452</v>
      </c>
      <c r="H220" s="96"/>
    </row>
    <row r="221" spans="1:8" s="32" customFormat="1" x14ac:dyDescent="0.25">
      <c r="A221" s="92"/>
      <c r="B221" s="40" t="s">
        <v>197</v>
      </c>
      <c r="C221" s="245">
        <f>COUNT(D286:D287)+COUNT(D292:D293)+COUNT(D298:D299,D302)+COUNT(D304:D308)+COUNT(D310:D314)*10+COUNT(D316:D320)*8</f>
        <v>102</v>
      </c>
      <c r="D221" s="245"/>
      <c r="E221" s="96">
        <f>SUM(D286:D287)+SUM(D292:D293)+SUM(D298:D299,D302)+SUM(D304:D308)+SUM(D310:D314)*10+SUM(D316:D320)*8</f>
        <v>82826.693726400001</v>
      </c>
      <c r="F221" s="96"/>
      <c r="G221" s="96">
        <f>SUM(F286:F287)+SUM(F292:F293)+SUM(F298:F299,F302)+SUM(F304:F308)+SUM(F310:F314)*10+SUM(F316:F320)*8</f>
        <v>128487.29303592001</v>
      </c>
      <c r="H221" s="96"/>
    </row>
    <row r="222" spans="1:8" s="32" customFormat="1" x14ac:dyDescent="0.25">
      <c r="A222" s="92"/>
      <c r="B222" s="40" t="s">
        <v>196</v>
      </c>
      <c r="C222" s="96">
        <f>COUNT(D327:D330)+COUNT(D334:D337)+COUNT(D341:D344)+COUNT(D346:D351)+COUNT(D353:D358)*16+COUNT(D360:D361,D364:D365)+COUNT(D367:D368,D371:D372)</f>
        <v>122</v>
      </c>
      <c r="D222" s="96"/>
      <c r="E222" s="96">
        <f>SUM(D327:D330)+SUM(D334:D337)+SUM(D341:D344)+SUM(D346:D351)+SUM(D353:D358)*16+SUM(D360:D361,D364:D365)+SUM(D367:D368,D371:D372)</f>
        <v>80203.780062899983</v>
      </c>
      <c r="F222" s="96"/>
      <c r="G222" s="96">
        <f>SUM(F327:F330)+SUM(F334:F337)+SUM(F341:F344)+SUM(F346:F351)+SUM(F353:F358)*16+SUM(F360:F361,F364:F365)+SUM(F367:F368,F371:F372)</f>
        <v>124368.38741749499</v>
      </c>
      <c r="H222" s="96"/>
    </row>
    <row r="223" spans="1:8" s="32" customFormat="1" x14ac:dyDescent="0.25">
      <c r="A223" s="92"/>
      <c r="B223" s="40" t="s">
        <v>233</v>
      </c>
      <c r="C223" s="96">
        <f>COUNT(D379:D380)+COUNT(D386:D388)+COUNT(D393:D395)+COUNT(D398:D403)+COUNT(D405:D410)*16+COUNT(D412:D413,D416:D417)+COUNT(D419:D420,D423:D424)</f>
        <v>118</v>
      </c>
      <c r="D223" s="96"/>
      <c r="E223" s="96">
        <f>SUM(D379:D380)+SUM(D386:D388)+SUM(D393:D395)+SUM(D398:D403)+SUM(D405:D410)*16+SUM(D412:D413,D416:D417)+SUM(D419:D420,D423:D424)</f>
        <v>77518.148607899988</v>
      </c>
      <c r="F223" s="96"/>
      <c r="G223" s="96">
        <f>SUM(F379:F380)+SUM(F386:F388)+SUM(F393:F395)+SUM(F398:F403)+SUM(F405:F410)*16+SUM(F412:F413,F416:F417)+SUM(F419:F420,F423:F424)</f>
        <v>120205.65866224498</v>
      </c>
      <c r="H223" s="96"/>
    </row>
    <row r="224" spans="1:8" s="32" customFormat="1" x14ac:dyDescent="0.25">
      <c r="A224" s="92"/>
      <c r="B224" s="40" t="s">
        <v>195</v>
      </c>
      <c r="C224" s="96">
        <f>COUNT(D431)+COUNT(D437:D438)+COUNT(D443:D444)+COUNT(D447:D451)+COUNT(D453:D457)*10+COUNT(D459:D463)*8</f>
        <v>100</v>
      </c>
      <c r="D224" s="96"/>
      <c r="E224" s="96">
        <f>SUM(D431)+SUM(D437:D438)+SUM(D443:D444)+SUM(D447:D451)+SUM(D453:D457)*10+SUM(D459:D463)*8</f>
        <v>82799.368774200004</v>
      </c>
      <c r="F224" s="96"/>
      <c r="G224" s="96">
        <f>SUM(F431)+SUM(F437:F438)+SUM(F443:F444)+SUM(F447:F451)+SUM(F453:F457)*10+SUM(F459:F463)*8</f>
        <v>128339.02160001</v>
      </c>
      <c r="H224" s="96"/>
    </row>
    <row r="225" spans="1:14" s="32" customFormat="1" x14ac:dyDescent="0.25">
      <c r="A225" s="93"/>
      <c r="B225" s="40" t="s">
        <v>279</v>
      </c>
      <c r="C225" s="96">
        <f>COUNT(D470:D471)+COUNT(D476:D477)+COUNT(D482:D483)+COUNT(D486:D490)+COUNT(D492:D496)*10+COUNT(D498:D502)*8</f>
        <v>101</v>
      </c>
      <c r="D225" s="96"/>
      <c r="E225" s="96">
        <f>SUM(D470:D471)+SUM(D476:D477)+SUM(D482:D483)+SUM(D486:D490)+SUM(D492:D496)*10+SUM(D498:D502)*8</f>
        <v>79434.253360799979</v>
      </c>
      <c r="F225" s="96"/>
      <c r="G225" s="96">
        <f>SUM(F470:F471)+SUM(F476:F477)+SUM(F482:F483)+SUM(F486:F490)+SUM(F492:F496)*10+SUM(F498:F502)*8</f>
        <v>123123.09270923998</v>
      </c>
      <c r="H225" s="96"/>
    </row>
    <row r="226" spans="1:14" s="32" customFormat="1" x14ac:dyDescent="0.25">
      <c r="A226" s="91" t="s">
        <v>27</v>
      </c>
      <c r="B226" s="40" t="s">
        <v>198</v>
      </c>
      <c r="C226" s="184">
        <f>COUNT(D508:D509)+COUNT(D513:D516)*13+COUNT(D518:D521)*8</f>
        <v>86</v>
      </c>
      <c r="D226" s="184"/>
      <c r="E226" s="96">
        <f>SUM(D508:D509)+SUM(D513:D516)*13+SUM(D518:D521)*8</f>
        <v>42990.014527200001</v>
      </c>
      <c r="F226" s="96"/>
      <c r="G226" s="96">
        <f>SUM(F508:F509)+SUM(F513:F516)*13+SUM(F518:F521)*8</f>
        <v>66634.522517160003</v>
      </c>
      <c r="H226" s="96"/>
    </row>
    <row r="227" spans="1:14" s="32" customFormat="1" x14ac:dyDescent="0.25">
      <c r="A227" s="92"/>
      <c r="B227" s="40" t="s">
        <v>197</v>
      </c>
      <c r="C227" s="184">
        <f>COUNT(D526:D527)+COUNT(D531:D534)*13+COUNT(D536:D539)*8</f>
        <v>86</v>
      </c>
      <c r="D227" s="184"/>
      <c r="E227" s="96">
        <f>SUM(D526:D527)+SUM(D531:D534)*13+SUM(D536:D539)*8</f>
        <v>42988.660954199993</v>
      </c>
      <c r="F227" s="96"/>
      <c r="G227" s="96">
        <f>SUM(F526:F527)+SUM(F531:F534)*13+SUM(F536:F539)*8</f>
        <v>66632.424479010006</v>
      </c>
      <c r="H227" s="96"/>
    </row>
    <row r="228" spans="1:14" s="32" customFormat="1" x14ac:dyDescent="0.25">
      <c r="A228" s="93"/>
      <c r="B228" s="40" t="s">
        <v>196</v>
      </c>
      <c r="C228" s="245">
        <f>COUNT(D545:D548)+COUNT(D550:D553)*17+COUNT(D555,D557:D558)+COUNT(D560,D562:D563)+COUNT(D565:D568)</f>
        <v>82</v>
      </c>
      <c r="D228" s="245"/>
      <c r="E228" s="96">
        <f>SUM(D545:D548)+SUM(D550:D553)*17+SUM(D555,D557:D558)+SUM(D560,D562:D563)+SUM(D565:D568)</f>
        <v>33822.090759599989</v>
      </c>
      <c r="F228" s="96"/>
      <c r="G228" s="96">
        <f>SUM(F545:F548)+SUM(F550:F553)*17+SUM(F555,F557:F558)+SUM(F560,F562:F563)+SUM(F565:F568)</f>
        <v>52469.449477379989</v>
      </c>
      <c r="H228" s="96"/>
    </row>
    <row r="229" spans="1:14" s="32" customFormat="1" x14ac:dyDescent="0.25">
      <c r="A229" s="247" t="s">
        <v>145</v>
      </c>
      <c r="B229" s="247"/>
      <c r="C229" s="263">
        <f>SUM(C220:D228)</f>
        <v>901</v>
      </c>
      <c r="D229" s="246"/>
      <c r="E229" s="249">
        <f>SUM(E220:F228)</f>
        <v>606921.3253116</v>
      </c>
      <c r="F229" s="249"/>
      <c r="G229" s="249">
        <f>SUM(G220:H228)</f>
        <v>941090.15519298019</v>
      </c>
      <c r="H229" s="249"/>
    </row>
    <row r="230" spans="1:14" s="31" customFormat="1" x14ac:dyDescent="0.25">
      <c r="A230" s="148" t="s">
        <v>53</v>
      </c>
      <c r="B230" s="148"/>
      <c r="C230" s="148"/>
      <c r="D230" s="148"/>
      <c r="E230" s="148"/>
      <c r="F230" s="148"/>
      <c r="G230" s="148"/>
      <c r="H230" s="148"/>
    </row>
    <row r="231" spans="1:14" x14ac:dyDescent="0.25">
      <c r="A231" s="148" t="s">
        <v>54</v>
      </c>
      <c r="B231" s="148"/>
      <c r="C231" s="148"/>
      <c r="D231" s="148"/>
      <c r="E231" s="148"/>
      <c r="F231" s="148"/>
      <c r="G231" s="148"/>
      <c r="H231" s="148"/>
    </row>
    <row r="232" spans="1:14" ht="47.25" hidden="1" customHeight="1" x14ac:dyDescent="0.25">
      <c r="A232" s="176" t="s">
        <v>112</v>
      </c>
      <c r="B232" s="176" t="s">
        <v>111</v>
      </c>
      <c r="C232" s="176" t="s">
        <v>55</v>
      </c>
      <c r="D232" s="176" t="s">
        <v>56</v>
      </c>
      <c r="E232" s="178" t="s">
        <v>150</v>
      </c>
      <c r="F232" s="39" t="s">
        <v>144</v>
      </c>
      <c r="G232" s="180" t="s">
        <v>58</v>
      </c>
      <c r="H232" s="181"/>
    </row>
    <row r="233" spans="1:14" s="41" customFormat="1" hidden="1" x14ac:dyDescent="0.25">
      <c r="A233" s="177"/>
      <c r="B233" s="177"/>
      <c r="C233" s="177"/>
      <c r="D233" s="177"/>
      <c r="E233" s="179"/>
      <c r="F233" s="13">
        <v>0.6</v>
      </c>
      <c r="G233" s="182"/>
      <c r="H233" s="183"/>
    </row>
    <row r="234" spans="1:14" s="41" customFormat="1" hidden="1" x14ac:dyDescent="0.25">
      <c r="A234" s="97" t="s">
        <v>110</v>
      </c>
      <c r="B234" s="98"/>
      <c r="C234" s="98"/>
      <c r="D234" s="98"/>
      <c r="E234" s="98"/>
      <c r="F234" s="98"/>
      <c r="G234" s="98"/>
      <c r="H234" s="99"/>
      <c r="J234" s="33"/>
    </row>
    <row r="235" spans="1:14" s="41" customFormat="1" hidden="1" x14ac:dyDescent="0.25">
      <c r="A235" s="94">
        <v>1</v>
      </c>
      <c r="B235" s="95"/>
      <c r="C235" s="38"/>
      <c r="D235" s="38"/>
      <c r="E235" s="38">
        <v>0</v>
      </c>
      <c r="F235" s="38">
        <f>(D235+E235)*(($F$233)+1)</f>
        <v>0</v>
      </c>
      <c r="G235" s="94" t="str">
        <f>A234</f>
        <v>Ground Floor</v>
      </c>
      <c r="H235" s="95"/>
      <c r="I235" s="33"/>
      <c r="L235" s="244"/>
      <c r="M235" s="244"/>
      <c r="N235" s="33"/>
    </row>
    <row r="236" spans="1:14" s="41" customFormat="1" hidden="1" x14ac:dyDescent="0.25">
      <c r="A236" s="94">
        <f t="shared" ref="A236:A238" si="0">A235+1</f>
        <v>2</v>
      </c>
      <c r="B236" s="95"/>
      <c r="C236" s="38"/>
      <c r="D236" s="38"/>
      <c r="E236" s="38">
        <v>0</v>
      </c>
      <c r="F236" s="38">
        <f t="shared" ref="F236:F238" si="1">(D236+E236)*(($F$233)+1)</f>
        <v>0</v>
      </c>
      <c r="G236" s="94" t="str">
        <f t="shared" ref="G236:G238" si="2">G235</f>
        <v>Ground Floor</v>
      </c>
      <c r="H236" s="95"/>
      <c r="I236" s="33"/>
      <c r="L236" s="244"/>
      <c r="M236" s="244"/>
      <c r="N236" s="33"/>
    </row>
    <row r="237" spans="1:14" s="41" customFormat="1" hidden="1" x14ac:dyDescent="0.25">
      <c r="A237" s="94">
        <f t="shared" si="0"/>
        <v>3</v>
      </c>
      <c r="B237" s="95"/>
      <c r="C237" s="38"/>
      <c r="D237" s="38"/>
      <c r="E237" s="38">
        <v>0</v>
      </c>
      <c r="F237" s="38">
        <f t="shared" si="1"/>
        <v>0</v>
      </c>
      <c r="G237" s="94" t="str">
        <f t="shared" si="2"/>
        <v>Ground Floor</v>
      </c>
      <c r="H237" s="95"/>
      <c r="I237" s="33"/>
      <c r="L237" s="244"/>
      <c r="M237" s="244"/>
      <c r="N237" s="33"/>
    </row>
    <row r="238" spans="1:14" s="41" customFormat="1" hidden="1" x14ac:dyDescent="0.25">
      <c r="A238" s="94">
        <f t="shared" si="0"/>
        <v>4</v>
      </c>
      <c r="B238" s="95"/>
      <c r="C238" s="38"/>
      <c r="D238" s="38"/>
      <c r="E238" s="38">
        <v>0</v>
      </c>
      <c r="F238" s="38">
        <f t="shared" si="1"/>
        <v>0</v>
      </c>
      <c r="G238" s="94" t="str">
        <f t="shared" si="2"/>
        <v>Ground Floor</v>
      </c>
      <c r="H238" s="95"/>
      <c r="I238" s="33"/>
      <c r="L238" s="244"/>
      <c r="M238" s="244"/>
      <c r="N238" s="33"/>
    </row>
    <row r="239" spans="1:14" s="41" customFormat="1" hidden="1" x14ac:dyDescent="0.25">
      <c r="A239" s="94"/>
      <c r="B239" s="126"/>
      <c r="C239" s="126"/>
      <c r="D239" s="126"/>
      <c r="E239" s="126"/>
      <c r="F239" s="126"/>
      <c r="G239" s="126"/>
      <c r="H239" s="95"/>
      <c r="I239" s="33"/>
      <c r="N239" s="33"/>
    </row>
    <row r="240" spans="1:14" ht="47.25" customHeight="1" x14ac:dyDescent="0.25">
      <c r="A240" s="180" t="s">
        <v>113</v>
      </c>
      <c r="B240" s="180" t="s">
        <v>114</v>
      </c>
      <c r="C240" s="176" t="s">
        <v>55</v>
      </c>
      <c r="D240" s="176" t="s">
        <v>56</v>
      </c>
      <c r="E240" s="178" t="s">
        <v>57</v>
      </c>
      <c r="F240" s="39" t="s">
        <v>144</v>
      </c>
      <c r="G240" s="180" t="s">
        <v>58</v>
      </c>
      <c r="H240" s="181"/>
      <c r="I240" s="33"/>
    </row>
    <row r="241" spans="1:14" s="41" customFormat="1" x14ac:dyDescent="0.25">
      <c r="A241" s="182"/>
      <c r="B241" s="182"/>
      <c r="C241" s="177"/>
      <c r="D241" s="177"/>
      <c r="E241" s="179"/>
      <c r="F241" s="13">
        <v>0.55000000000000004</v>
      </c>
      <c r="G241" s="182"/>
      <c r="H241" s="183"/>
      <c r="I241" s="33"/>
    </row>
    <row r="242" spans="1:14" s="31" customFormat="1" x14ac:dyDescent="0.25">
      <c r="A242" s="215" t="s">
        <v>244</v>
      </c>
      <c r="B242" s="215"/>
      <c r="C242" s="215"/>
      <c r="D242" s="215"/>
      <c r="E242" s="215"/>
      <c r="F242" s="215"/>
      <c r="G242" s="215"/>
      <c r="H242" s="215"/>
    </row>
    <row r="243" spans="1:14" s="31" customFormat="1" x14ac:dyDescent="0.25">
      <c r="A243" s="103" t="s">
        <v>253</v>
      </c>
      <c r="B243" s="103"/>
      <c r="C243" s="103"/>
      <c r="D243" s="103"/>
      <c r="E243" s="103"/>
      <c r="F243" s="103"/>
      <c r="G243" s="103"/>
      <c r="H243" s="103"/>
    </row>
    <row r="244" spans="1:14" s="31" customFormat="1" x14ac:dyDescent="0.25">
      <c r="A244" s="147" t="s">
        <v>227</v>
      </c>
      <c r="B244" s="148"/>
      <c r="C244" s="148"/>
      <c r="D244" s="148"/>
      <c r="E244" s="148"/>
      <c r="F244" s="148"/>
      <c r="G244" s="148"/>
      <c r="H244" s="148"/>
    </row>
    <row r="245" spans="1:14" s="31" customFormat="1" x14ac:dyDescent="0.25">
      <c r="A245" s="148" t="s">
        <v>330</v>
      </c>
      <c r="B245" s="148"/>
      <c r="C245" s="148"/>
      <c r="D245" s="148"/>
      <c r="E245" s="148"/>
      <c r="F245" s="148"/>
      <c r="G245" s="148"/>
      <c r="H245" s="148"/>
    </row>
    <row r="246" spans="1:14" s="41" customFormat="1" x14ac:dyDescent="0.25">
      <c r="A246" s="97" t="s">
        <v>189</v>
      </c>
      <c r="B246" s="98"/>
      <c r="C246" s="98"/>
      <c r="D246" s="98"/>
      <c r="E246" s="98"/>
      <c r="F246" s="98"/>
      <c r="G246" s="98"/>
      <c r="H246" s="99"/>
      <c r="I246" s="18">
        <v>1</v>
      </c>
      <c r="J246" s="62"/>
    </row>
    <row r="247" spans="1:14" s="41" customFormat="1" ht="15.75" customHeight="1" x14ac:dyDescent="0.25">
      <c r="A247" s="94">
        <v>1</v>
      </c>
      <c r="B247" s="95"/>
      <c r="C247" s="38" t="s">
        <v>168</v>
      </c>
      <c r="D247" s="38">
        <f>(3.05*5.17+2.3*2.7+2.9*3.41+3.05*3.65+2.3*1.38+2.3*1.37+1.75*1.06+0.65*1.42+2.1*0.45+1.09*0.1+0.82*0.15+1.85*0.8)*10.764</f>
        <v>589.4366399999999</v>
      </c>
      <c r="E247" s="38">
        <v>0</v>
      </c>
      <c r="F247" s="38">
        <f>D247*(($F$241)+1)+(IF(E247&lt;101,E247,IF(E247&lt;201,E247/2,IF(E247&lt;=301,E247/3,E247/4))))</f>
        <v>913.62679199999991</v>
      </c>
      <c r="G247" s="119" t="str">
        <f>A246</f>
        <v xml:space="preserve">1st Floor for Residential &amp; Podium Parking </v>
      </c>
      <c r="H247" s="120"/>
      <c r="I247" s="18"/>
      <c r="J247" s="62"/>
      <c r="K247" s="33"/>
      <c r="L247" s="58"/>
      <c r="M247" s="58"/>
      <c r="N247" s="33"/>
    </row>
    <row r="248" spans="1:14" s="41" customFormat="1" ht="15.75" customHeight="1" x14ac:dyDescent="0.25">
      <c r="A248" s="94">
        <v>2</v>
      </c>
      <c r="B248" s="95"/>
      <c r="C248" s="38" t="s">
        <v>168</v>
      </c>
      <c r="D248" s="38">
        <f>(3.05*5.8+0.69*3.17+2.45*2.7+3.05*3.65+2.95*4.11+2.3*1.37+2.3*1.37+0.1*3.51+1.68*1.07+3.32*1.07+0.92*0.15+1.25*0.1+2*0.8)*10.764</f>
        <v>684.75508919999993</v>
      </c>
      <c r="E248" s="38">
        <v>0</v>
      </c>
      <c r="F248" s="38">
        <f>D248*(($F$241)+1)+(IF(E248&lt;101,E248,IF(E248&lt;201,E248/2,IF(E248&lt;=301,E248/3,E248/4))))</f>
        <v>1061.37038826</v>
      </c>
      <c r="G248" s="121"/>
      <c r="H248" s="122"/>
      <c r="I248" s="63"/>
      <c r="J248" s="64"/>
      <c r="K248" s="33"/>
      <c r="L248" s="58"/>
      <c r="M248" s="58"/>
      <c r="N248" s="33"/>
    </row>
    <row r="249" spans="1:14" s="41" customFormat="1" ht="15.75" customHeight="1" x14ac:dyDescent="0.25">
      <c r="A249" s="94">
        <v>3</v>
      </c>
      <c r="B249" s="95"/>
      <c r="C249" s="119" t="s">
        <v>255</v>
      </c>
      <c r="D249" s="145"/>
      <c r="E249" s="145"/>
      <c r="F249" s="120"/>
      <c r="G249" s="121"/>
      <c r="H249" s="122"/>
      <c r="I249" s="63"/>
      <c r="J249" s="64"/>
      <c r="K249" s="33"/>
      <c r="L249" s="58"/>
      <c r="M249" s="58"/>
      <c r="N249" s="33"/>
    </row>
    <row r="250" spans="1:14" s="41" customFormat="1" ht="15.75" customHeight="1" x14ac:dyDescent="0.25">
      <c r="A250" s="94">
        <v>4</v>
      </c>
      <c r="B250" s="95"/>
      <c r="C250" s="123"/>
      <c r="D250" s="146"/>
      <c r="E250" s="146"/>
      <c r="F250" s="124"/>
      <c r="G250" s="121"/>
      <c r="H250" s="122"/>
      <c r="I250" s="63"/>
      <c r="J250" s="64"/>
      <c r="K250" s="33"/>
      <c r="L250" s="58"/>
      <c r="M250" s="58"/>
      <c r="N250" s="33"/>
    </row>
    <row r="251" spans="1:14" s="41" customFormat="1" ht="15.75" customHeight="1" x14ac:dyDescent="0.25">
      <c r="A251" s="94">
        <v>5</v>
      </c>
      <c r="B251" s="95"/>
      <c r="C251" s="38" t="s">
        <v>180</v>
      </c>
      <c r="D251" s="38">
        <f>(3.05*5.49+0.47*3.12+2.45*2.75+2.9*3.46+2.9*3.51+3.65*3.05+2.3*1.37+2.3*1.37+1.37*2.3+1.16*1.07+3.84*1.07+2.55*1.2+0.92*0.1+1*0.1+0.995*0.05+2*0.91)*10.764</f>
        <v>820.41754859999992</v>
      </c>
      <c r="E251" s="38">
        <v>0</v>
      </c>
      <c r="F251" s="38">
        <f>D251*(($F$241)+1)+(IF(E251&lt;101,E251,IF(E251&lt;201,E251/2,IF(E251&lt;=301,E251/3,E251/4))))</f>
        <v>1271.6472003299998</v>
      </c>
      <c r="G251" s="123"/>
      <c r="H251" s="124"/>
      <c r="I251" s="63">
        <v>1</v>
      </c>
      <c r="J251" s="64"/>
      <c r="K251" s="33"/>
      <c r="L251" s="58"/>
      <c r="M251" s="58"/>
      <c r="N251" s="33"/>
    </row>
    <row r="252" spans="1:14" s="41" customFormat="1" x14ac:dyDescent="0.25">
      <c r="A252" s="144" t="s">
        <v>190</v>
      </c>
      <c r="B252" s="144"/>
      <c r="C252" s="144"/>
      <c r="D252" s="144"/>
      <c r="E252" s="144"/>
      <c r="F252" s="144"/>
      <c r="G252" s="144"/>
      <c r="H252" s="144"/>
      <c r="I252" s="18"/>
      <c r="J252" s="62"/>
    </row>
    <row r="253" spans="1:14" s="41" customFormat="1" ht="15.75" customHeight="1" x14ac:dyDescent="0.25">
      <c r="A253" s="125">
        <v>1</v>
      </c>
      <c r="B253" s="125"/>
      <c r="C253" s="38" t="s">
        <v>168</v>
      </c>
      <c r="D253" s="38">
        <f>(3.05*5.17+2.3*2.7+2.9*3.41+3.05*3.65+2.3*1.38+2.3*1.37+1.75*1.06+0.65*1.42+2.1*0.45+1.09*0.1+0.82*0.15+1.85*0.8)*10.764</f>
        <v>589.4366399999999</v>
      </c>
      <c r="E253" s="38">
        <v>0</v>
      </c>
      <c r="F253" s="38">
        <f>D253*(($F$241)+1)+(IF(E253&lt;101,E253,IF(E253&lt;201,E253/2,IF(E253&lt;=301,E253/3,E253/4))))</f>
        <v>913.62679199999991</v>
      </c>
      <c r="G253" s="125" t="str">
        <f>A252</f>
        <v xml:space="preserve">2nd Floor for Residential &amp; Podium Parking </v>
      </c>
      <c r="H253" s="125"/>
      <c r="I253" s="18"/>
      <c r="J253" s="62"/>
      <c r="K253" s="33"/>
      <c r="L253" s="58"/>
      <c r="M253" s="58"/>
      <c r="N253" s="33"/>
    </row>
    <row r="254" spans="1:14" s="41" customFormat="1" ht="15.75" customHeight="1" x14ac:dyDescent="0.25">
      <c r="A254" s="125">
        <v>2</v>
      </c>
      <c r="B254" s="125"/>
      <c r="C254" s="38" t="s">
        <v>168</v>
      </c>
      <c r="D254" s="38">
        <f>(3.05*5.8+0.69*3.17+2.45*2.7+3.05*3.65+2.95*4.11+2.3*1.37+2.3*1.37+0.1*3.51+1.68*1.07+3.32*1.07+0.92*0.15+1.25*0.1+2*0.8)*10.764</f>
        <v>684.75508919999993</v>
      </c>
      <c r="E254" s="38">
        <v>0</v>
      </c>
      <c r="F254" s="38">
        <f>D254*(($F$241)+1)+(IF(E254&lt;101,E254,IF(E254&lt;201,E254/2,IF(E254&lt;=301,E254/3,E254/4))))</f>
        <v>1061.37038826</v>
      </c>
      <c r="G254" s="125"/>
      <c r="H254" s="125"/>
      <c r="I254" s="63"/>
      <c r="J254" s="64"/>
      <c r="K254" s="33"/>
      <c r="L254" s="58"/>
      <c r="M254" s="58"/>
      <c r="N254" s="33"/>
    </row>
    <row r="255" spans="1:14" s="41" customFormat="1" ht="15.75" customHeight="1" x14ac:dyDescent="0.25">
      <c r="A255" s="125">
        <v>3</v>
      </c>
      <c r="B255" s="125"/>
      <c r="C255" s="125" t="s">
        <v>255</v>
      </c>
      <c r="D255" s="125"/>
      <c r="E255" s="125"/>
      <c r="F255" s="125"/>
      <c r="G255" s="125"/>
      <c r="H255" s="125"/>
      <c r="I255" s="63"/>
      <c r="J255" s="64"/>
      <c r="K255" s="33"/>
      <c r="L255" s="58"/>
      <c r="M255" s="58"/>
      <c r="N255" s="33"/>
    </row>
    <row r="256" spans="1:14" s="41" customFormat="1" ht="15.75" customHeight="1" x14ac:dyDescent="0.25">
      <c r="A256" s="125">
        <v>4</v>
      </c>
      <c r="B256" s="125"/>
      <c r="C256" s="125"/>
      <c r="D256" s="125"/>
      <c r="E256" s="125"/>
      <c r="F256" s="125"/>
      <c r="G256" s="125"/>
      <c r="H256" s="125"/>
      <c r="I256" s="63"/>
      <c r="J256" s="64"/>
      <c r="K256" s="33"/>
      <c r="L256" s="58"/>
      <c r="M256" s="58"/>
      <c r="N256" s="33"/>
    </row>
    <row r="257" spans="1:14" s="41" customFormat="1" ht="15.75" customHeight="1" x14ac:dyDescent="0.25">
      <c r="A257" s="125">
        <v>5</v>
      </c>
      <c r="B257" s="125"/>
      <c r="C257" s="38" t="s">
        <v>180</v>
      </c>
      <c r="D257" s="38">
        <f>(3.05*5.49+0.47*3.12+2.45*2.75+2.9*3.46+2.9*3.51+3.65*3.05+2.3*1.37+2.3*1.37+1.37*2.3+1.16*1.07+3.84*1.07+2.55*1.2+0.92*0.1+1*0.1+0.995*0.05+2*0.91)*10.764</f>
        <v>820.41754859999992</v>
      </c>
      <c r="E257" s="38">
        <v>0</v>
      </c>
      <c r="F257" s="38">
        <f>D257*(($F$241)+1)+(IF(E257&lt;101,E257,IF(E257&lt;201,E257/2,IF(E257&lt;=301,E257/3,E257/4))))</f>
        <v>1271.6472003299998</v>
      </c>
      <c r="G257" s="125"/>
      <c r="H257" s="125"/>
      <c r="I257" s="63"/>
      <c r="J257" s="64"/>
      <c r="K257" s="33"/>
      <c r="L257" s="58"/>
      <c r="M257" s="58"/>
      <c r="N257" s="33"/>
    </row>
    <row r="258" spans="1:14" s="41" customFormat="1" x14ac:dyDescent="0.25">
      <c r="A258" s="144" t="s">
        <v>345</v>
      </c>
      <c r="B258" s="144"/>
      <c r="C258" s="144"/>
      <c r="D258" s="144"/>
      <c r="E258" s="144"/>
      <c r="F258" s="144"/>
      <c r="G258" s="144"/>
      <c r="H258" s="144"/>
      <c r="I258" s="18">
        <v>1</v>
      </c>
      <c r="J258" s="62"/>
    </row>
    <row r="259" spans="1:14" s="41" customFormat="1" ht="15.75" customHeight="1" x14ac:dyDescent="0.25">
      <c r="A259" s="125">
        <v>1</v>
      </c>
      <c r="B259" s="125"/>
      <c r="C259" s="38" t="s">
        <v>168</v>
      </c>
      <c r="D259" s="38">
        <f>(3.05*5.17+2.3*2.7+2.9*3.41+3.05*3.65+2.3*1.38+2.3*1.37+1.75*1.06+0.65*1.42+2.1*0.45+1.09*0.1+0.82*0.15+1.85*0.8)*10.764</f>
        <v>589.4366399999999</v>
      </c>
      <c r="E259" s="38">
        <v>0</v>
      </c>
      <c r="F259" s="38">
        <f>D259*(($F$241)+1)+(IF(E259&lt;101,E259,IF(E259&lt;201,E259/2,IF(E259&lt;=301,E259/3,E259/4))))</f>
        <v>913.62679199999991</v>
      </c>
      <c r="G259" s="125" t="str">
        <f>A258</f>
        <v xml:space="preserve">3rd Floor for Residential, Fitness Center &amp; Podium Parking </v>
      </c>
      <c r="H259" s="125"/>
      <c r="I259" s="18"/>
      <c r="J259" s="62"/>
      <c r="K259" s="33"/>
      <c r="L259" s="58"/>
      <c r="M259" s="58"/>
      <c r="N259" s="33"/>
    </row>
    <row r="260" spans="1:14" s="41" customFormat="1" ht="15.75" customHeight="1" x14ac:dyDescent="0.25">
      <c r="A260" s="125">
        <v>2</v>
      </c>
      <c r="B260" s="125"/>
      <c r="C260" s="38" t="s">
        <v>168</v>
      </c>
      <c r="D260" s="38">
        <f>(3.05*5.8+0.69*3.17+2.45*2.7+3.05*3.65+2.95*4.11+2.3*1.37+2.3*1.37+0.1*3.51+1.68*1.07+3.32*1.07+0.92*0.15+1.25*0.1+2*0.8)*10.764</f>
        <v>684.75508919999993</v>
      </c>
      <c r="E260" s="38">
        <v>0</v>
      </c>
      <c r="F260" s="38">
        <f>D260*(($F$241)+1)+(IF(E260&lt;101,E260,IF(E260&lt;201,E260/2,IF(E260&lt;=301,E260/3,E260/4))))</f>
        <v>1061.37038826</v>
      </c>
      <c r="G260" s="125"/>
      <c r="H260" s="125"/>
      <c r="I260" s="63"/>
      <c r="J260" s="64"/>
      <c r="K260" s="33"/>
      <c r="L260" s="58"/>
      <c r="M260" s="58"/>
      <c r="N260" s="33"/>
    </row>
    <row r="261" spans="1:14" s="41" customFormat="1" ht="15.75" customHeight="1" x14ac:dyDescent="0.25">
      <c r="A261" s="125">
        <v>3</v>
      </c>
      <c r="B261" s="125"/>
      <c r="C261" s="125" t="s">
        <v>254</v>
      </c>
      <c r="D261" s="125"/>
      <c r="E261" s="125"/>
      <c r="F261" s="125"/>
      <c r="G261" s="125"/>
      <c r="H261" s="125"/>
      <c r="I261" s="63"/>
      <c r="J261" s="64"/>
      <c r="K261" s="33"/>
      <c r="L261" s="58"/>
      <c r="M261" s="58"/>
      <c r="N261" s="33"/>
    </row>
    <row r="262" spans="1:14" s="41" customFormat="1" ht="15.75" customHeight="1" x14ac:dyDescent="0.25">
      <c r="A262" s="125">
        <v>4</v>
      </c>
      <c r="B262" s="125"/>
      <c r="C262" s="125"/>
      <c r="D262" s="125"/>
      <c r="E262" s="125"/>
      <c r="F262" s="125"/>
      <c r="G262" s="125"/>
      <c r="H262" s="125"/>
      <c r="I262" s="63"/>
      <c r="J262" s="64"/>
      <c r="K262" s="33"/>
      <c r="L262" s="58"/>
      <c r="M262" s="58"/>
      <c r="N262" s="33"/>
    </row>
    <row r="263" spans="1:14" s="41" customFormat="1" ht="15.75" customHeight="1" x14ac:dyDescent="0.25">
      <c r="A263" s="125">
        <v>5</v>
      </c>
      <c r="B263" s="125"/>
      <c r="C263" s="38" t="s">
        <v>180</v>
      </c>
      <c r="D263" s="38">
        <f>(3.05*5.49+0.47*3.12+2.45*2.75+2.9*3.46+2.9*3.51+3.65*3.05+2.3*1.37+2.3*1.37+1.37*2.3+1.16*1.07+3.84*1.07+2.55*1.2+0.92*0.1+1*0.1+0.995*0.05+2*0.91)*10.764</f>
        <v>820.41754859999992</v>
      </c>
      <c r="E263" s="38">
        <v>0</v>
      </c>
      <c r="F263" s="38">
        <f>D263*(($F$241)+1)+(IF(E263&lt;101,E263,IF(E263&lt;201,E263/2,IF(E263&lt;=301,E263/3,E263/4))))</f>
        <v>1271.6472003299998</v>
      </c>
      <c r="G263" s="125"/>
      <c r="H263" s="125"/>
      <c r="I263" s="63"/>
      <c r="J263" s="64"/>
      <c r="K263" s="33"/>
      <c r="L263" s="58"/>
      <c r="M263" s="58"/>
      <c r="N263" s="33"/>
    </row>
    <row r="264" spans="1:14" s="41" customFormat="1" x14ac:dyDescent="0.25">
      <c r="A264" s="97" t="s">
        <v>181</v>
      </c>
      <c r="B264" s="98"/>
      <c r="C264" s="98"/>
      <c r="D264" s="98"/>
      <c r="E264" s="98"/>
      <c r="F264" s="98"/>
      <c r="G264" s="98"/>
      <c r="H264" s="99"/>
      <c r="I264" s="18">
        <v>1</v>
      </c>
      <c r="J264" s="62"/>
    </row>
    <row r="265" spans="1:14" s="41" customFormat="1" ht="15.75" customHeight="1" x14ac:dyDescent="0.25">
      <c r="A265" s="94">
        <v>1</v>
      </c>
      <c r="B265" s="95"/>
      <c r="C265" s="38" t="s">
        <v>168</v>
      </c>
      <c r="D265" s="38">
        <f>(3.05*5.17+2.3*2.7+2.9*3.41+3.05*3.65+2.3*1.38+2.3*1.37+1.75*1.06+0.65*1.42+2.1*0.45+1.09*0.1+0.82*0.15+1.85*0.8)*10.764</f>
        <v>589.4366399999999</v>
      </c>
      <c r="E265" s="38">
        <v>0</v>
      </c>
      <c r="F265" s="38">
        <f>D265*(($F$241)+1)+(IF(E265&lt;101,E265,IF(E265&lt;201,E265/2,IF(E265&lt;=301,E265/3,E265/4))))</f>
        <v>913.62679199999991</v>
      </c>
      <c r="G265" s="206" t="str">
        <f>A264</f>
        <v xml:space="preserve">4th Floor </v>
      </c>
      <c r="H265" s="207"/>
      <c r="I265" s="18"/>
      <c r="J265" s="62"/>
      <c r="K265" s="33"/>
      <c r="L265" s="58"/>
      <c r="M265" s="58"/>
      <c r="N265" s="33"/>
    </row>
    <row r="266" spans="1:14" s="41" customFormat="1" ht="15.75" customHeight="1" x14ac:dyDescent="0.25">
      <c r="A266" s="94">
        <v>2</v>
      </c>
      <c r="B266" s="95"/>
      <c r="C266" s="38" t="s">
        <v>168</v>
      </c>
      <c r="D266" s="38">
        <f>(3.05*5.8+0.69*3.17+2.45*2.7+3.05*3.65+2.95*4.11+2.3*1.37+2.3*1.37+0.1*3.51+1.68*1.07+3.32*1.07+0.92*0.15+1.25*0.1+2*0.8)*10.764</f>
        <v>684.75508919999993</v>
      </c>
      <c r="E266" s="38">
        <v>0</v>
      </c>
      <c r="F266" s="38">
        <f>D266*(($F$241)+1)+(IF(E266&lt;101,E266,IF(E266&lt;201,E266/2,IF(E266&lt;=301,E266/3,E266/4))))</f>
        <v>1061.37038826</v>
      </c>
      <c r="G266" s="208"/>
      <c r="H266" s="209"/>
      <c r="I266" s="63"/>
      <c r="J266" s="64"/>
      <c r="K266" s="33"/>
      <c r="L266" s="58"/>
      <c r="M266" s="58"/>
      <c r="N266" s="33"/>
    </row>
    <row r="267" spans="1:14" s="41" customFormat="1" ht="15.75" customHeight="1" x14ac:dyDescent="0.25">
      <c r="A267" s="94">
        <v>3</v>
      </c>
      <c r="B267" s="95"/>
      <c r="C267" s="38" t="s">
        <v>180</v>
      </c>
      <c r="D267" s="38">
        <f>(3.05*6.1+2.45*3.01+3.05*3.65+2.95*4.57+3.05*3.96+1.37*2.3+2.3*1.37+2.3*1.37+0.1*3.97+1.68*1.07+3.32*1.07+0.7*3.17+1.61*1.02+1*0.1+1.95*0.96)*10.764</f>
        <v>900.99739079999983</v>
      </c>
      <c r="E267" s="38">
        <f>(1.6*2.95+0.8*3.05)*10.764</f>
        <v>77.070239999999998</v>
      </c>
      <c r="F267" s="38">
        <f>D267*(($F$241)+1)+(IF(E267&lt;101,E267,IF(E267&lt;201,E267/2,IF(E267&lt;=301,E267/3,E267/4))))</f>
        <v>1473.6161957399997</v>
      </c>
      <c r="G267" s="208"/>
      <c r="H267" s="209"/>
      <c r="I267" s="63"/>
      <c r="J267" s="64"/>
      <c r="K267" s="33"/>
      <c r="L267" s="58"/>
      <c r="M267" s="58"/>
      <c r="N267" s="33"/>
    </row>
    <row r="268" spans="1:14" s="41" customFormat="1" ht="15.75" customHeight="1" x14ac:dyDescent="0.25">
      <c r="A268" s="94">
        <v>4</v>
      </c>
      <c r="B268" s="95"/>
      <c r="C268" s="38" t="s">
        <v>180</v>
      </c>
      <c r="D268" s="38">
        <f>(3.35*6.8+2.45*3.08+3.2*4.34+3.05*3.65+3.14*4.9+2.45*1.53+2.3*1.53+2.3*1.37+0.06*4.3+1.78*1.07+3.3*1.07+0.61*3.57+0.69*1.27+1*0.1+1.95*0.96)*10.764</f>
        <v>988.89513840000006</v>
      </c>
      <c r="E268" s="38">
        <f>(0.8*3.35)*10.764</f>
        <v>28.847519999999999</v>
      </c>
      <c r="F268" s="38">
        <f>D268*(($F$241)+1)+(IF(E268&lt;101,E268,IF(E268&lt;201,E268/2,IF(E268&lt;=301,E268/3,E268/4))))</f>
        <v>1561.6349845200002</v>
      </c>
      <c r="G268" s="208"/>
      <c r="H268" s="209"/>
      <c r="I268" s="63"/>
      <c r="J268" s="64"/>
      <c r="K268" s="33"/>
      <c r="L268" s="58"/>
      <c r="M268" s="58"/>
      <c r="N268" s="33"/>
    </row>
    <row r="269" spans="1:14" s="41" customFormat="1" ht="15.75" customHeight="1" x14ac:dyDescent="0.25">
      <c r="A269" s="94">
        <v>5</v>
      </c>
      <c r="B269" s="95"/>
      <c r="C269" s="38" t="s">
        <v>180</v>
      </c>
      <c r="D269" s="38">
        <f>(3.05*5.49+0.47*3.12+2.45*2.75+2.9*3.46+2.9*3.51+3.65*3.05+2.3*1.37+2.3*1.37+1.37*2.3+1.16*1.07+3.84*1.07+2.55*1.2+0.92*0.1+1*0.1+0.995*0.05+2*0.91)*10.764</f>
        <v>820.41754859999992</v>
      </c>
      <c r="E269" s="38">
        <v>0</v>
      </c>
      <c r="F269" s="38">
        <f>D269*(($F$241)+1)+(IF(E269&lt;101,E269,IF(E269&lt;201,E269/2,IF(E269&lt;=301,E269/3,E269/4))))</f>
        <v>1271.6472003299998</v>
      </c>
      <c r="G269" s="210"/>
      <c r="H269" s="211"/>
      <c r="I269" s="63"/>
      <c r="J269" s="64"/>
      <c r="K269" s="33"/>
      <c r="L269" s="58"/>
      <c r="M269" s="58"/>
      <c r="N269" s="33"/>
    </row>
    <row r="270" spans="1:14" s="41" customFormat="1" x14ac:dyDescent="0.25">
      <c r="A270" s="97" t="s">
        <v>209</v>
      </c>
      <c r="B270" s="98"/>
      <c r="C270" s="98"/>
      <c r="D270" s="98"/>
      <c r="E270" s="98"/>
      <c r="F270" s="98"/>
      <c r="G270" s="98"/>
      <c r="H270" s="99"/>
      <c r="I270" s="18">
        <f>3+7</f>
        <v>10</v>
      </c>
      <c r="J270" s="62"/>
    </row>
    <row r="271" spans="1:14" s="41" customFormat="1" ht="15.75" customHeight="1" x14ac:dyDescent="0.25">
      <c r="A271" s="94">
        <v>1</v>
      </c>
      <c r="B271" s="95"/>
      <c r="C271" s="38" t="s">
        <v>168</v>
      </c>
      <c r="D271" s="38">
        <f>(3.05*5.17+2.3*2.7+3.05*3.65+2.9*3.41+2.3*1.38+2.3*1.37+1.75*1.06+0.65*1.42+2.1*0.45+0.82*0.15+1*0.1+1.85*0.8)*10.764</f>
        <v>589.33976399999995</v>
      </c>
      <c r="E271" s="38">
        <v>0</v>
      </c>
      <c r="F271" s="38">
        <f>D271*(($F$241)+1)+(IF(E271&lt;101,E271,IF(E271&lt;201,E271/2,IF(E271&lt;=301,E271/3,E271/4))))</f>
        <v>913.47663419999992</v>
      </c>
      <c r="G271" s="119" t="str">
        <f>A270</f>
        <v>5th to 7th, 9th, 11th, 13th, 15th, 17th, 19th &amp; 21st Floor</v>
      </c>
      <c r="H271" s="120"/>
      <c r="I271" s="18"/>
      <c r="J271" s="62"/>
      <c r="K271" s="33"/>
      <c r="L271" s="58"/>
      <c r="M271" s="58"/>
      <c r="N271" s="33"/>
    </row>
    <row r="272" spans="1:14" s="41" customFormat="1" ht="15.75" customHeight="1" x14ac:dyDescent="0.25">
      <c r="A272" s="94">
        <v>2</v>
      </c>
      <c r="B272" s="95"/>
      <c r="C272" s="38" t="s">
        <v>168</v>
      </c>
      <c r="D272" s="38">
        <f>(3.05*5.8+0.69*3.17+2.45*2.7+3.05*3.65+2.95*4.11+2.3*1.37+2.3*1.37+0.1*3.51+1.68*1.07+3.32*1.07+0.92*0.15+1*0.1+2*0.8+2.8*0.97)*10.764</f>
        <v>713.7210131999999</v>
      </c>
      <c r="E272" s="38">
        <v>0</v>
      </c>
      <c r="F272" s="38">
        <f>D272*(($F$241)+1)+(IF(E272&lt;101,E272,IF(E272&lt;201,E272/2,IF(E272&lt;=301,E272/3,E272/4))))</f>
        <v>1106.2675704599999</v>
      </c>
      <c r="G272" s="121"/>
      <c r="H272" s="122"/>
      <c r="I272" s="63"/>
      <c r="J272" s="64"/>
      <c r="K272" s="33"/>
      <c r="L272" s="58"/>
      <c r="M272" s="58"/>
      <c r="N272" s="33"/>
    </row>
    <row r="273" spans="1:14" s="41" customFormat="1" ht="15.75" customHeight="1" x14ac:dyDescent="0.25">
      <c r="A273" s="94">
        <v>3</v>
      </c>
      <c r="B273" s="95"/>
      <c r="C273" s="38" t="s">
        <v>180</v>
      </c>
      <c r="D273" s="38">
        <f>(3.05*6.1+0.7*3.17+2.45*3.01+3.05*3.65+2.95*4.57+2.3*1.37+2.3*1.37+0.1*3.97+1.68*1.07+3.32*1.07+1*0.1+1.95*0.96+2.85*1.1+1.61*1.02+1.37*2.3+3.05*3.96)*10.764</f>
        <v>934.74253079999983</v>
      </c>
      <c r="E273" s="38">
        <v>0</v>
      </c>
      <c r="F273" s="38">
        <f>D273*(($F$241)+1)+(IF(E273&lt;101,E273,IF(E273&lt;201,E273/2,IF(E273&lt;=301,E273/3,E273/4))))</f>
        <v>1448.8509227399998</v>
      </c>
      <c r="G273" s="121"/>
      <c r="H273" s="122"/>
      <c r="I273" s="63"/>
      <c r="J273" s="64"/>
      <c r="K273" s="33"/>
      <c r="L273" s="58"/>
      <c r="M273" s="58"/>
      <c r="N273" s="33"/>
    </row>
    <row r="274" spans="1:14" s="41" customFormat="1" ht="15.75" customHeight="1" x14ac:dyDescent="0.25">
      <c r="A274" s="94">
        <v>4</v>
      </c>
      <c r="B274" s="95"/>
      <c r="C274" s="38" t="s">
        <v>180</v>
      </c>
      <c r="D274" s="38">
        <f>(3.35*6.8+0.61*3.57+2.45*3.08+3.2*4.34+3.05*3.65+3.14*4.9+2.3*1.37+2.3*1.53+2.45*1.53+0.69*1.27+3.3*1.07+1.78*1.07+0.06*4.3+1.95*0.96+2.65*1.1+0.1*0.58)*10.764</f>
        <v>1019.8201104000002</v>
      </c>
      <c r="E274" s="38">
        <v>0</v>
      </c>
      <c r="F274" s="38">
        <f>D274*(($F$241)+1)+(IF(E274&lt;101,E274,IF(E274&lt;201,E274/2,IF(E274&lt;=301,E274/3,E274/4))))</f>
        <v>1580.7211711200005</v>
      </c>
      <c r="G274" s="121"/>
      <c r="H274" s="122"/>
      <c r="I274" s="63"/>
      <c r="J274" s="64"/>
      <c r="K274" s="33"/>
      <c r="L274" s="58"/>
      <c r="M274" s="58"/>
      <c r="N274" s="33"/>
    </row>
    <row r="275" spans="1:14" s="41" customFormat="1" ht="15.75" customHeight="1" x14ac:dyDescent="0.25">
      <c r="A275" s="94">
        <v>5</v>
      </c>
      <c r="B275" s="95"/>
      <c r="C275" s="38" t="s">
        <v>180</v>
      </c>
      <c r="D275" s="38">
        <f>(3.05*5.49+0.47*3.12+2.45*2.75+3.65*3.05+2.9*3.51+2.9*3.46+1.37*2.3+2.3*1.37+2.3*1.37+2.55*1.2+0.92*0.1+1*0.1+3.84*1.07+0.995*0.05+1.16*1.07+3.15*1.09+2*0.91)*10.764</f>
        <v>857.37574259999985</v>
      </c>
      <c r="E275" s="38">
        <v>0</v>
      </c>
      <c r="F275" s="38">
        <f>D275*(($F$241)+1)+(IF(E275&lt;101,E275,IF(E275&lt;201,E275/2,IF(E275&lt;=301,E275/3,E275/4))))</f>
        <v>1328.9324010299997</v>
      </c>
      <c r="G275" s="123"/>
      <c r="H275" s="124"/>
      <c r="I275" s="63"/>
      <c r="J275" s="64"/>
      <c r="K275" s="33"/>
      <c r="L275" s="58"/>
      <c r="M275" s="58"/>
      <c r="N275" s="33"/>
    </row>
    <row r="276" spans="1:14" s="41" customFormat="1" x14ac:dyDescent="0.25">
      <c r="A276" s="97" t="s">
        <v>331</v>
      </c>
      <c r="B276" s="98"/>
      <c r="C276" s="98"/>
      <c r="D276" s="98"/>
      <c r="E276" s="98"/>
      <c r="F276" s="98"/>
      <c r="G276" s="98"/>
      <c r="H276" s="99"/>
      <c r="I276" s="18">
        <f>8</f>
        <v>8</v>
      </c>
      <c r="J276" s="62"/>
    </row>
    <row r="277" spans="1:14" s="41" customFormat="1" ht="15.75" customHeight="1" x14ac:dyDescent="0.25">
      <c r="A277" s="94">
        <v>1</v>
      </c>
      <c r="B277" s="95"/>
      <c r="C277" s="38" t="s">
        <v>168</v>
      </c>
      <c r="D277" s="38">
        <f>(3.05*5.17+2.3*2.7+3.05*3.65+2.9*3.41+2.3*1.38+2.3*1.37+1.75*1.06+0.65*1.42+2.1*0.45+0.82*0.15+1*0.1+1.85*0.8)*10.764</f>
        <v>589.33976399999995</v>
      </c>
      <c r="E277" s="38">
        <v>0</v>
      </c>
      <c r="F277" s="38">
        <f>D277*(($F$241)+1)+(IF(E277&lt;101,E277,IF(E277&lt;201,E277/2,IF(E277&lt;=301,E277/3,E277/4))))</f>
        <v>913.47663419999992</v>
      </c>
      <c r="G277" s="119" t="str">
        <f>A276</f>
        <v>8th, 10th, 12th, 14th, 16th, 18th, 20th &amp; 22nd Floor (Fire Check Lobby near at Stairecase)</v>
      </c>
      <c r="H277" s="120"/>
      <c r="I277" s="18"/>
      <c r="J277" s="62"/>
      <c r="K277" s="33"/>
      <c r="L277" s="58"/>
      <c r="M277" s="58"/>
      <c r="N277" s="33"/>
    </row>
    <row r="278" spans="1:14" s="41" customFormat="1" ht="15.75" customHeight="1" x14ac:dyDescent="0.25">
      <c r="A278" s="94">
        <v>2</v>
      </c>
      <c r="B278" s="95"/>
      <c r="C278" s="38" t="s">
        <v>168</v>
      </c>
      <c r="D278" s="38">
        <f>(3.05*5.8+0.69*3.17+2.45*2.7+3.05*3.65+2.95*4.11+2.3*1.37+2.3*1.37+0.1*3.51+1.68*1.07+3.32*1.07+0.92*0.15+1*0.1+2*0.8+2.8*0.97)*10.764</f>
        <v>713.7210131999999</v>
      </c>
      <c r="E278" s="38">
        <v>0</v>
      </c>
      <c r="F278" s="38">
        <f>D278*(($F$241)+1)+(IF(E278&lt;101,E278,IF(E278&lt;201,E278/2,IF(E278&lt;=301,E278/3,E278/4))))</f>
        <v>1106.2675704599999</v>
      </c>
      <c r="G278" s="121"/>
      <c r="H278" s="122"/>
      <c r="I278" s="63"/>
      <c r="J278" s="64"/>
      <c r="K278" s="33"/>
      <c r="L278" s="58"/>
      <c r="M278" s="58"/>
      <c r="N278" s="33"/>
    </row>
    <row r="279" spans="1:14" s="41" customFormat="1" ht="15.75" customHeight="1" x14ac:dyDescent="0.25">
      <c r="A279" s="94">
        <v>3</v>
      </c>
      <c r="B279" s="95"/>
      <c r="C279" s="38" t="s">
        <v>180</v>
      </c>
      <c r="D279" s="38">
        <f>(3.05*6.1+0.7*3.17+2.45*3.01+3.05*3.65+2.95*4.57+2.3*1.37+2.3*1.37+0.1*3.97+1.68*1.07+3.32*1.07+1*0.1+1.95*0.96+2.85*1.1+1.61*1.02+1.37*2.3+3.05*3.96)*10.764</f>
        <v>934.74253079999983</v>
      </c>
      <c r="E279" s="38">
        <v>0</v>
      </c>
      <c r="F279" s="38">
        <f>D279*(($F$241)+1)+(IF(E279&lt;101,E279,IF(E279&lt;201,E279/2,IF(E279&lt;=301,E279/3,E279/4))))</f>
        <v>1448.8509227399998</v>
      </c>
      <c r="G279" s="121"/>
      <c r="H279" s="122"/>
      <c r="I279" s="63"/>
      <c r="J279" s="64"/>
      <c r="K279" s="33"/>
      <c r="L279" s="58"/>
      <c r="M279" s="58"/>
      <c r="N279" s="33"/>
    </row>
    <row r="280" spans="1:14" s="41" customFormat="1" ht="15.75" customHeight="1" x14ac:dyDescent="0.25">
      <c r="A280" s="94">
        <v>4</v>
      </c>
      <c r="B280" s="95"/>
      <c r="C280" s="38" t="s">
        <v>180</v>
      </c>
      <c r="D280" s="38">
        <f>(3.35*6.8+0.61*3.57+2.45*3.08+3.2*4.34+3.05*3.65+3.14*4.9+2.3*1.37+2.3*1.53+2.45*1.53+0.69*1.27+3.3*1.07+1.78*1.07+0.06*4.3+1.95*0.96+2.65*1.1+0.1*0.58)*10.764</f>
        <v>1019.8201104000002</v>
      </c>
      <c r="E280" s="38">
        <v>0</v>
      </c>
      <c r="F280" s="38">
        <f>D280*(($F$241)+1)+(IF(E280&lt;101,E280,IF(E280&lt;201,E280/2,IF(E280&lt;=301,E280/3,E280/4))))</f>
        <v>1580.7211711200005</v>
      </c>
      <c r="G280" s="121"/>
      <c r="H280" s="122"/>
      <c r="I280" s="63"/>
      <c r="J280" s="64"/>
      <c r="K280" s="33"/>
      <c r="L280" s="58"/>
      <c r="M280" s="58"/>
      <c r="N280" s="33"/>
    </row>
    <row r="281" spans="1:14" s="41" customFormat="1" ht="15.75" customHeight="1" x14ac:dyDescent="0.25">
      <c r="A281" s="94">
        <v>5</v>
      </c>
      <c r="B281" s="95"/>
      <c r="C281" s="38" t="s">
        <v>180</v>
      </c>
      <c r="D281" s="38">
        <f>(3.05*5.49+0.47*3.12+2.45*2.75+3.65*3.05+2.9*3.51+2.9*3.46+1.37*2.3+2.3*1.37+2.3*1.37+2.55*1.2+0.92*0.1+1*0.1+3.84*1.07+0.995*0.05+1.16*1.07+3.15*1.09+2*0.91)*10.764</f>
        <v>857.37574259999985</v>
      </c>
      <c r="E281" s="38">
        <v>0</v>
      </c>
      <c r="F281" s="38">
        <f>D281*(($F$241)+1)+(IF(E281&lt;101,E281,IF(E281&lt;201,E281/2,IF(E281&lt;=301,E281/3,E281/4))))</f>
        <v>1328.9324010299997</v>
      </c>
      <c r="G281" s="123"/>
      <c r="H281" s="124"/>
      <c r="I281" s="63"/>
      <c r="J281" s="64"/>
      <c r="K281" s="33"/>
      <c r="L281" s="58"/>
      <c r="M281" s="58"/>
      <c r="N281" s="33"/>
    </row>
    <row r="282" spans="1:14" s="31" customFormat="1" x14ac:dyDescent="0.25">
      <c r="A282" s="103" t="s">
        <v>243</v>
      </c>
      <c r="B282" s="103"/>
      <c r="C282" s="103"/>
      <c r="D282" s="103"/>
      <c r="E282" s="103"/>
      <c r="F282" s="103"/>
      <c r="G282" s="103"/>
      <c r="H282" s="103"/>
    </row>
    <row r="283" spans="1:14" s="31" customFormat="1" x14ac:dyDescent="0.25">
      <c r="A283" s="147" t="s">
        <v>227</v>
      </c>
      <c r="B283" s="148"/>
      <c r="C283" s="148"/>
      <c r="D283" s="148"/>
      <c r="E283" s="148"/>
      <c r="F283" s="148"/>
      <c r="G283" s="148"/>
      <c r="H283" s="148"/>
    </row>
    <row r="284" spans="1:14" s="31" customFormat="1" x14ac:dyDescent="0.25">
      <c r="A284" s="148" t="s">
        <v>330</v>
      </c>
      <c r="B284" s="148"/>
      <c r="C284" s="148"/>
      <c r="D284" s="148"/>
      <c r="E284" s="148"/>
      <c r="F284" s="148"/>
      <c r="G284" s="148"/>
      <c r="H284" s="148"/>
    </row>
    <row r="285" spans="1:14" s="41" customFormat="1" x14ac:dyDescent="0.25">
      <c r="A285" s="97" t="s">
        <v>189</v>
      </c>
      <c r="B285" s="98"/>
      <c r="C285" s="98"/>
      <c r="D285" s="98"/>
      <c r="E285" s="98"/>
      <c r="F285" s="98"/>
      <c r="G285" s="98"/>
      <c r="H285" s="99"/>
      <c r="I285" s="18">
        <v>1</v>
      </c>
      <c r="J285" s="62"/>
    </row>
    <row r="286" spans="1:14" s="41" customFormat="1" ht="15.75" customHeight="1" x14ac:dyDescent="0.25">
      <c r="A286" s="94">
        <v>1</v>
      </c>
      <c r="B286" s="95"/>
      <c r="C286" s="38" t="s">
        <v>168</v>
      </c>
      <c r="D286" s="38">
        <f>(3.05*5.17+2.3*2.7+3.05*3.65+2.9*3.41+2.3*1.38+2.3*1.37+2.1*0.45+0.65*1.42+1.75*1.06+0.05*1.12+1.09*0.1+1.85*0.8)*10.764</f>
        <v>588.71545199999991</v>
      </c>
      <c r="E286" s="38">
        <v>0</v>
      </c>
      <c r="F286" s="38">
        <f>D286*(($F$241)+1)+(IF(E286&lt;101,E286,IF(E286&lt;201,E286/2,IF(E286&lt;=301,E286/3,E286/4))))</f>
        <v>912.50895059999993</v>
      </c>
      <c r="G286" s="119" t="str">
        <f>A285</f>
        <v xml:space="preserve">1st Floor for Residential &amp; Podium Parking </v>
      </c>
      <c r="H286" s="120"/>
      <c r="I286" s="18"/>
      <c r="J286" s="62">
        <f>(3.05*5.17+2.3*2.7+3.05*3.65+2.9*3.41+2.3*1.38+2.3*1.37+2.1*0.45+0.65*1.42+1.75*1.06+0.05*1.12+1.09*0.1+1.85*0.8)</f>
        <v>54.692999999999998</v>
      </c>
      <c r="K286" s="33"/>
      <c r="L286" s="58"/>
      <c r="M286" s="58"/>
      <c r="N286" s="33"/>
    </row>
    <row r="287" spans="1:14" s="41" customFormat="1" ht="15.75" customHeight="1" x14ac:dyDescent="0.25">
      <c r="A287" s="94">
        <f t="shared" ref="A287" si="3">A286+1</f>
        <v>2</v>
      </c>
      <c r="B287" s="95"/>
      <c r="C287" s="38" t="s">
        <v>168</v>
      </c>
      <c r="D287" s="38">
        <f>(3.05*5.8+2.45*2.7+3.05*3.65+2.95*4.11+2.3*1.37+2.3*1.37+0.1*3.51+1.68*1.07+3.32*1.07+0.7*3.17+0.92*0.15+1.25*0.1+2*0.8)*10.764</f>
        <v>685.09630799999991</v>
      </c>
      <c r="E287" s="38">
        <v>0</v>
      </c>
      <c r="F287" s="38">
        <f>D287*(($F$241)+1)+(IF(E287&lt;101,E287,IF(E287&lt;201,E287/2,IF(E287&lt;=301,E287/3,E287/4))))</f>
        <v>1061.8992773999998</v>
      </c>
      <c r="G287" s="121"/>
      <c r="H287" s="122"/>
      <c r="I287" s="63"/>
      <c r="J287" s="64">
        <f>(3.05*5.8+2.45*2.7+3.05*3.65+2.95*4.11+2.3*1.37+2.3*1.37+0.1*3.51+1.68*1.07+3.32*1.07+0.7*3.17+0.92*0.15+1.25*0.1+2*0.8)</f>
        <v>63.646999999999991</v>
      </c>
      <c r="K287" s="33">
        <v>72.575999999999993</v>
      </c>
      <c r="L287" s="58"/>
      <c r="M287" s="58"/>
      <c r="N287" s="33"/>
    </row>
    <row r="288" spans="1:14" s="41" customFormat="1" ht="15.75" customHeight="1" x14ac:dyDescent="0.25">
      <c r="A288" s="94">
        <v>3</v>
      </c>
      <c r="B288" s="95"/>
      <c r="C288" s="119" t="s">
        <v>192</v>
      </c>
      <c r="D288" s="145"/>
      <c r="E288" s="145"/>
      <c r="F288" s="120"/>
      <c r="G288" s="121"/>
      <c r="H288" s="122"/>
      <c r="I288" s="63"/>
      <c r="J288" s="64"/>
      <c r="K288" s="33"/>
      <c r="L288" s="58"/>
      <c r="M288" s="58"/>
      <c r="N288" s="33"/>
    </row>
    <row r="289" spans="1:14" s="41" customFormat="1" ht="15.75" customHeight="1" x14ac:dyDescent="0.25">
      <c r="A289" s="94">
        <v>4</v>
      </c>
      <c r="B289" s="95"/>
      <c r="C289" s="121"/>
      <c r="D289" s="250"/>
      <c r="E289" s="250"/>
      <c r="F289" s="122"/>
      <c r="G289" s="121"/>
      <c r="H289" s="122"/>
      <c r="I289" s="63"/>
      <c r="J289" s="64"/>
      <c r="K289" s="33"/>
      <c r="L289" s="58"/>
      <c r="M289" s="58"/>
      <c r="N289" s="33"/>
    </row>
    <row r="290" spans="1:14" s="41" customFormat="1" ht="15.75" customHeight="1" x14ac:dyDescent="0.25">
      <c r="A290" s="94">
        <v>5</v>
      </c>
      <c r="B290" s="95"/>
      <c r="C290" s="123"/>
      <c r="D290" s="146"/>
      <c r="E290" s="146"/>
      <c r="F290" s="124"/>
      <c r="G290" s="123"/>
      <c r="H290" s="124"/>
      <c r="I290" s="63"/>
      <c r="J290" s="64"/>
      <c r="K290" s="33"/>
      <c r="L290" s="58"/>
      <c r="M290" s="58"/>
      <c r="N290" s="33"/>
    </row>
    <row r="291" spans="1:14" s="41" customFormat="1" x14ac:dyDescent="0.25">
      <c r="A291" s="97" t="s">
        <v>190</v>
      </c>
      <c r="B291" s="98"/>
      <c r="C291" s="98"/>
      <c r="D291" s="98"/>
      <c r="E291" s="98"/>
      <c r="F291" s="98"/>
      <c r="G291" s="98"/>
      <c r="H291" s="99"/>
      <c r="I291" s="18">
        <v>1</v>
      </c>
      <c r="J291" s="62"/>
    </row>
    <row r="292" spans="1:14" s="41" customFormat="1" ht="15.75" customHeight="1" x14ac:dyDescent="0.25">
      <c r="A292" s="94">
        <v>1</v>
      </c>
      <c r="B292" s="95"/>
      <c r="C292" s="38" t="s">
        <v>168</v>
      </c>
      <c r="D292" s="38">
        <f>(3.05*5.17+2.3*2.7+3.05*3.65+2.9*3.41+2.3*1.38+2.3*1.37+2.1*0.45+0.65*1.42+1.75*1.06+0.05*1.12+1.09*0.1+1.85*0.8)*10.764</f>
        <v>588.71545199999991</v>
      </c>
      <c r="E292" s="38">
        <v>0</v>
      </c>
      <c r="F292" s="38">
        <f>D292*(($F$241)+1)+(IF(E292&lt;101,E292,IF(E292&lt;201,E292/2,IF(E292&lt;=301,E292/3,E292/4))))</f>
        <v>912.50895059999993</v>
      </c>
      <c r="G292" s="119" t="str">
        <f>A291</f>
        <v xml:space="preserve">2nd Floor for Residential &amp; Podium Parking </v>
      </c>
      <c r="H292" s="120"/>
      <c r="I292" s="18"/>
      <c r="J292" s="62"/>
      <c r="K292" s="33"/>
      <c r="L292" s="58"/>
      <c r="M292" s="58"/>
      <c r="N292" s="33"/>
    </row>
    <row r="293" spans="1:14" s="41" customFormat="1" ht="15.75" customHeight="1" x14ac:dyDescent="0.25">
      <c r="A293" s="94">
        <f t="shared" ref="A293" si="4">A292+1</f>
        <v>2</v>
      </c>
      <c r="B293" s="95"/>
      <c r="C293" s="38" t="s">
        <v>168</v>
      </c>
      <c r="D293" s="38">
        <f>(3.05*5.8+2.45*2.7+3.05*3.65+2.95*4.11+2.3*1.37+2.3*1.37+0.1*3.51+1.68*1.07+3.32*1.07+0.7*3.17+0.92*0.15+1.25*0.1+2*0.8)*10.764</f>
        <v>685.09630799999991</v>
      </c>
      <c r="E293" s="38">
        <v>0</v>
      </c>
      <c r="F293" s="38">
        <f>D293*(($F$241)+1)+(IF(E293&lt;101,E293,IF(E293&lt;201,E293/2,IF(E293&lt;=301,E293/3,E293/4))))</f>
        <v>1061.8992773999998</v>
      </c>
      <c r="G293" s="121"/>
      <c r="H293" s="122"/>
      <c r="I293" s="63"/>
      <c r="J293" s="64"/>
      <c r="K293" s="33"/>
      <c r="L293" s="58"/>
      <c r="M293" s="58"/>
      <c r="N293" s="33"/>
    </row>
    <row r="294" spans="1:14" s="41" customFormat="1" ht="15.75" customHeight="1" x14ac:dyDescent="0.25">
      <c r="A294" s="94">
        <v>3</v>
      </c>
      <c r="B294" s="95"/>
      <c r="C294" s="119" t="s">
        <v>192</v>
      </c>
      <c r="D294" s="145"/>
      <c r="E294" s="145"/>
      <c r="F294" s="120"/>
      <c r="G294" s="121"/>
      <c r="H294" s="122"/>
      <c r="I294" s="63"/>
      <c r="J294" s="64"/>
      <c r="K294" s="33"/>
      <c r="L294" s="58"/>
      <c r="M294" s="58"/>
      <c r="N294" s="33"/>
    </row>
    <row r="295" spans="1:14" s="41" customFormat="1" ht="15.75" customHeight="1" x14ac:dyDescent="0.25">
      <c r="A295" s="94">
        <v>4</v>
      </c>
      <c r="B295" s="95"/>
      <c r="C295" s="121"/>
      <c r="D295" s="250"/>
      <c r="E295" s="250"/>
      <c r="F295" s="122"/>
      <c r="G295" s="121"/>
      <c r="H295" s="122"/>
      <c r="I295" s="63"/>
      <c r="J295" s="64"/>
      <c r="K295" s="33"/>
      <c r="L295" s="58"/>
      <c r="M295" s="58"/>
      <c r="N295" s="33"/>
    </row>
    <row r="296" spans="1:14" s="41" customFormat="1" ht="15.75" customHeight="1" x14ac:dyDescent="0.25">
      <c r="A296" s="94">
        <v>5</v>
      </c>
      <c r="B296" s="95"/>
      <c r="C296" s="123"/>
      <c r="D296" s="146"/>
      <c r="E296" s="146"/>
      <c r="F296" s="124"/>
      <c r="G296" s="123"/>
      <c r="H296" s="124"/>
      <c r="I296" s="63"/>
      <c r="J296" s="64"/>
      <c r="K296" s="33"/>
      <c r="L296" s="58"/>
      <c r="M296" s="58"/>
      <c r="N296" s="33"/>
    </row>
    <row r="297" spans="1:14" s="41" customFormat="1" ht="15.6" customHeight="1" x14ac:dyDescent="0.25">
      <c r="A297" s="144" t="s">
        <v>345</v>
      </c>
      <c r="B297" s="144"/>
      <c r="C297" s="144"/>
      <c r="D297" s="144"/>
      <c r="E297" s="144"/>
      <c r="F297" s="144"/>
      <c r="G297" s="144"/>
      <c r="H297" s="144"/>
      <c r="I297" s="18">
        <v>1</v>
      </c>
      <c r="J297" s="62"/>
    </row>
    <row r="298" spans="1:14" s="41" customFormat="1" ht="15.75" customHeight="1" x14ac:dyDescent="0.25">
      <c r="A298" s="94">
        <v>1</v>
      </c>
      <c r="B298" s="95"/>
      <c r="C298" s="38" t="s">
        <v>168</v>
      </c>
      <c r="D298" s="38">
        <f>(3.05*5.17+2.3*2.7+3.05*3.65+2.9*3.41+2.3*1.38+2.3*1.37+2.1*0.45+0.65*1.42+1.75*1.06+0.05*1.12+1.09*0.1+1.85*0.8)*10.764</f>
        <v>588.71545199999991</v>
      </c>
      <c r="E298" s="38">
        <v>0</v>
      </c>
      <c r="F298" s="38">
        <f>D298*(($F$241)+1)+(IF(E298&lt;101,E298,IF(E298&lt;201,E298/2,IF(E298&lt;=301,E298/3,E298/4))))</f>
        <v>912.50895059999993</v>
      </c>
      <c r="G298" s="119" t="str">
        <f>A297</f>
        <v xml:space="preserve">3rd Floor for Residential, Fitness Center &amp; Podium Parking </v>
      </c>
      <c r="H298" s="120"/>
      <c r="I298" s="18"/>
      <c r="J298" s="62"/>
      <c r="K298" s="33"/>
      <c r="L298" s="58"/>
      <c r="M298" s="58"/>
      <c r="N298" s="33"/>
    </row>
    <row r="299" spans="1:14" s="41" customFormat="1" ht="15.75" customHeight="1" x14ac:dyDescent="0.25">
      <c r="A299" s="94">
        <f t="shared" ref="A299" si="5">A298+1</f>
        <v>2</v>
      </c>
      <c r="B299" s="95"/>
      <c r="C299" s="38" t="s">
        <v>168</v>
      </c>
      <c r="D299" s="38">
        <f>(3.05*5.8+2.45*2.7+3.05*3.65+2.95*4.11+2.3*1.37+2.3*1.37+0.1*3.51+1.68*1.07+3.32*1.07+0.7*3.17+0.92*0.15+1.25*0.1+2*0.8)*10.764</f>
        <v>685.09630799999991</v>
      </c>
      <c r="E299" s="38">
        <v>0</v>
      </c>
      <c r="F299" s="38">
        <f>D299*(($F$241)+1)+(IF(E299&lt;101,E299,IF(E299&lt;201,E299/2,IF(E299&lt;=301,E299/3,E299/4))))</f>
        <v>1061.8992773999998</v>
      </c>
      <c r="G299" s="121"/>
      <c r="H299" s="122"/>
      <c r="I299" s="63"/>
      <c r="J299" s="64"/>
      <c r="K299" s="33"/>
      <c r="L299" s="58"/>
      <c r="M299" s="58"/>
      <c r="N299" s="33"/>
    </row>
    <row r="300" spans="1:14" s="41" customFormat="1" ht="15.75" customHeight="1" x14ac:dyDescent="0.25">
      <c r="A300" s="94">
        <v>3</v>
      </c>
      <c r="B300" s="95"/>
      <c r="C300" s="119" t="s">
        <v>202</v>
      </c>
      <c r="D300" s="145"/>
      <c r="E300" s="145"/>
      <c r="F300" s="120"/>
      <c r="G300" s="121"/>
      <c r="H300" s="122"/>
      <c r="I300" s="18"/>
      <c r="J300" s="62"/>
      <c r="K300" s="33"/>
      <c r="L300" s="58"/>
      <c r="M300" s="58"/>
      <c r="N300" s="33"/>
    </row>
    <row r="301" spans="1:14" s="41" customFormat="1" ht="15.75" customHeight="1" x14ac:dyDescent="0.25">
      <c r="A301" s="94">
        <v>4</v>
      </c>
      <c r="B301" s="95"/>
      <c r="C301" s="123"/>
      <c r="D301" s="146"/>
      <c r="E301" s="146"/>
      <c r="F301" s="124"/>
      <c r="G301" s="121"/>
      <c r="H301" s="122"/>
      <c r="I301" s="63"/>
      <c r="J301" s="64"/>
      <c r="K301" s="33"/>
      <c r="L301" s="58"/>
      <c r="M301" s="58"/>
      <c r="N301" s="33"/>
    </row>
    <row r="302" spans="1:14" s="41" customFormat="1" ht="15.75" customHeight="1" x14ac:dyDescent="0.25">
      <c r="A302" s="94">
        <v>5</v>
      </c>
      <c r="B302" s="95"/>
      <c r="C302" s="38" t="s">
        <v>180</v>
      </c>
      <c r="D302" s="38">
        <f>(3.05*5.49+2.45*2.75+3.65*3.05+2.9*3.51+2.9*3.46+1.37*2.3+2.3*1.37+2.3*1.37+1.16*1.07+3.84*1.07+0.47*3.12+2.55*1.2+0.92*0.1+1*0.1+2*0.91)*10.764</f>
        <v>819.88203959999976</v>
      </c>
      <c r="E302" s="38">
        <v>0</v>
      </c>
      <c r="F302" s="38">
        <f>D302*(($F$241)+1)+(IF(E302&lt;101,E302,IF(E302&lt;201,E302/2,IF(E302&lt;=301,E302/3,E302/4))))</f>
        <v>1270.8171613799996</v>
      </c>
      <c r="G302" s="123"/>
      <c r="H302" s="124"/>
      <c r="I302" s="63"/>
      <c r="J302" s="64"/>
      <c r="K302" s="33"/>
      <c r="L302" s="58"/>
      <c r="M302" s="58"/>
      <c r="N302" s="33"/>
    </row>
    <row r="303" spans="1:14" s="41" customFormat="1" x14ac:dyDescent="0.25">
      <c r="A303" s="97" t="s">
        <v>181</v>
      </c>
      <c r="B303" s="98"/>
      <c r="C303" s="98"/>
      <c r="D303" s="98"/>
      <c r="E303" s="98"/>
      <c r="F303" s="98"/>
      <c r="G303" s="98"/>
      <c r="H303" s="99"/>
      <c r="I303" s="18">
        <v>1</v>
      </c>
      <c r="J303" s="62"/>
    </row>
    <row r="304" spans="1:14" s="41" customFormat="1" ht="15.75" customHeight="1" x14ac:dyDescent="0.25">
      <c r="A304" s="94">
        <v>1</v>
      </c>
      <c r="B304" s="95"/>
      <c r="C304" s="38" t="s">
        <v>168</v>
      </c>
      <c r="D304" s="38">
        <f>(3.05*5.17+2.3*2.7+3.05*3.65+2.9*3.41+2.3*1.38+2.3*1.37+2.1*0.45+0.65*1.42+1.75*1.06+1*0.1+1.85*0.8)*10.764</f>
        <v>588.01579199999992</v>
      </c>
      <c r="E304" s="38">
        <v>0</v>
      </c>
      <c r="F304" s="38">
        <f>D304*(($F$241)+1)+(IF(E304&lt;101,E304,IF(E304&lt;201,E304/2,IF(E304&lt;=301,E304/3,E304/4))))</f>
        <v>911.42447759999993</v>
      </c>
      <c r="G304" s="206" t="str">
        <f>A303</f>
        <v xml:space="preserve">4th Floor </v>
      </c>
      <c r="H304" s="207"/>
      <c r="I304" s="18"/>
      <c r="J304" s="62"/>
      <c r="K304" s="33"/>
      <c r="L304" s="58"/>
      <c r="M304" s="58"/>
      <c r="N304" s="33"/>
    </row>
    <row r="305" spans="1:14" s="41" customFormat="1" ht="15.75" customHeight="1" x14ac:dyDescent="0.25">
      <c r="A305" s="94">
        <v>2</v>
      </c>
      <c r="B305" s="95"/>
      <c r="C305" s="38" t="s">
        <v>168</v>
      </c>
      <c r="D305" s="38">
        <f>(3.05*5.8+2.45*2.7+2.95*4.11+3.05*3.65+2.3*1.37+2.3*1.37+0.7*3.17+3.32*1.07+1.68*1.07+0.1*3.51+0.92*0.15+1*0.1+2*0.8)*10.764</f>
        <v>684.82720800000004</v>
      </c>
      <c r="E305" s="38">
        <v>0</v>
      </c>
      <c r="F305" s="38">
        <f>D305*(($F$241)+1)+(IF(E305&lt;101,E305,IF(E305&lt;201,E305/2,IF(E305&lt;=301,E305/3,E305/4))))</f>
        <v>1061.4821724000001</v>
      </c>
      <c r="G305" s="208"/>
      <c r="H305" s="209"/>
      <c r="I305" s="63"/>
      <c r="J305" s="64"/>
      <c r="K305" s="33"/>
      <c r="L305" s="58"/>
      <c r="M305" s="58"/>
      <c r="N305" s="33"/>
    </row>
    <row r="306" spans="1:14" s="41" customFormat="1" ht="15.75" customHeight="1" x14ac:dyDescent="0.25">
      <c r="A306" s="94">
        <v>3</v>
      </c>
      <c r="B306" s="95"/>
      <c r="C306" s="38" t="s">
        <v>180</v>
      </c>
      <c r="D306" s="38">
        <f>(3.05*6.1+2.45*3.01+3.05*3.65+2.95*4.57+3.05*3.96+2.3*1.37+2.3*1.37+1.37*2.3+0.05*1.27+1.61*1.02+0.7*3.57+3.32*1.07+1.68*1.07+0.1*3.97+1*0.1+1.95*0.96)*10.764</f>
        <v>904.69482479999988</v>
      </c>
      <c r="E306" s="38">
        <f>(1.6*2.95+0.8*3.05)*10.764</f>
        <v>77.070239999999998</v>
      </c>
      <c r="F306" s="38">
        <f>D306*(($F$241)+1)+(IF(E306&lt;101,E306,IF(E306&lt;201,E306/2,IF(E306&lt;=301,E306/3,E306/4))))</f>
        <v>1479.3472184399998</v>
      </c>
      <c r="G306" s="208"/>
      <c r="H306" s="209"/>
      <c r="I306" s="63"/>
      <c r="J306" s="64"/>
      <c r="K306" s="33"/>
      <c r="L306" s="58"/>
      <c r="M306" s="58"/>
      <c r="N306" s="33"/>
    </row>
    <row r="307" spans="1:14" s="41" customFormat="1" ht="15.75" customHeight="1" x14ac:dyDescent="0.25">
      <c r="A307" s="94">
        <v>4</v>
      </c>
      <c r="B307" s="95"/>
      <c r="C307" s="38" t="s">
        <v>180</v>
      </c>
      <c r="D307" s="38">
        <f>(3.35*6.8+2.45*3.08+3.05*3.65+3.14*4.9+3.2*4.34+2.3*1.37+2.3*1.53+2.45*1.53+0.7*1.27+0.7*3.57+3.3*1.07+1.79*1.07+0.06*4.3+1.95*0.96)*10.764</f>
        <v>991.52908920000004</v>
      </c>
      <c r="E307" s="38">
        <f>(0.8*3.35)*10.764</f>
        <v>28.847519999999999</v>
      </c>
      <c r="F307" s="38">
        <f>D307*(($F$241)+1)+(IF(E307&lt;101,E307,IF(E307&lt;201,E307/2,IF(E307&lt;=301,E307/3,E307/4))))</f>
        <v>1565.7176082600001</v>
      </c>
      <c r="G307" s="208"/>
      <c r="H307" s="209"/>
      <c r="I307" s="63"/>
      <c r="J307" s="64"/>
      <c r="K307" s="33"/>
      <c r="L307" s="58"/>
      <c r="M307" s="58"/>
      <c r="N307" s="33"/>
    </row>
    <row r="308" spans="1:14" s="41" customFormat="1" ht="15.75" customHeight="1" x14ac:dyDescent="0.25">
      <c r="A308" s="94">
        <v>5</v>
      </c>
      <c r="B308" s="95"/>
      <c r="C308" s="38" t="s">
        <v>180</v>
      </c>
      <c r="D308" s="38">
        <f>(3.05*5.49+2.45*2.75+2.9*3.46+2.9*3.51+3.65*3.05+1.37*2.3+2.3*1.37+2.3*1.37+2.55*1.2+0.92*0.1+1*0.1+0.47*3.12+3.84*1.07+1.16*1.07+2*0.91)*10.764</f>
        <v>819.88203959999976</v>
      </c>
      <c r="E308" s="38">
        <v>0</v>
      </c>
      <c r="F308" s="38">
        <f>D308*(($F$241)+1)+(IF(E308&lt;101,E308,IF(E308&lt;201,E308/2,IF(E308&lt;=301,E308/3,E308/4))))</f>
        <v>1270.8171613799996</v>
      </c>
      <c r="G308" s="210"/>
      <c r="H308" s="211"/>
      <c r="I308" s="63"/>
      <c r="J308" s="64"/>
      <c r="K308" s="33"/>
      <c r="L308" s="58"/>
      <c r="M308" s="58"/>
      <c r="N308" s="33"/>
    </row>
    <row r="309" spans="1:14" s="41" customFormat="1" x14ac:dyDescent="0.25">
      <c r="A309" s="97" t="s">
        <v>209</v>
      </c>
      <c r="B309" s="98"/>
      <c r="C309" s="98"/>
      <c r="D309" s="98"/>
      <c r="E309" s="98"/>
      <c r="F309" s="98"/>
      <c r="G309" s="98"/>
      <c r="H309" s="99"/>
      <c r="I309" s="18">
        <f>3+7</f>
        <v>10</v>
      </c>
      <c r="J309" s="62"/>
    </row>
    <row r="310" spans="1:14" s="41" customFormat="1" ht="15.75" customHeight="1" x14ac:dyDescent="0.25">
      <c r="A310" s="125">
        <v>1</v>
      </c>
      <c r="B310" s="125"/>
      <c r="C310" s="38" t="s">
        <v>168</v>
      </c>
      <c r="D310" s="38">
        <f>(3.05*5.17+2.3*2.7+3.05*3.65+2.9*3.41+2.3*1.38+2.3*1.37+2.1*0.45+0.65*1.42+1.75*1.06+0.05*1.12+1*0.1+1.85*0.8)*10.764</f>
        <v>588.61857599999996</v>
      </c>
      <c r="E310" s="38">
        <v>0</v>
      </c>
      <c r="F310" s="38">
        <f>D310*(($F$241)+1)+(IF(E310&lt;101,E310,IF(E310&lt;201,E310/2,IF(E310&lt;=301,E310/3,E310/4))))</f>
        <v>912.35879279999995</v>
      </c>
      <c r="G310" s="188" t="str">
        <f>A309</f>
        <v>5th to 7th, 9th, 11th, 13th, 15th, 17th, 19th &amp; 21st Floor</v>
      </c>
      <c r="H310" s="188"/>
      <c r="I310" s="18"/>
      <c r="J310" s="62"/>
      <c r="K310" s="33"/>
      <c r="L310" s="58"/>
      <c r="M310" s="58"/>
      <c r="N310" s="33"/>
    </row>
    <row r="311" spans="1:14" s="41" customFormat="1" ht="15.75" customHeight="1" x14ac:dyDescent="0.25">
      <c r="A311" s="125">
        <v>2</v>
      </c>
      <c r="B311" s="125"/>
      <c r="C311" s="38" t="s">
        <v>168</v>
      </c>
      <c r="D311" s="38">
        <f>(3.05*5.8+2.45*2.7+3.05*3.65+2.95*4.11+2.3*1.37+2.3*1.37+0.7*3.17+3.32*1.07+1.68*1.07+0.1*3.51+0.92*0.15+1.075*0.1+2.8*0.97+2*0.75+1.85*0.05)*10.764</f>
        <v>714.06223199999988</v>
      </c>
      <c r="E311" s="38">
        <v>0</v>
      </c>
      <c r="F311" s="38">
        <f>D311*(($F$241)+1)+(IF(E311&lt;101,E311,IF(E311&lt;201,E311/2,IF(E311&lt;=301,E311/3,E311/4))))</f>
        <v>1106.7964595999999</v>
      </c>
      <c r="G311" s="188"/>
      <c r="H311" s="188"/>
      <c r="I311" s="63"/>
      <c r="J311" s="64"/>
      <c r="K311" s="33"/>
      <c r="L311" s="58"/>
      <c r="M311" s="58"/>
      <c r="N311" s="33"/>
    </row>
    <row r="312" spans="1:14" s="41" customFormat="1" ht="15.75" customHeight="1" x14ac:dyDescent="0.25">
      <c r="A312" s="125">
        <v>3</v>
      </c>
      <c r="B312" s="125"/>
      <c r="C312" s="38" t="s">
        <v>180</v>
      </c>
      <c r="D312" s="38">
        <f>(3.05*6.1+2.45*3+3.05*3.65+2.95*4.57+3.05*3.96+1.37*2.3+2.3*1.37+2.3*1.37+0.05*1.27+0.7*3.57+1.61*1.02+3.32*1.07+1.68*1.07+0.1*3.97+1*0.1+2.85*1.1+1.95*0.96)*10.764</f>
        <v>938.17624680000006</v>
      </c>
      <c r="E312" s="38">
        <v>0</v>
      </c>
      <c r="F312" s="38">
        <f>D312*(($F$241)+1)+(IF(E312&lt;101,E312,IF(E312&lt;201,E312/2,IF(E312&lt;=301,E312/3,E312/4))))</f>
        <v>1454.1731825400002</v>
      </c>
      <c r="G312" s="188"/>
      <c r="H312" s="188"/>
      <c r="I312" s="63"/>
      <c r="J312" s="64"/>
      <c r="K312" s="33"/>
      <c r="L312" s="58"/>
      <c r="M312" s="58"/>
      <c r="N312" s="33"/>
    </row>
    <row r="313" spans="1:14" s="41" customFormat="1" ht="15.75" customHeight="1" x14ac:dyDescent="0.25">
      <c r="A313" s="125">
        <v>4</v>
      </c>
      <c r="B313" s="125"/>
      <c r="C313" s="38" t="s">
        <v>180</v>
      </c>
      <c r="D313" s="38">
        <f>(3.35*6.8+2.45*3.08+3.2*4.34+3.05*3.65+3.14*4.9+2.3*1.37+2.3*1.53+2.45*1.53+0.7*1.27+0.7*3.57+3.3*1.07+1.79*1.07+0.06*4.3+0.923*0.15+1*0.1+1.95*0.96+2.55*1.1+0.1*0.58)*10.764</f>
        <v>1024.9130970000001</v>
      </c>
      <c r="E313" s="38">
        <v>0</v>
      </c>
      <c r="F313" s="38">
        <f>D313*(($F$241)+1)+(IF(E313&lt;101,E313,IF(E313&lt;201,E313/2,IF(E313&lt;=301,E313/3,E313/4))))</f>
        <v>1588.6153003500003</v>
      </c>
      <c r="G313" s="188"/>
      <c r="H313" s="188"/>
      <c r="I313" s="63"/>
      <c r="J313" s="64"/>
      <c r="K313" s="33"/>
      <c r="L313" s="58"/>
      <c r="M313" s="58"/>
      <c r="N313" s="33"/>
    </row>
    <row r="314" spans="1:14" s="41" customFormat="1" ht="15.75" customHeight="1" x14ac:dyDescent="0.25">
      <c r="A314" s="125">
        <v>5</v>
      </c>
      <c r="B314" s="125"/>
      <c r="C314" s="38" t="s">
        <v>180</v>
      </c>
      <c r="D314" s="38">
        <f>(3.05*5.49+2.45*2.75+2.9*3.46+2.9*3.51+3.65*3.05+2.3*1.37+2.3*1.37+1.37*2.3+2.55*1.2+0.92*0.1+1*0.1+0.47*3.12+3.84*1.07+1.16*1.07+2*0.91+3.1*1.09)*10.764</f>
        <v>856.25359559999981</v>
      </c>
      <c r="E314" s="38">
        <v>0</v>
      </c>
      <c r="F314" s="38">
        <f>D314*(($F$241)+1)+(IF(E314&lt;101,E314,IF(E314&lt;201,E314/2,IF(E314&lt;=301,E314/3,E314/4))))</f>
        <v>1327.1930731799998</v>
      </c>
      <c r="G314" s="188"/>
      <c r="H314" s="188"/>
      <c r="I314" s="63"/>
      <c r="J314" s="64"/>
      <c r="K314" s="33"/>
      <c r="L314" s="58"/>
      <c r="M314" s="58"/>
      <c r="N314" s="33"/>
    </row>
    <row r="315" spans="1:14" s="41" customFormat="1" ht="15.6" customHeight="1" x14ac:dyDescent="0.25">
      <c r="A315" s="97" t="s">
        <v>331</v>
      </c>
      <c r="B315" s="98"/>
      <c r="C315" s="98"/>
      <c r="D315" s="98"/>
      <c r="E315" s="98"/>
      <c r="F315" s="98"/>
      <c r="G315" s="98"/>
      <c r="H315" s="99"/>
      <c r="I315" s="18">
        <v>8</v>
      </c>
      <c r="J315" s="62"/>
    </row>
    <row r="316" spans="1:14" s="41" customFormat="1" ht="15.75" customHeight="1" x14ac:dyDescent="0.25">
      <c r="A316" s="94">
        <v>1</v>
      </c>
      <c r="B316" s="95"/>
      <c r="C316" s="38" t="s">
        <v>168</v>
      </c>
      <c r="D316" s="38">
        <f>(3.05*5.17+2.3*2.7+3.05*3.65+2.9*3.41+2.3*1.38+2.3*1.37+2.1*0.45+0.65*1.42+1.75*1.06+0.05*1.12+1*0.1+1.85*0.8)*10.764</f>
        <v>588.61857599999996</v>
      </c>
      <c r="E316" s="38">
        <v>0</v>
      </c>
      <c r="F316" s="38">
        <f>D316*(($F$241)+1)+(IF(E316&lt;101,E316,IF(E316&lt;201,E316/2,IF(E316&lt;=301,E316/3,E316/4))))</f>
        <v>912.35879279999995</v>
      </c>
      <c r="G316" s="119" t="str">
        <f>A315</f>
        <v>8th, 10th, 12th, 14th, 16th, 18th, 20th &amp; 22nd Floor (Fire Check Lobby near at Stairecase)</v>
      </c>
      <c r="H316" s="120"/>
      <c r="I316" s="18"/>
      <c r="J316" s="62"/>
      <c r="K316" s="33"/>
      <c r="L316" s="58"/>
      <c r="M316" s="58"/>
      <c r="N316" s="33"/>
    </row>
    <row r="317" spans="1:14" s="41" customFormat="1" ht="15.75" customHeight="1" x14ac:dyDescent="0.25">
      <c r="A317" s="94">
        <v>2</v>
      </c>
      <c r="B317" s="95"/>
      <c r="C317" s="38" t="s">
        <v>168</v>
      </c>
      <c r="D317" s="38">
        <f>(3.05*5.8+2.45*2.7+3.05*3.65+2.95*4.11+2.3*1.37+2.3*1.37+0.7*3.17+3.32*1.07+1.68*1.07+0.1*3.51+0.92*0.15+1.075*0.1+2.8*0.97+2*0.75+1.85*0.05)*10.764</f>
        <v>714.06223199999988</v>
      </c>
      <c r="E317" s="38">
        <v>0</v>
      </c>
      <c r="F317" s="38">
        <f>D317*(($F$241)+1)+(IF(E317&lt;101,E317,IF(E317&lt;201,E317/2,IF(E317&lt;=301,E317/3,E317/4))))</f>
        <v>1106.7964595999999</v>
      </c>
      <c r="G317" s="121"/>
      <c r="H317" s="122"/>
      <c r="I317" s="63"/>
      <c r="J317" s="64"/>
      <c r="K317" s="33"/>
      <c r="L317" s="58"/>
      <c r="M317" s="58"/>
      <c r="N317" s="33"/>
    </row>
    <row r="318" spans="1:14" s="41" customFormat="1" ht="15.75" customHeight="1" x14ac:dyDescent="0.25">
      <c r="A318" s="94">
        <v>3</v>
      </c>
      <c r="B318" s="95"/>
      <c r="C318" s="38" t="s">
        <v>180</v>
      </c>
      <c r="D318" s="38">
        <f>(3.05*6.1+2.45*3+3.05*3.65+2.95*4.57+3.05*3.96+1.37*2.3+2.3*1.37+2.3*1.37+0.05*1.27+0.7*3.57+1.61*1.02+3.32*1.07+1.68*1.07+0.1*3.97+1*0.1+2.85*1.1+1.95*0.96)*10.764</f>
        <v>938.17624680000006</v>
      </c>
      <c r="E318" s="38">
        <v>0</v>
      </c>
      <c r="F318" s="38">
        <f>D318*(($F$241)+1)+(IF(E318&lt;101,E318,IF(E318&lt;201,E318/2,IF(E318&lt;=301,E318/3,E318/4))))</f>
        <v>1454.1731825400002</v>
      </c>
      <c r="G318" s="121"/>
      <c r="H318" s="122"/>
      <c r="I318" s="63"/>
      <c r="J318" s="64"/>
      <c r="K318" s="33"/>
      <c r="L318" s="58"/>
      <c r="M318" s="58"/>
      <c r="N318" s="33"/>
    </row>
    <row r="319" spans="1:14" s="41" customFormat="1" ht="15.75" customHeight="1" x14ac:dyDescent="0.25">
      <c r="A319" s="94">
        <v>4</v>
      </c>
      <c r="B319" s="95"/>
      <c r="C319" s="38" t="s">
        <v>180</v>
      </c>
      <c r="D319" s="38">
        <f>(3.35*6.8+2.45*3.08+3.2*4.34+3.05*3.65+3.14*4.9+2.3*1.37+2.3*1.53+2.45*1.53+0.7*1.27+0.7*3.57+3.3*1.07+1.79*1.07+0.06*4.3+0.923*0.15+1*0.1+1.95*0.96+2.55*1.1+0.1*0.58)*10.764</f>
        <v>1024.9130970000001</v>
      </c>
      <c r="E319" s="38">
        <v>0</v>
      </c>
      <c r="F319" s="38">
        <f>D319*(($F$241)+1)+(IF(E319&lt;101,E319,IF(E319&lt;201,E319/2,IF(E319&lt;=301,E319/3,E319/4))))</f>
        <v>1588.6153003500003</v>
      </c>
      <c r="G319" s="121"/>
      <c r="H319" s="122"/>
      <c r="I319" s="63"/>
      <c r="J319" s="64"/>
      <c r="K319" s="33"/>
      <c r="L319" s="58"/>
      <c r="M319" s="58"/>
      <c r="N319" s="33"/>
    </row>
    <row r="320" spans="1:14" s="41" customFormat="1" ht="15.75" customHeight="1" x14ac:dyDescent="0.25">
      <c r="A320" s="94">
        <v>5</v>
      </c>
      <c r="B320" s="95"/>
      <c r="C320" s="38" t="s">
        <v>180</v>
      </c>
      <c r="D320" s="38">
        <f>(3.05*5.49+2.45*2.75+2.9*3.46+2.9*3.51+3.65*3.05+2.3*1.37+2.3*1.37+1.37*2.3+2.55*1.2+0.92*0.1+1*0.1+0.47*3.12+3.84*1.07+1.16*1.07+2*0.91+3.1*1.09)*10.764</f>
        <v>856.25359559999981</v>
      </c>
      <c r="E320" s="38">
        <v>0</v>
      </c>
      <c r="F320" s="38">
        <f>D320*(($F$241)+1)+(IF(E320&lt;101,E320,IF(E320&lt;201,E320/2,IF(E320&lt;=301,E320/3,E320/4))))</f>
        <v>1327.1930731799998</v>
      </c>
      <c r="G320" s="123"/>
      <c r="H320" s="124"/>
      <c r="I320" s="63"/>
      <c r="J320" s="64"/>
      <c r="K320" s="33"/>
      <c r="L320" s="58"/>
      <c r="M320" s="58"/>
      <c r="N320" s="33"/>
    </row>
    <row r="321" spans="1:14" s="31" customFormat="1" x14ac:dyDescent="0.25">
      <c r="A321" s="103" t="s">
        <v>242</v>
      </c>
      <c r="B321" s="103"/>
      <c r="C321" s="103"/>
      <c r="D321" s="103"/>
      <c r="E321" s="103"/>
      <c r="F321" s="103"/>
      <c r="G321" s="103"/>
      <c r="H321" s="103"/>
    </row>
    <row r="322" spans="1:14" s="31" customFormat="1" x14ac:dyDescent="0.25">
      <c r="A322" s="147" t="s">
        <v>227</v>
      </c>
      <c r="B322" s="148"/>
      <c r="C322" s="148"/>
      <c r="D322" s="148"/>
      <c r="E322" s="148"/>
      <c r="F322" s="148"/>
      <c r="G322" s="148"/>
      <c r="H322" s="148"/>
    </row>
    <row r="323" spans="1:14" s="31" customFormat="1" x14ac:dyDescent="0.25">
      <c r="A323" s="148" t="s">
        <v>330</v>
      </c>
      <c r="B323" s="148"/>
      <c r="C323" s="148"/>
      <c r="D323" s="148"/>
      <c r="E323" s="148"/>
      <c r="F323" s="148"/>
      <c r="G323" s="148"/>
      <c r="H323" s="148"/>
    </row>
    <row r="324" spans="1:14" s="41" customFormat="1" x14ac:dyDescent="0.25">
      <c r="A324" s="97" t="s">
        <v>189</v>
      </c>
      <c r="B324" s="98"/>
      <c r="C324" s="98"/>
      <c r="D324" s="98"/>
      <c r="E324" s="98"/>
      <c r="F324" s="98"/>
      <c r="G324" s="98"/>
      <c r="H324" s="99"/>
      <c r="I324" s="18">
        <v>1</v>
      </c>
      <c r="J324" s="62"/>
    </row>
    <row r="325" spans="1:14" s="41" customFormat="1" ht="15.75" customHeight="1" x14ac:dyDescent="0.25">
      <c r="A325" s="94">
        <v>1</v>
      </c>
      <c r="B325" s="95"/>
      <c r="C325" s="94" t="s">
        <v>191</v>
      </c>
      <c r="D325" s="126"/>
      <c r="E325" s="126"/>
      <c r="F325" s="95"/>
      <c r="G325" s="119" t="str">
        <f>A324</f>
        <v xml:space="preserve">1st Floor for Residential &amp; Podium Parking </v>
      </c>
      <c r="H325" s="120"/>
      <c r="I325" s="18"/>
      <c r="J325" s="62"/>
      <c r="K325" s="33"/>
      <c r="L325" s="58"/>
      <c r="M325" s="58"/>
      <c r="N325" s="33"/>
    </row>
    <row r="326" spans="1:14" s="41" customFormat="1" ht="15.75" customHeight="1" x14ac:dyDescent="0.25">
      <c r="A326" s="94">
        <f t="shared" ref="A326:A330" si="6">A325+1</f>
        <v>2</v>
      </c>
      <c r="B326" s="95"/>
      <c r="C326" s="94" t="s">
        <v>192</v>
      </c>
      <c r="D326" s="126"/>
      <c r="E326" s="126"/>
      <c r="F326" s="95"/>
      <c r="G326" s="121"/>
      <c r="H326" s="122"/>
      <c r="I326" s="63"/>
      <c r="J326" s="64"/>
      <c r="K326" s="33"/>
      <c r="L326" s="58"/>
      <c r="M326" s="58"/>
      <c r="N326" s="33"/>
    </row>
    <row r="327" spans="1:14" s="41" customFormat="1" ht="15.75" customHeight="1" x14ac:dyDescent="0.25">
      <c r="A327" s="94">
        <v>3</v>
      </c>
      <c r="B327" s="95"/>
      <c r="C327" s="38" t="s">
        <v>168</v>
      </c>
      <c r="D327" s="38">
        <f>(3.05*5.17+2.45*2.7+3.05*3.65+2.95*3.65+2.3*1.37+2.3*1.37+0.05*1.27+0.7*3.17+3.32*1.07+1.68*1.07+0.1*3.05+0.92*0.15+1.2*0.1+1.95*0.8)*10.764</f>
        <v>649.51052399999992</v>
      </c>
      <c r="E327" s="38">
        <v>0</v>
      </c>
      <c r="F327" s="38">
        <f>D327*(($F$241)+1)+(IF(E327&lt;101,E327,IF(E327&lt;201,E327/2,IF(E327&lt;=301,E327/3,E327/4))))</f>
        <v>1006.7413121999999</v>
      </c>
      <c r="G327" s="121"/>
      <c r="H327" s="122"/>
      <c r="I327" s="18"/>
      <c r="J327" s="62"/>
      <c r="K327" s="33"/>
      <c r="L327" s="58"/>
      <c r="M327" s="58"/>
      <c r="N327" s="33"/>
    </row>
    <row r="328" spans="1:14" s="41" customFormat="1" ht="15.75" customHeight="1" x14ac:dyDescent="0.25">
      <c r="A328" s="94">
        <f t="shared" si="6"/>
        <v>4</v>
      </c>
      <c r="B328" s="95"/>
      <c r="C328" s="38" t="s">
        <v>168</v>
      </c>
      <c r="D328" s="38">
        <f>(3.05*4.81+2.3*2.7+2.9*3.41+3.05*3.65+2.3*1.37+2.3*1.37+1.85*0.46+3.7*0.35+2.4*1.06+0.92*0.15+1.09*0.1+1.85*0.8)*10.764</f>
        <v>587.94044399999984</v>
      </c>
      <c r="E328" s="38">
        <v>0</v>
      </c>
      <c r="F328" s="38">
        <f>D328*(($F$241)+1)+(IF(E328&lt;101,E328,IF(E328&lt;201,E328/2,IF(E328&lt;=301,E328/3,E328/4))))</f>
        <v>911.3076881999998</v>
      </c>
      <c r="G328" s="121"/>
      <c r="H328" s="122"/>
      <c r="I328" s="63"/>
      <c r="J328" s="64"/>
      <c r="K328" s="33"/>
      <c r="L328" s="58"/>
      <c r="M328" s="58"/>
      <c r="N328" s="33"/>
    </row>
    <row r="329" spans="1:14" s="41" customFormat="1" ht="15.75" customHeight="1" x14ac:dyDescent="0.25">
      <c r="A329" s="94">
        <v>5</v>
      </c>
      <c r="B329" s="95"/>
      <c r="C329" s="38" t="s">
        <v>168</v>
      </c>
      <c r="D329" s="38">
        <f>(3.05*5.17+2.75*2.45+3.05*3.41+3.05*3.65+2.3*1.37+2.3*1.37+1*2.55+0.05*1.725+0.1*1.05+0.8*1.52+2.05*1.07+1.1*1.07+0.8*1.975)*10.764</f>
        <v>637.7535449999998</v>
      </c>
      <c r="E329" s="38">
        <v>0</v>
      </c>
      <c r="F329" s="38">
        <f>D329*(($F$241)+1)+(IF(E329&lt;101,E329,IF(E329&lt;201,E329/2,IF(E329&lt;=301,E329/3,E329/4))))</f>
        <v>988.51799474999973</v>
      </c>
      <c r="G329" s="121"/>
      <c r="H329" s="122"/>
      <c r="I329" s="18"/>
      <c r="J329" s="62"/>
      <c r="K329" s="33"/>
      <c r="L329" s="58"/>
      <c r="M329" s="58"/>
      <c r="N329" s="33"/>
    </row>
    <row r="330" spans="1:14" s="41" customFormat="1" ht="15.75" customHeight="1" x14ac:dyDescent="0.25">
      <c r="A330" s="94">
        <f t="shared" si="6"/>
        <v>6</v>
      </c>
      <c r="B330" s="95"/>
      <c r="C330" s="38" t="s">
        <v>168</v>
      </c>
      <c r="D330" s="38">
        <f>(3.05*5.84+2.75*2.45+3.05*3.7+3.05*4.11+2.3*1.37+2.3*1.37+0.1*1.05+1*2.55+0.75*1.52+2.05*1.07+1.1*1.07+0.8*1.975)*10.764</f>
        <v>682.62596999999982</v>
      </c>
      <c r="E330" s="38">
        <v>0</v>
      </c>
      <c r="F330" s="38">
        <f>D330*(($F$241)+1)+(IF(E330&lt;101,E330,IF(E330&lt;201,E330/2,IF(E330&lt;=301,E330/3,E330/4))))</f>
        <v>1058.0702534999998</v>
      </c>
      <c r="G330" s="123"/>
      <c r="H330" s="124"/>
      <c r="I330" s="63"/>
      <c r="J330" s="64"/>
      <c r="K330" s="33"/>
      <c r="L330" s="58"/>
      <c r="M330" s="58"/>
      <c r="N330" s="33"/>
    </row>
    <row r="331" spans="1:14" s="41" customFormat="1" x14ac:dyDescent="0.25">
      <c r="A331" s="144" t="s">
        <v>190</v>
      </c>
      <c r="B331" s="144"/>
      <c r="C331" s="144"/>
      <c r="D331" s="144"/>
      <c r="E331" s="144"/>
      <c r="F331" s="144"/>
      <c r="G331" s="144"/>
      <c r="H331" s="144"/>
      <c r="I331" s="18">
        <v>1</v>
      </c>
      <c r="J331" s="62"/>
    </row>
    <row r="332" spans="1:14" s="41" customFormat="1" ht="15.75" customHeight="1" x14ac:dyDescent="0.25">
      <c r="A332" s="125">
        <v>1</v>
      </c>
      <c r="B332" s="125"/>
      <c r="C332" s="125" t="s">
        <v>191</v>
      </c>
      <c r="D332" s="125"/>
      <c r="E332" s="125"/>
      <c r="F332" s="125"/>
      <c r="G332" s="125" t="str">
        <f>A331</f>
        <v xml:space="preserve">2nd Floor for Residential &amp; Podium Parking </v>
      </c>
      <c r="H332" s="125"/>
      <c r="I332" s="18"/>
      <c r="J332" s="62"/>
      <c r="K332" s="33"/>
      <c r="L332" s="58"/>
      <c r="M332" s="58"/>
      <c r="N332" s="33"/>
    </row>
    <row r="333" spans="1:14" s="41" customFormat="1" ht="15.75" customHeight="1" x14ac:dyDescent="0.25">
      <c r="A333" s="125">
        <f t="shared" ref="A333:A337" si="7">A332+1</f>
        <v>2</v>
      </c>
      <c r="B333" s="125"/>
      <c r="C333" s="125" t="s">
        <v>192</v>
      </c>
      <c r="D333" s="125"/>
      <c r="E333" s="125"/>
      <c r="F333" s="125"/>
      <c r="G333" s="125"/>
      <c r="H333" s="125"/>
      <c r="I333" s="63"/>
      <c r="J333" s="64"/>
      <c r="K333" s="33"/>
      <c r="L333" s="58"/>
      <c r="M333" s="58"/>
      <c r="N333" s="33"/>
    </row>
    <row r="334" spans="1:14" s="41" customFormat="1" ht="15.75" customHeight="1" x14ac:dyDescent="0.25">
      <c r="A334" s="125">
        <v>3</v>
      </c>
      <c r="B334" s="125"/>
      <c r="C334" s="38" t="s">
        <v>168</v>
      </c>
      <c r="D334" s="38">
        <f>(3.05*5.17+2.45*2.7+3.05*3.65+2.95*3.65+2.3*1.37+2.3*1.37+0.05*1.27+0.7*3.17+3.32*1.07+1.68*1.07+0.1*3.05+0.92*0.15+1.2*0.1+1.95*0.8)*10.764</f>
        <v>649.51052399999992</v>
      </c>
      <c r="E334" s="38">
        <v>0</v>
      </c>
      <c r="F334" s="38">
        <f>D334*(($F$241)+1)+(IF(E334&lt;101,E334,IF(E334&lt;201,E334/2,IF(E334&lt;=301,E334/3,E334/4))))</f>
        <v>1006.7413121999999</v>
      </c>
      <c r="G334" s="125"/>
      <c r="H334" s="125"/>
      <c r="I334" s="18"/>
      <c r="J334" s="62"/>
      <c r="K334" s="33"/>
      <c r="L334" s="58"/>
      <c r="M334" s="58"/>
      <c r="N334" s="33"/>
    </row>
    <row r="335" spans="1:14" s="41" customFormat="1" ht="15.75" customHeight="1" x14ac:dyDescent="0.25">
      <c r="A335" s="125">
        <f t="shared" si="7"/>
        <v>4</v>
      </c>
      <c r="B335" s="125"/>
      <c r="C335" s="38" t="s">
        <v>168</v>
      </c>
      <c r="D335" s="38">
        <f>(3.05*4.81+2.3*2.7+2.9*3.41+3.05*3.65+2.3*1.37+2.3*1.37+1.85*0.46+3.7*0.35+2.4*1.06+0.92*0.15+1.09*0.1+1.85*0.8)*10.764</f>
        <v>587.94044399999984</v>
      </c>
      <c r="E335" s="38">
        <v>0</v>
      </c>
      <c r="F335" s="38">
        <f>D335*(($F$241)+1)+(IF(E335&lt;101,E335,IF(E335&lt;201,E335/2,IF(E335&lt;=301,E335/3,E335/4))))</f>
        <v>911.3076881999998</v>
      </c>
      <c r="G335" s="125"/>
      <c r="H335" s="125"/>
      <c r="I335" s="63"/>
      <c r="J335" s="64"/>
      <c r="K335" s="33"/>
      <c r="L335" s="58"/>
      <c r="M335" s="58"/>
      <c r="N335" s="33"/>
    </row>
    <row r="336" spans="1:14" s="41" customFormat="1" ht="15.75" customHeight="1" x14ac:dyDescent="0.25">
      <c r="A336" s="125">
        <v>5</v>
      </c>
      <c r="B336" s="125"/>
      <c r="C336" s="38" t="s">
        <v>168</v>
      </c>
      <c r="D336" s="38">
        <f>(3.05*5.17+2.75*2.45+3.05*3.41+3.05*3.65+2.3*1.37+2.3*1.37+1*2.55+0.05*1.725+0.1*1.05+0.8*1.52+2.05*1.07+1.1*1.07+0.8*1.975)*10.764</f>
        <v>637.7535449999998</v>
      </c>
      <c r="E336" s="38">
        <v>0</v>
      </c>
      <c r="F336" s="38">
        <f>D336*(($F$241)+1)+(IF(E336&lt;101,E336,IF(E336&lt;201,E336/2,IF(E336&lt;=301,E336/3,E336/4))))</f>
        <v>988.51799474999973</v>
      </c>
      <c r="G336" s="125"/>
      <c r="H336" s="125"/>
      <c r="I336" s="18"/>
      <c r="J336" s="62"/>
      <c r="K336" s="33"/>
      <c r="L336" s="58"/>
      <c r="M336" s="58"/>
      <c r="N336" s="33"/>
    </row>
    <row r="337" spans="1:14" s="41" customFormat="1" ht="15.75" customHeight="1" x14ac:dyDescent="0.25">
      <c r="A337" s="125">
        <f t="shared" si="7"/>
        <v>6</v>
      </c>
      <c r="B337" s="125"/>
      <c r="C337" s="38" t="s">
        <v>168</v>
      </c>
      <c r="D337" s="38">
        <f>(3.05*5.84+2.75*2.45+3.05*3.7+3.05*4.11+2.3*1.37+2.3*1.37+0.1*1.05+1*2.55+0.75*1.52+2.05*1.07+1.1*1.07+0.8*1.975)*10.764</f>
        <v>682.62596999999982</v>
      </c>
      <c r="E337" s="38">
        <v>0</v>
      </c>
      <c r="F337" s="38">
        <f>D337*(($F$241)+1)+(IF(E337&lt;101,E337,IF(E337&lt;201,E337/2,IF(E337&lt;=301,E337/3,E337/4))))</f>
        <v>1058.0702534999998</v>
      </c>
      <c r="G337" s="125"/>
      <c r="H337" s="125"/>
      <c r="I337" s="63"/>
      <c r="J337" s="64"/>
      <c r="K337" s="33"/>
      <c r="L337" s="58"/>
      <c r="M337" s="58"/>
      <c r="N337" s="33"/>
    </row>
    <row r="338" spans="1:14" s="41" customFormat="1" x14ac:dyDescent="0.25">
      <c r="A338" s="97" t="s">
        <v>193</v>
      </c>
      <c r="B338" s="98"/>
      <c r="C338" s="98"/>
      <c r="D338" s="98"/>
      <c r="E338" s="98"/>
      <c r="F338" s="98"/>
      <c r="G338" s="98"/>
      <c r="H338" s="99"/>
      <c r="I338" s="18">
        <v>1</v>
      </c>
      <c r="J338" s="62"/>
    </row>
    <row r="339" spans="1:14" s="41" customFormat="1" ht="15.75" customHeight="1" x14ac:dyDescent="0.25">
      <c r="A339" s="94">
        <v>1</v>
      </c>
      <c r="B339" s="95"/>
      <c r="C339" s="94" t="s">
        <v>202</v>
      </c>
      <c r="D339" s="126"/>
      <c r="E339" s="126"/>
      <c r="F339" s="95"/>
      <c r="G339" s="119" t="str">
        <f>A338</f>
        <v>3rd Floor for Residential &amp; Podium Amenties</v>
      </c>
      <c r="H339" s="120"/>
      <c r="I339" s="18"/>
      <c r="J339" s="62"/>
      <c r="K339" s="33"/>
      <c r="L339" s="58"/>
      <c r="M339" s="58"/>
      <c r="N339" s="33"/>
    </row>
    <row r="340" spans="1:14" s="41" customFormat="1" ht="15.75" customHeight="1" x14ac:dyDescent="0.25">
      <c r="A340" s="94">
        <f t="shared" ref="A340:A344" si="8">A339+1</f>
        <v>2</v>
      </c>
      <c r="B340" s="95"/>
      <c r="C340" s="94" t="s">
        <v>191</v>
      </c>
      <c r="D340" s="126"/>
      <c r="E340" s="126"/>
      <c r="F340" s="95"/>
      <c r="G340" s="121"/>
      <c r="H340" s="122"/>
      <c r="I340" s="63"/>
      <c r="J340" s="64"/>
      <c r="K340" s="33"/>
      <c r="L340" s="58"/>
      <c r="M340" s="58"/>
      <c r="N340" s="33"/>
    </row>
    <row r="341" spans="1:14" s="41" customFormat="1" ht="15.75" customHeight="1" x14ac:dyDescent="0.25">
      <c r="A341" s="94">
        <v>3</v>
      </c>
      <c r="B341" s="95"/>
      <c r="C341" s="38" t="s">
        <v>168</v>
      </c>
      <c r="D341" s="38">
        <f>(3.05*5.17+2.45*2.7+3.05*3.65+2.95*3.65+2.3*1.37+2.3*1.37+0.05*1.27+0.7*3.17+3.32*1.07+1.68*1.07+0.1*3.05+0.92*0.15+1.2*0.1+1.95*0.8)*10.764</f>
        <v>649.51052399999992</v>
      </c>
      <c r="E341" s="38">
        <v>0</v>
      </c>
      <c r="F341" s="38">
        <f>D341*(($F$241)+1)+(IF(E341&lt;101,E341,IF(E341&lt;201,E341/2,IF(E341&lt;=301,E341/3,E341/4))))</f>
        <v>1006.7413121999999</v>
      </c>
      <c r="G341" s="121"/>
      <c r="H341" s="122"/>
      <c r="I341" s="18"/>
      <c r="J341" s="62"/>
      <c r="K341" s="33"/>
      <c r="L341" s="58"/>
      <c r="M341" s="58"/>
      <c r="N341" s="33"/>
    </row>
    <row r="342" spans="1:14" s="41" customFormat="1" ht="15.75" customHeight="1" x14ac:dyDescent="0.25">
      <c r="A342" s="94">
        <f t="shared" si="8"/>
        <v>4</v>
      </c>
      <c r="B342" s="95"/>
      <c r="C342" s="38" t="s">
        <v>168</v>
      </c>
      <c r="D342" s="38">
        <f>(3.05*4.81+2.3*2.7+2.9*3.41+3.05*3.65+2.3*1.37+2.3*1.37+1.85*0.46+3.7*0.35+2.4*1.06+0.92*0.15+1.09*0.1+1.85*0.8)*10.764</f>
        <v>587.94044399999984</v>
      </c>
      <c r="E342" s="38">
        <v>0</v>
      </c>
      <c r="F342" s="38">
        <f>D342*(($F$241)+1)+(IF(E342&lt;101,E342,IF(E342&lt;201,E342/2,IF(E342&lt;=301,E342/3,E342/4))))</f>
        <v>911.3076881999998</v>
      </c>
      <c r="G342" s="121"/>
      <c r="H342" s="122"/>
      <c r="I342" s="63"/>
      <c r="J342" s="64"/>
      <c r="K342" s="33"/>
      <c r="L342" s="58"/>
      <c r="M342" s="58"/>
      <c r="N342" s="33"/>
    </row>
    <row r="343" spans="1:14" s="41" customFormat="1" ht="15.75" customHeight="1" x14ac:dyDescent="0.25">
      <c r="A343" s="94">
        <v>5</v>
      </c>
      <c r="B343" s="95"/>
      <c r="C343" s="38" t="s">
        <v>168</v>
      </c>
      <c r="D343" s="38">
        <f>(3.05*5.17+2.75*2.45+3.05*3.41+3.05*3.65+2.3*1.37+2.3*1.37+1*2.55+0.05*1.725+0.1*1.05+0.8*1.52+2.05*1.07+1.1*1.07+0.8*1.975)*10.764</f>
        <v>637.7535449999998</v>
      </c>
      <c r="E343" s="38">
        <v>0</v>
      </c>
      <c r="F343" s="38">
        <f>D343*(($F$241)+1)+(IF(E343&lt;101,E343,IF(E343&lt;201,E343/2,IF(E343&lt;=301,E343/3,E343/4))))</f>
        <v>988.51799474999973</v>
      </c>
      <c r="G343" s="121"/>
      <c r="H343" s="122"/>
      <c r="I343" s="18"/>
      <c r="J343" s="62"/>
      <c r="K343" s="33"/>
      <c r="L343" s="58"/>
      <c r="M343" s="58"/>
      <c r="N343" s="33"/>
    </row>
    <row r="344" spans="1:14" s="41" customFormat="1" ht="15.75" customHeight="1" x14ac:dyDescent="0.25">
      <c r="A344" s="94">
        <f t="shared" si="8"/>
        <v>6</v>
      </c>
      <c r="B344" s="95"/>
      <c r="C344" s="38" t="s">
        <v>168</v>
      </c>
      <c r="D344" s="38">
        <f>(3.05*5.84+2.75*2.45+3.05*3.7+3.05*4.11+2.3*1.37+2.3*1.37+0.1*1.05+1*2.55+0.75*1.52+2.05*1.07+1.1*1.07+0.8*1.975)*10.764</f>
        <v>682.62596999999982</v>
      </c>
      <c r="E344" s="38">
        <v>0</v>
      </c>
      <c r="F344" s="38">
        <f>D344*(($F$241)+1)+(IF(E344&lt;101,E344,IF(E344&lt;201,E344/2,IF(E344&lt;=301,E344/3,E344/4))))</f>
        <v>1058.0702534999998</v>
      </c>
      <c r="G344" s="123"/>
      <c r="H344" s="124"/>
      <c r="I344" s="63"/>
      <c r="J344" s="64"/>
      <c r="K344" s="33"/>
      <c r="L344" s="58"/>
      <c r="M344" s="58"/>
      <c r="N344" s="33"/>
    </row>
    <row r="345" spans="1:14" s="41" customFormat="1" x14ac:dyDescent="0.25">
      <c r="A345" s="97" t="s">
        <v>181</v>
      </c>
      <c r="B345" s="98"/>
      <c r="C345" s="98"/>
      <c r="D345" s="98"/>
      <c r="E345" s="98"/>
      <c r="F345" s="98"/>
      <c r="G345" s="98"/>
      <c r="H345" s="99"/>
      <c r="I345" s="18">
        <v>1</v>
      </c>
      <c r="J345" s="62"/>
    </row>
    <row r="346" spans="1:14" s="41" customFormat="1" ht="15.75" customHeight="1" x14ac:dyDescent="0.25">
      <c r="A346" s="94">
        <v>1</v>
      </c>
      <c r="B346" s="95"/>
      <c r="C346" s="38" t="s">
        <v>168</v>
      </c>
      <c r="D346" s="38">
        <f>(2.95*5.16+2.3*2.7+2.9*3.35+3.05*3.65+2.3*1.37+2.3*1.37+2.105*0.855+1.22*0.1+2.21*1.07+0.19*1.07+0.92*0.15+1.9*0.8)*10.764</f>
        <v>589.10591609999983</v>
      </c>
      <c r="E346" s="38">
        <v>0</v>
      </c>
      <c r="F346" s="38">
        <f t="shared" ref="F346:F347" si="9">D346*(($F$241)+1)+(IF(E346&lt;101,E346,IF(E346&lt;201,E346/2,IF(E346&lt;=301,E346/3,E346/4))))</f>
        <v>913.11416995499974</v>
      </c>
      <c r="G346" s="119" t="str">
        <f>A345</f>
        <v xml:space="preserve">4th Floor </v>
      </c>
      <c r="H346" s="120"/>
      <c r="I346" s="18"/>
      <c r="J346" s="62"/>
      <c r="K346" s="33"/>
      <c r="L346" s="58"/>
      <c r="M346" s="58"/>
      <c r="N346" s="33"/>
    </row>
    <row r="347" spans="1:14" s="41" customFormat="1" ht="15.75" customHeight="1" x14ac:dyDescent="0.25">
      <c r="A347" s="94">
        <f t="shared" ref="A347:A351" si="10">A346+1</f>
        <v>2</v>
      </c>
      <c r="B347" s="95"/>
      <c r="C347" s="38" t="s">
        <v>168</v>
      </c>
      <c r="D347" s="38">
        <f>(3.05*5.8+2.45*2.7+3.05*3.65+3.05*4.11+2.3*1.37+2.3*1.37+0.05*1.27+0.7*3.17+3.32*1.07+1.68*1.07+0.1*3.51+0.92*0.15+1*0.1+2*0.8)*10.764</f>
        <v>689.93472599999984</v>
      </c>
      <c r="E347" s="38">
        <f>(1.6*3.05)*10.764</f>
        <v>52.528319999999994</v>
      </c>
      <c r="F347" s="38">
        <f t="shared" si="9"/>
        <v>1121.9271452999997</v>
      </c>
      <c r="G347" s="121"/>
      <c r="H347" s="122"/>
      <c r="I347" s="63"/>
      <c r="J347" s="64"/>
      <c r="K347" s="33"/>
      <c r="L347" s="58"/>
      <c r="M347" s="58"/>
      <c r="N347" s="33"/>
    </row>
    <row r="348" spans="1:14" s="41" customFormat="1" ht="15.75" customHeight="1" x14ac:dyDescent="0.25">
      <c r="A348" s="94">
        <v>3</v>
      </c>
      <c r="B348" s="95"/>
      <c r="C348" s="38" t="s">
        <v>168</v>
      </c>
      <c r="D348" s="38">
        <f>(3.05*5.17+2.45*2.7+3.05*3.41+2.95*3.65+2.3*1.37+2.3*1.37+0.05*1.27+0.7*3.17+3.32*1.07+1.68*1.07+0.1*3.05+0.92*0.15+1.2*0.1+1.95*0.75)*10.764</f>
        <v>640.58178599999985</v>
      </c>
      <c r="E348" s="38">
        <v>0</v>
      </c>
      <c r="F348" s="38">
        <f>D348*(($F$241)+1)+(IF(E348&lt;101,E348,IF(E348&lt;201,E348/2,IF(E348&lt;=301,E348/3,E348/4))))</f>
        <v>992.90176829999984</v>
      </c>
      <c r="G348" s="121"/>
      <c r="H348" s="122"/>
      <c r="I348" s="18"/>
      <c r="J348" s="62"/>
      <c r="K348" s="33"/>
      <c r="L348" s="58"/>
      <c r="M348" s="58"/>
      <c r="N348" s="33"/>
    </row>
    <row r="349" spans="1:14" s="41" customFormat="1" ht="15.75" customHeight="1" x14ac:dyDescent="0.25">
      <c r="A349" s="94">
        <f t="shared" si="10"/>
        <v>4</v>
      </c>
      <c r="B349" s="95"/>
      <c r="C349" s="38" t="s">
        <v>168</v>
      </c>
      <c r="D349" s="38">
        <f>(3.05*4.81+2.3*2.7+2.9*3.41+3.05*3.65+2.3*1.37+2.3*1.37+1.85*0.46+3.7*0.35+2.4*1.05+0.92*0.15+1.09*0.1+1.85*0.8)*10.764</f>
        <v>587.68210799999986</v>
      </c>
      <c r="E349" s="38">
        <v>0</v>
      </c>
      <c r="F349" s="38">
        <f>D349*(($F$241)+1)+(IF(E349&lt;101,E349,IF(E349&lt;201,E349/2,IF(E349&lt;=301,E349/3,E349/4))))</f>
        <v>910.9072673999998</v>
      </c>
      <c r="G349" s="121"/>
      <c r="H349" s="122"/>
      <c r="I349" s="63"/>
      <c r="J349" s="64"/>
      <c r="K349" s="33"/>
      <c r="L349" s="58"/>
      <c r="M349" s="58"/>
      <c r="N349" s="33"/>
    </row>
    <row r="350" spans="1:14" s="41" customFormat="1" ht="15.75" customHeight="1" x14ac:dyDescent="0.25">
      <c r="A350" s="94">
        <v>5</v>
      </c>
      <c r="B350" s="95"/>
      <c r="C350" s="38" t="s">
        <v>168</v>
      </c>
      <c r="D350" s="38">
        <f>(3.05*5.17+2.75*2.45+3.05*3.41+3.05*3.65+2.3*1.37+2.3*1.37+1*2.55+0.1*1+0.8*1.52+2.05*1.07+1.1*1.07+0.8*2.03)*10.764</f>
        <v>637.24494599999991</v>
      </c>
      <c r="E350" s="38">
        <v>0</v>
      </c>
      <c r="F350" s="38">
        <f>D350*(($F$241)+1)+(IF(E350&lt;101,E350,IF(E350&lt;201,E350/2,IF(E350&lt;=301,E350/3,E350/4))))</f>
        <v>987.72966629999985</v>
      </c>
      <c r="G350" s="121"/>
      <c r="H350" s="122"/>
      <c r="I350" s="18"/>
      <c r="J350" s="62"/>
      <c r="K350" s="33"/>
      <c r="L350" s="58"/>
      <c r="M350" s="58"/>
      <c r="N350" s="33"/>
    </row>
    <row r="351" spans="1:14" s="41" customFormat="1" ht="15.75" customHeight="1" x14ac:dyDescent="0.25">
      <c r="A351" s="94">
        <f t="shared" si="10"/>
        <v>6</v>
      </c>
      <c r="B351" s="95"/>
      <c r="C351" s="38" t="s">
        <v>168</v>
      </c>
      <c r="D351" s="38">
        <f>(3.05*5.84+2.75*2.45+3.05*3.7+3.05*4.11+2.3*1.37+2.3*1.37+1*2.55+0.1*1+0.75*1.52+2.05*1.07+1.1*1.07+0.8*1.975)*10.764</f>
        <v>682.57214999999985</v>
      </c>
      <c r="E351" s="38">
        <v>0</v>
      </c>
      <c r="F351" s="38">
        <f>D351*(($F$241)+1)+(IF(E351&lt;101,E351,IF(E351&lt;201,E351/2,IF(E351&lt;=301,E351/3,E351/4))))</f>
        <v>1057.9868324999998</v>
      </c>
      <c r="G351" s="123"/>
      <c r="H351" s="124"/>
      <c r="I351" s="63"/>
      <c r="J351" s="64"/>
      <c r="K351" s="33"/>
      <c r="L351" s="58"/>
      <c r="M351" s="58"/>
      <c r="N351" s="33"/>
    </row>
    <row r="352" spans="1:14" s="41" customFormat="1" x14ac:dyDescent="0.25">
      <c r="A352" s="97" t="s">
        <v>203</v>
      </c>
      <c r="B352" s="98"/>
      <c r="C352" s="98"/>
      <c r="D352" s="98"/>
      <c r="E352" s="98"/>
      <c r="F352" s="98"/>
      <c r="G352" s="98"/>
      <c r="H352" s="99"/>
      <c r="I352" s="18">
        <f>3+6+7</f>
        <v>16</v>
      </c>
      <c r="J352" s="62"/>
    </row>
    <row r="353" spans="1:14" s="41" customFormat="1" ht="15.75" customHeight="1" x14ac:dyDescent="0.25">
      <c r="A353" s="94">
        <v>1</v>
      </c>
      <c r="B353" s="95"/>
      <c r="C353" s="38" t="s">
        <v>168</v>
      </c>
      <c r="D353" s="38">
        <f>(2.95*5.16+2.3*2.7+2.9*3.35+3.05*3.65+2.3*1.37+2.3*1.37+2.105*0.855+1.22*0.1+2.21*1.07+0.19*1.07+0.92*0.15+1.9*0.8)*10.764</f>
        <v>589.10591609999983</v>
      </c>
      <c r="E353" s="38">
        <v>0</v>
      </c>
      <c r="F353" s="38">
        <f t="shared" ref="F353:F354" si="11">D353*(($F$241)+1)+(IF(E353&lt;101,E353,IF(E353&lt;201,E353/2,IF(E353&lt;=301,E353/3,E353/4))))</f>
        <v>913.11416995499974</v>
      </c>
      <c r="G353" s="119" t="str">
        <f>A352</f>
        <v xml:space="preserve">5th to 7th, 9th to 14th, 16th to 22nd Floor </v>
      </c>
      <c r="H353" s="120"/>
      <c r="I353" s="18"/>
      <c r="J353" s="62"/>
      <c r="K353" s="33"/>
      <c r="L353" s="58"/>
      <c r="M353" s="58"/>
      <c r="N353" s="33"/>
    </row>
    <row r="354" spans="1:14" s="41" customFormat="1" ht="15.75" customHeight="1" x14ac:dyDescent="0.25">
      <c r="A354" s="94">
        <f t="shared" ref="A354:A358" si="12">A353+1</f>
        <v>2</v>
      </c>
      <c r="B354" s="95"/>
      <c r="C354" s="38" t="s">
        <v>168</v>
      </c>
      <c r="D354" s="38">
        <f>(3.05*5.8+2.45*2.7+3.05*3.65+3.05*4.11+2.3*1.37+2.3*1.37+0.05*1.27+0.7*3.17+3.32*1.07+1.68*1.07+0.1*3.51+0.92*0.15+1*0.1+2*0.8+2.8*0.97)*10.764</f>
        <v>719.16974999999979</v>
      </c>
      <c r="E354" s="38">
        <v>0</v>
      </c>
      <c r="F354" s="38">
        <f t="shared" si="11"/>
        <v>1114.7131124999996</v>
      </c>
      <c r="G354" s="121"/>
      <c r="H354" s="122"/>
      <c r="I354" s="63"/>
      <c r="J354" s="64">
        <f>100*6*F355</f>
        <v>626573.46257999982</v>
      </c>
      <c r="K354" s="33"/>
      <c r="L354" s="58"/>
      <c r="M354" s="58"/>
      <c r="N354" s="33"/>
    </row>
    <row r="355" spans="1:14" s="55" customFormat="1" ht="15.75" customHeight="1" x14ac:dyDescent="0.25">
      <c r="A355" s="172">
        <v>3</v>
      </c>
      <c r="B355" s="173"/>
      <c r="C355" s="83" t="s">
        <v>168</v>
      </c>
      <c r="D355" s="83">
        <f>(3.05*5.17+2.45*2.7+3.05*3.41+2.95*3.65+2.3*1.37+2.3*1.37+0.05*1.27+0.7*3.17+3.32*1.07+1.68*1.07+0.1*3.05+0.92*0.15+1.2*0.1+1.95*0.75+2.8*1.1)*10.764</f>
        <v>673.7349059999998</v>
      </c>
      <c r="E355" s="83">
        <v>0</v>
      </c>
      <c r="F355" s="83">
        <f>D355*(($F$241)+1)+(IF(E355&lt;101,E355,IF(E355&lt;201,E355/2,IF(E355&lt;=301,E355/3,E355/4))))</f>
        <v>1044.2891042999997</v>
      </c>
      <c r="G355" s="121"/>
      <c r="H355" s="122"/>
      <c r="I355" s="81">
        <f>F355*22500</f>
        <v>23496504.846749995</v>
      </c>
      <c r="J355" s="82">
        <f>I355+670000+(100*8*F355)</f>
        <v>25001936.130189996</v>
      </c>
      <c r="K355" s="56">
        <f>J355+1000000</f>
        <v>26001936.130189996</v>
      </c>
      <c r="L355" s="59"/>
      <c r="M355" s="59"/>
      <c r="N355" s="56"/>
    </row>
    <row r="356" spans="1:14" s="41" customFormat="1" ht="15.75" customHeight="1" x14ac:dyDescent="0.25">
      <c r="A356" s="94">
        <f t="shared" si="12"/>
        <v>4</v>
      </c>
      <c r="B356" s="95"/>
      <c r="C356" s="38" t="s">
        <v>168</v>
      </c>
      <c r="D356" s="38">
        <f>(3.05*4.81+2.3*2.7+2.9*3.41+3.05*3.65+2.3*1.37+2.3*1.37+1.85*0.46+3.7*0.35+2.4*1.05+0.92*0.15+1.09*0.1+1.85*0.8)*10.764</f>
        <v>587.68210799999986</v>
      </c>
      <c r="E356" s="38">
        <v>0</v>
      </c>
      <c r="F356" s="38">
        <f>D356*(($F$241)+1)+(IF(E356&lt;101,E356,IF(E356&lt;201,E356/2,IF(E356&lt;=301,E356/3,E356/4))))</f>
        <v>910.9072673999998</v>
      </c>
      <c r="G356" s="121"/>
      <c r="H356" s="122"/>
      <c r="I356" s="63"/>
      <c r="J356" s="64"/>
      <c r="K356" s="33">
        <v>26000000</v>
      </c>
      <c r="L356" s="58"/>
      <c r="M356" s="58"/>
      <c r="N356" s="33"/>
    </row>
    <row r="357" spans="1:14" s="41" customFormat="1" ht="15.75" customHeight="1" x14ac:dyDescent="0.25">
      <c r="A357" s="94">
        <v>5</v>
      </c>
      <c r="B357" s="95"/>
      <c r="C357" s="38" t="s">
        <v>168</v>
      </c>
      <c r="D357" s="38">
        <f>(3.05*5.17+2.75*2.45+3.05*3.41+3.05*3.65+2.3*1.37+2.3*1.37+1*2.55+0.1*1+0.8*1.52+2.05*1.07+1.1*1.07+0.8*2.03+2.9*1.1)*10.764</f>
        <v>671.58210599999984</v>
      </c>
      <c r="E357" s="38">
        <v>0</v>
      </c>
      <c r="F357" s="38">
        <f>D357*(($F$241)+1)+(IF(E357&lt;101,E357,IF(E357&lt;201,E357/2,IF(E357&lt;=301,E357/3,E357/4))))</f>
        <v>1040.9522642999998</v>
      </c>
      <c r="G357" s="121"/>
      <c r="H357" s="122"/>
      <c r="I357" s="18"/>
      <c r="J357" s="62"/>
      <c r="K357" s="33"/>
      <c r="L357" s="58"/>
      <c r="M357" s="58"/>
      <c r="N357" s="33"/>
    </row>
    <row r="358" spans="1:14" s="41" customFormat="1" ht="15.75" customHeight="1" x14ac:dyDescent="0.25">
      <c r="A358" s="94">
        <f t="shared" si="12"/>
        <v>6</v>
      </c>
      <c r="B358" s="95"/>
      <c r="C358" s="38" t="s">
        <v>168</v>
      </c>
      <c r="D358" s="38">
        <f>(3.05*5.84+2.75*2.45+3.05*3.7+3.05*4.11+2.3*1.37+2.3*1.37+1*2.55+0.1*1+0.75*1.52+2.05*1.07+1.1*1.07+0.8*1.975+2.8*1.1)*10.764</f>
        <v>715.72526999999991</v>
      </c>
      <c r="E358" s="38">
        <v>0</v>
      </c>
      <c r="F358" s="38">
        <f>D358*(($F$241)+1)+(IF(E358&lt;101,E358,IF(E358&lt;201,E358/2,IF(E358&lt;=301,E358/3,E358/4))))</f>
        <v>1109.3741685</v>
      </c>
      <c r="G358" s="123"/>
      <c r="H358" s="124"/>
      <c r="I358" s="63"/>
      <c r="J358" s="64"/>
      <c r="K358" s="33"/>
      <c r="L358" s="58"/>
      <c r="M358" s="58"/>
      <c r="N358" s="33"/>
    </row>
    <row r="359" spans="1:14" s="41" customFormat="1" x14ac:dyDescent="0.25">
      <c r="A359" s="97" t="s">
        <v>204</v>
      </c>
      <c r="B359" s="98"/>
      <c r="C359" s="98"/>
      <c r="D359" s="98"/>
      <c r="E359" s="98"/>
      <c r="F359" s="98"/>
      <c r="G359" s="98"/>
      <c r="H359" s="99"/>
      <c r="I359" s="18">
        <v>1</v>
      </c>
      <c r="J359" s="62"/>
    </row>
    <row r="360" spans="1:14" s="41" customFormat="1" ht="15.75" customHeight="1" x14ac:dyDescent="0.25">
      <c r="A360" s="94">
        <v>1</v>
      </c>
      <c r="B360" s="95"/>
      <c r="C360" s="38" t="s">
        <v>168</v>
      </c>
      <c r="D360" s="38">
        <f>(2.95*5.16+2.3*2.7+2.9*3.35+3.05*3.65+2.3*1.37+2.3*1.37+2.105*0.855+1.22*0.1+2.21*1.07+0.19*1.07+0.92*0.15+1.9*0.8)*10.764</f>
        <v>589.10591609999983</v>
      </c>
      <c r="E360" s="38">
        <v>0</v>
      </c>
      <c r="F360" s="38">
        <f t="shared" ref="F360:F361" si="13">D360*(($F$241)+1)+(IF(E360&lt;101,E360,IF(E360&lt;201,E360/2,IF(E360&lt;=301,E360/3,E360/4))))</f>
        <v>913.11416995499974</v>
      </c>
      <c r="G360" s="119" t="str">
        <f>A359</f>
        <v>8th Floor (Part Refuge Area)</v>
      </c>
      <c r="H360" s="120"/>
      <c r="I360" s="18"/>
      <c r="J360" s="62"/>
      <c r="K360" s="33"/>
      <c r="L360" s="58"/>
      <c r="M360" s="58"/>
      <c r="N360" s="33"/>
    </row>
    <row r="361" spans="1:14" s="41" customFormat="1" ht="15.75" customHeight="1" x14ac:dyDescent="0.25">
      <c r="A361" s="94">
        <f t="shared" ref="A361:A365" si="14">A360+1</f>
        <v>2</v>
      </c>
      <c r="B361" s="95"/>
      <c r="C361" s="38" t="s">
        <v>168</v>
      </c>
      <c r="D361" s="38">
        <f>(3.05*5.8+2.45*2.7+3.05*3.65+3.05*4.11+2.3*1.37+2.3*1.37+0.05*1.27+0.7*3.17+3.32*1.07+1.68*1.07+0.1*3.51+0.92*0.15+1*0.1+2*0.8+2.8*0.97)*10.764</f>
        <v>719.16974999999979</v>
      </c>
      <c r="E361" s="38">
        <v>0</v>
      </c>
      <c r="F361" s="38">
        <f t="shared" si="13"/>
        <v>1114.7131124999996</v>
      </c>
      <c r="G361" s="121"/>
      <c r="H361" s="122"/>
      <c r="I361" s="63"/>
      <c r="J361" s="64"/>
      <c r="K361" s="33"/>
      <c r="L361" s="58"/>
      <c r="M361" s="58"/>
      <c r="N361" s="33"/>
    </row>
    <row r="362" spans="1:14" s="41" customFormat="1" ht="15.75" customHeight="1" x14ac:dyDescent="0.25">
      <c r="A362" s="94">
        <v>3</v>
      </c>
      <c r="B362" s="95"/>
      <c r="C362" s="119" t="s">
        <v>194</v>
      </c>
      <c r="D362" s="145"/>
      <c r="E362" s="145"/>
      <c r="F362" s="120"/>
      <c r="G362" s="121"/>
      <c r="H362" s="122"/>
      <c r="I362" s="18"/>
      <c r="J362" s="62"/>
      <c r="K362" s="33"/>
      <c r="L362" s="58"/>
      <c r="M362" s="58"/>
      <c r="N362" s="33"/>
    </row>
    <row r="363" spans="1:14" s="41" customFormat="1" ht="15.75" customHeight="1" x14ac:dyDescent="0.25">
      <c r="A363" s="94">
        <f t="shared" si="14"/>
        <v>4</v>
      </c>
      <c r="B363" s="95"/>
      <c r="C363" s="123"/>
      <c r="D363" s="146"/>
      <c r="E363" s="146"/>
      <c r="F363" s="124"/>
      <c r="G363" s="121"/>
      <c r="H363" s="122"/>
      <c r="I363" s="63"/>
      <c r="J363" s="64"/>
      <c r="K363" s="33"/>
      <c r="L363" s="58"/>
      <c r="M363" s="58"/>
      <c r="N363" s="33"/>
    </row>
    <row r="364" spans="1:14" s="41" customFormat="1" ht="15.75" customHeight="1" x14ac:dyDescent="0.25">
      <c r="A364" s="94">
        <v>5</v>
      </c>
      <c r="B364" s="95"/>
      <c r="C364" s="38" t="s">
        <v>168</v>
      </c>
      <c r="D364" s="38">
        <f>(3.05*5.17+2.75*2.45+3.05*3.41+3.05*3.65+2.3*1.37+2.3*1.37+1*2.55+0.1*1+0.8*1.52+2.05*1.07+1.1*1.07+0.8*2.03+2.9*1.1)*10.764</f>
        <v>671.58210599999984</v>
      </c>
      <c r="E364" s="38">
        <v>0</v>
      </c>
      <c r="F364" s="38">
        <f>D364*(($F$241)+1)+(IF(E364&lt;101,E364,IF(E364&lt;201,E364/2,IF(E364&lt;=301,E364/3,E364/4))))</f>
        <v>1040.9522642999998</v>
      </c>
      <c r="G364" s="121"/>
      <c r="H364" s="122"/>
      <c r="I364" s="18"/>
      <c r="J364" s="62"/>
      <c r="K364" s="33"/>
      <c r="L364" s="58"/>
      <c r="M364" s="58"/>
      <c r="N364" s="33"/>
    </row>
    <row r="365" spans="1:14" s="41" customFormat="1" ht="15.75" customHeight="1" x14ac:dyDescent="0.25">
      <c r="A365" s="94">
        <f t="shared" si="14"/>
        <v>6</v>
      </c>
      <c r="B365" s="95"/>
      <c r="C365" s="38" t="s">
        <v>168</v>
      </c>
      <c r="D365" s="38">
        <f>(3.05*5.84+2.75*2.45+3.05*3.7+3.05*4.11+2.3*1.37+2.3*1.37+1*2.55+0.1*1+0.75*1.52+2.05*1.07+1.1*1.07+0.8*1.975+2.8*1.1)*10.764</f>
        <v>715.72526999999991</v>
      </c>
      <c r="E365" s="38">
        <v>0</v>
      </c>
      <c r="F365" s="38">
        <f>D365*(($F$241)+1)+(IF(E365&lt;101,E365,IF(E365&lt;201,E365/2,IF(E365&lt;=301,E365/3,E365/4))))</f>
        <v>1109.3741685</v>
      </c>
      <c r="G365" s="123"/>
      <c r="H365" s="124"/>
      <c r="I365" s="63"/>
      <c r="J365" s="64"/>
      <c r="K365" s="33"/>
      <c r="L365" s="58"/>
      <c r="M365" s="58"/>
      <c r="N365" s="33"/>
    </row>
    <row r="366" spans="1:14" s="41" customFormat="1" x14ac:dyDescent="0.25">
      <c r="A366" s="97" t="s">
        <v>205</v>
      </c>
      <c r="B366" s="98"/>
      <c r="C366" s="98"/>
      <c r="D366" s="98"/>
      <c r="E366" s="98"/>
      <c r="F366" s="98"/>
      <c r="G366" s="98"/>
      <c r="H366" s="99"/>
      <c r="I366" s="18">
        <v>1</v>
      </c>
      <c r="J366" s="62"/>
    </row>
    <row r="367" spans="1:14" s="41" customFormat="1" ht="15.75" customHeight="1" x14ac:dyDescent="0.25">
      <c r="A367" s="94">
        <v>1</v>
      </c>
      <c r="B367" s="95"/>
      <c r="C367" s="38" t="s">
        <v>168</v>
      </c>
      <c r="D367" s="38">
        <f>(2.95*5.16+2.3*2.7+2.9*3.35+3.05*3.65+2.3*1.37+2.3*1.37+2.105*0.855+1.22*0.1+2.21*1.07+0.19*1.07+0.92*0.15+1.9*0.8)*10.764</f>
        <v>589.10591609999983</v>
      </c>
      <c r="E367" s="38">
        <v>0</v>
      </c>
      <c r="F367" s="38">
        <f t="shared" ref="F367:F368" si="15">D367*(($F$241)+1)+(IF(E367&lt;101,E367,IF(E367&lt;201,E367/2,IF(E367&lt;=301,E367/3,E367/4))))</f>
        <v>913.11416995499974</v>
      </c>
      <c r="G367" s="119" t="str">
        <f>A366</f>
        <v>15th Floor (Part Refuge Area)</v>
      </c>
      <c r="H367" s="120"/>
      <c r="I367" s="18"/>
      <c r="J367" s="62"/>
      <c r="K367" s="33"/>
      <c r="L367" s="58"/>
      <c r="M367" s="58"/>
      <c r="N367" s="33"/>
    </row>
    <row r="368" spans="1:14" s="41" customFormat="1" ht="15.75" customHeight="1" x14ac:dyDescent="0.25">
      <c r="A368" s="94">
        <f t="shared" ref="A368:A372" si="16">A367+1</f>
        <v>2</v>
      </c>
      <c r="B368" s="95"/>
      <c r="C368" s="38" t="s">
        <v>168</v>
      </c>
      <c r="D368" s="38">
        <f>(3.05*5.8+2.45*2.7+3.05*3.65+3.05*4.11+2.3*1.37+2.3*1.37+0.05*1.27+0.7*3.17+3.32*1.07+1.68*1.07+0.1*3.51+0.92*0.15+1*0.1+2*0.8+2.8*0.97)*10.764</f>
        <v>719.16974999999979</v>
      </c>
      <c r="E368" s="38">
        <v>0</v>
      </c>
      <c r="F368" s="38">
        <f t="shared" si="15"/>
        <v>1114.7131124999996</v>
      </c>
      <c r="G368" s="121"/>
      <c r="H368" s="122"/>
      <c r="I368" s="63"/>
      <c r="J368" s="64"/>
      <c r="K368" s="33"/>
      <c r="L368" s="58"/>
      <c r="M368" s="58"/>
      <c r="N368" s="33"/>
    </row>
    <row r="369" spans="1:14" s="41" customFormat="1" ht="15.75" customHeight="1" x14ac:dyDescent="0.25">
      <c r="A369" s="94">
        <v>3</v>
      </c>
      <c r="B369" s="95"/>
      <c r="C369" s="119" t="s">
        <v>194</v>
      </c>
      <c r="D369" s="145"/>
      <c r="E369" s="145"/>
      <c r="F369" s="120"/>
      <c r="G369" s="121"/>
      <c r="H369" s="122"/>
      <c r="I369" s="18"/>
      <c r="J369" s="62"/>
      <c r="K369" s="33"/>
      <c r="L369" s="58"/>
      <c r="M369" s="58"/>
      <c r="N369" s="33"/>
    </row>
    <row r="370" spans="1:14" s="41" customFormat="1" ht="15.75" customHeight="1" x14ac:dyDescent="0.25">
      <c r="A370" s="94">
        <f t="shared" si="16"/>
        <v>4</v>
      </c>
      <c r="B370" s="95"/>
      <c r="C370" s="123"/>
      <c r="D370" s="146"/>
      <c r="E370" s="146"/>
      <c r="F370" s="124"/>
      <c r="G370" s="121"/>
      <c r="H370" s="122"/>
      <c r="I370" s="63"/>
      <c r="J370" s="64"/>
      <c r="K370" s="33"/>
      <c r="L370" s="58"/>
      <c r="M370" s="58"/>
      <c r="N370" s="33"/>
    </row>
    <row r="371" spans="1:14" s="41" customFormat="1" ht="15.75" customHeight="1" x14ac:dyDescent="0.25">
      <c r="A371" s="94">
        <v>5</v>
      </c>
      <c r="B371" s="95"/>
      <c r="C371" s="38" t="s">
        <v>168</v>
      </c>
      <c r="D371" s="38">
        <f>(3.05*5.17+2.75*2.45+3.05*3.41+3.05*3.65+2.3*1.37+2.3*1.37+1*2.55+0.1*1+0.8*1.52+2.05*1.07+1.1*1.07+0.8*2.03+2.9*1.1)*10.764</f>
        <v>671.58210599999984</v>
      </c>
      <c r="E371" s="38">
        <v>0</v>
      </c>
      <c r="F371" s="38">
        <f>D371*(($F$241)+1)+(IF(E371&lt;101,E371,IF(E371&lt;201,E371/2,IF(E371&lt;=301,E371/3,E371/4))))</f>
        <v>1040.9522642999998</v>
      </c>
      <c r="G371" s="121"/>
      <c r="H371" s="122"/>
      <c r="I371" s="18"/>
      <c r="J371" s="62"/>
      <c r="K371" s="33"/>
      <c r="L371" s="58"/>
      <c r="M371" s="58"/>
      <c r="N371" s="33"/>
    </row>
    <row r="372" spans="1:14" s="41" customFormat="1" ht="15.75" customHeight="1" x14ac:dyDescent="0.25">
      <c r="A372" s="94">
        <f t="shared" si="16"/>
        <v>6</v>
      </c>
      <c r="B372" s="95"/>
      <c r="C372" s="38" t="s">
        <v>168</v>
      </c>
      <c r="D372" s="38">
        <f>(3.05*5.84+2.75*2.45+3.05*3.7+3.05*4.11+2.3*1.37+2.3*1.37+1*2.55+0.1*1+0.75*1.52+2.05*1.07+1.1*1.07+0.8*1.975+2.8*1.1)*10.764</f>
        <v>715.72526999999991</v>
      </c>
      <c r="E372" s="38">
        <v>0</v>
      </c>
      <c r="F372" s="38">
        <f>D372*(($F$241)+1)+(IF(E372&lt;101,E372,IF(E372&lt;201,E372/2,IF(E372&lt;=301,E372/3,E372/4))))</f>
        <v>1109.3741685</v>
      </c>
      <c r="G372" s="123"/>
      <c r="H372" s="124"/>
      <c r="I372" s="63"/>
      <c r="J372" s="64"/>
      <c r="K372" s="33"/>
      <c r="L372" s="58"/>
      <c r="M372" s="58"/>
      <c r="N372" s="33"/>
    </row>
    <row r="373" spans="1:14" s="31" customFormat="1" x14ac:dyDescent="0.25">
      <c r="A373" s="103" t="s">
        <v>241</v>
      </c>
      <c r="B373" s="103"/>
      <c r="C373" s="103"/>
      <c r="D373" s="103"/>
      <c r="E373" s="103"/>
      <c r="F373" s="103"/>
      <c r="G373" s="103"/>
      <c r="H373" s="103"/>
    </row>
    <row r="374" spans="1:14" s="31" customFormat="1" x14ac:dyDescent="0.25">
      <c r="A374" s="147" t="s">
        <v>227</v>
      </c>
      <c r="B374" s="148"/>
      <c r="C374" s="148"/>
      <c r="D374" s="148"/>
      <c r="E374" s="148"/>
      <c r="F374" s="148"/>
      <c r="G374" s="148"/>
      <c r="H374" s="148"/>
    </row>
    <row r="375" spans="1:14" s="31" customFormat="1" x14ac:dyDescent="0.25">
      <c r="A375" s="148" t="s">
        <v>343</v>
      </c>
      <c r="B375" s="148"/>
      <c r="C375" s="148"/>
      <c r="D375" s="148"/>
      <c r="E375" s="148"/>
      <c r="F375" s="148"/>
      <c r="G375" s="148"/>
      <c r="H375" s="148"/>
    </row>
    <row r="376" spans="1:14" s="41" customFormat="1" x14ac:dyDescent="0.25">
      <c r="A376" s="144" t="s">
        <v>354</v>
      </c>
      <c r="B376" s="144"/>
      <c r="C376" s="144"/>
      <c r="D376" s="144"/>
      <c r="E376" s="144"/>
      <c r="F376" s="144"/>
      <c r="G376" s="144"/>
      <c r="H376" s="144"/>
      <c r="I376" s="18">
        <v>1</v>
      </c>
      <c r="J376" s="70">
        <f>10.746</f>
        <v>10.746</v>
      </c>
    </row>
    <row r="377" spans="1:14" s="41" customFormat="1" ht="15.75" customHeight="1" x14ac:dyDescent="0.25">
      <c r="A377" s="125">
        <v>1</v>
      </c>
      <c r="B377" s="125"/>
      <c r="C377" s="125" t="s">
        <v>191</v>
      </c>
      <c r="D377" s="125"/>
      <c r="E377" s="125"/>
      <c r="F377" s="125"/>
      <c r="G377" s="125" t="str">
        <f>A376</f>
        <v xml:space="preserve">1st Podium Floor for Residential, Entrance Lobby, Convenience Store &amp; Podium Parking </v>
      </c>
      <c r="H377" s="125"/>
      <c r="I377" s="18"/>
      <c r="J377" s="62"/>
      <c r="K377" s="33"/>
      <c r="L377" s="58"/>
      <c r="M377" s="58"/>
      <c r="N377" s="33"/>
    </row>
    <row r="378" spans="1:14" s="41" customFormat="1" ht="15.75" customHeight="1" x14ac:dyDescent="0.25">
      <c r="A378" s="125">
        <f t="shared" ref="A378:A382" si="17">A377+1</f>
        <v>2</v>
      </c>
      <c r="B378" s="125"/>
      <c r="C378" s="125" t="s">
        <v>192</v>
      </c>
      <c r="D378" s="125"/>
      <c r="E378" s="125"/>
      <c r="F378" s="125"/>
      <c r="G378" s="125"/>
      <c r="H378" s="125"/>
      <c r="I378" s="63"/>
      <c r="J378" s="64"/>
      <c r="K378" s="33"/>
      <c r="L378" s="58"/>
      <c r="M378" s="58"/>
      <c r="N378" s="33"/>
    </row>
    <row r="379" spans="1:14" s="41" customFormat="1" ht="15.75" customHeight="1" x14ac:dyDescent="0.25">
      <c r="A379" s="125">
        <v>3</v>
      </c>
      <c r="B379" s="125"/>
      <c r="C379" s="38" t="s">
        <v>168</v>
      </c>
      <c r="D379" s="38">
        <f>(3.05*5.17+2.45*2.7+3.05*3.65+2.95*3.65+2.3*1.37+2.3*1.37+0.05*1.27+0.7*3.17+3.32*1.07+1.68*1.07+0.1*3.05+0.92*0.15+1.2*0.1+1.95*0.8)*10.764</f>
        <v>649.51052399999992</v>
      </c>
      <c r="E379" s="38">
        <v>0</v>
      </c>
      <c r="F379" s="38">
        <f>D379*(($F$241)+1)+(IF(E379&lt;101,E379,IF(E379&lt;201,E379/2,IF(E379&lt;=301,E379/3,E379/4))))</f>
        <v>1006.7413121999999</v>
      </c>
      <c r="G379" s="125"/>
      <c r="H379" s="125"/>
      <c r="I379" s="18"/>
      <c r="J379" s="62"/>
      <c r="K379" s="33"/>
      <c r="L379" s="58"/>
      <c r="M379" s="58"/>
      <c r="N379" s="33"/>
    </row>
    <row r="380" spans="1:14" s="41" customFormat="1" ht="15.75" customHeight="1" x14ac:dyDescent="0.25">
      <c r="A380" s="125">
        <f t="shared" si="17"/>
        <v>4</v>
      </c>
      <c r="B380" s="125"/>
      <c r="C380" s="38" t="s">
        <v>168</v>
      </c>
      <c r="D380" s="38">
        <f>(3.05*4.81+2.3*2.7+2.9*3.41+3.05*3.65+2.3*1.37+2.3*1.37+1.85*0.46+3.7*0.35+2.4*1.06+0.92*0.15+1.09*0.1+1.85*0.8)*10.764</f>
        <v>587.94044399999984</v>
      </c>
      <c r="E380" s="38">
        <v>0</v>
      </c>
      <c r="F380" s="38">
        <f>D380*(($F$241)+1)+(IF(E380&lt;101,E380,IF(E380&lt;201,E380/2,IF(E380&lt;=301,E380/3,E380/4))))</f>
        <v>911.3076881999998</v>
      </c>
      <c r="G380" s="125"/>
      <c r="H380" s="125"/>
      <c r="I380" s="63"/>
      <c r="J380" s="64"/>
      <c r="K380" s="33"/>
      <c r="L380" s="58"/>
      <c r="M380" s="58"/>
      <c r="N380" s="33"/>
    </row>
    <row r="381" spans="1:14" s="41" customFormat="1" ht="15.75" customHeight="1" x14ac:dyDescent="0.25">
      <c r="A381" s="125">
        <v>5</v>
      </c>
      <c r="B381" s="125"/>
      <c r="C381" s="125" t="s">
        <v>353</v>
      </c>
      <c r="D381" s="125"/>
      <c r="E381" s="125"/>
      <c r="F381" s="125"/>
      <c r="G381" s="125"/>
      <c r="H381" s="125"/>
      <c r="I381" s="18"/>
      <c r="J381" s="62"/>
      <c r="K381" s="33"/>
      <c r="L381" s="58"/>
      <c r="M381" s="58"/>
      <c r="N381" s="33"/>
    </row>
    <row r="382" spans="1:14" s="41" customFormat="1" ht="15.75" customHeight="1" x14ac:dyDescent="0.25">
      <c r="A382" s="125">
        <f t="shared" si="17"/>
        <v>6</v>
      </c>
      <c r="B382" s="125"/>
      <c r="C382" s="125"/>
      <c r="D382" s="125"/>
      <c r="E382" s="125"/>
      <c r="F382" s="125"/>
      <c r="G382" s="125"/>
      <c r="H382" s="125"/>
      <c r="I382" s="63"/>
      <c r="J382" s="64"/>
      <c r="K382" s="33"/>
      <c r="L382" s="58"/>
      <c r="M382" s="58"/>
      <c r="N382" s="33"/>
    </row>
    <row r="383" spans="1:14" s="41" customFormat="1" x14ac:dyDescent="0.25">
      <c r="A383" s="144" t="s">
        <v>228</v>
      </c>
      <c r="B383" s="144"/>
      <c r="C383" s="144"/>
      <c r="D383" s="144"/>
      <c r="E383" s="144"/>
      <c r="F383" s="144"/>
      <c r="G383" s="144"/>
      <c r="H383" s="144"/>
      <c r="I383" s="18">
        <v>1</v>
      </c>
      <c r="J383" s="62"/>
    </row>
    <row r="384" spans="1:14" s="41" customFormat="1" ht="15.75" customHeight="1" x14ac:dyDescent="0.25">
      <c r="A384" s="125">
        <v>1</v>
      </c>
      <c r="B384" s="125"/>
      <c r="C384" s="125" t="s">
        <v>226</v>
      </c>
      <c r="D384" s="125"/>
      <c r="E384" s="125"/>
      <c r="F384" s="125"/>
      <c r="G384" s="125" t="str">
        <f>A383</f>
        <v xml:space="preserve">2nd Podium Floor for Residential, Society Office &amp; Podium Parking </v>
      </c>
      <c r="H384" s="149"/>
      <c r="I384" s="18"/>
      <c r="J384" s="62"/>
      <c r="K384" s="33"/>
      <c r="L384" s="58"/>
      <c r="M384" s="58"/>
      <c r="N384" s="33"/>
    </row>
    <row r="385" spans="1:14" s="41" customFormat="1" ht="15.75" customHeight="1" x14ac:dyDescent="0.25">
      <c r="A385" s="125">
        <f t="shared" ref="A385:A388" si="18">A384+1</f>
        <v>2</v>
      </c>
      <c r="B385" s="125"/>
      <c r="C385" s="125" t="s">
        <v>192</v>
      </c>
      <c r="D385" s="125"/>
      <c r="E385" s="125"/>
      <c r="F385" s="125"/>
      <c r="G385" s="149"/>
      <c r="H385" s="149"/>
      <c r="I385" s="63"/>
      <c r="J385" s="64"/>
      <c r="K385" s="33"/>
      <c r="L385" s="58"/>
      <c r="M385" s="58"/>
      <c r="N385" s="33"/>
    </row>
    <row r="386" spans="1:14" s="41" customFormat="1" ht="15.75" customHeight="1" x14ac:dyDescent="0.25">
      <c r="A386" s="125">
        <f>A385+1</f>
        <v>3</v>
      </c>
      <c r="B386" s="125"/>
      <c r="C386" s="38" t="s">
        <v>168</v>
      </c>
      <c r="D386" s="38">
        <f>(3.05*5.17+2.45*2.7+3.05*3.65+2.95*3.65+2.3*1.37+2.3*1.37+0.05*1.27+0.7*3.17+3.32*1.07+1.68*1.07+0.1*3.05+0.92*0.15+1.2*0.1+1.95*0.8)*10.764</f>
        <v>649.51052399999992</v>
      </c>
      <c r="E386" s="38">
        <v>0</v>
      </c>
      <c r="F386" s="38">
        <f>D386*(($F$241)+1)+(IF(E386&lt;101,E386,IF(E386&lt;201,E386/2,IF(E386&lt;=301,E386/3,E386/4))))</f>
        <v>1006.7413121999999</v>
      </c>
      <c r="G386" s="149"/>
      <c r="H386" s="149"/>
      <c r="I386" s="18"/>
      <c r="J386" s="62"/>
      <c r="K386" s="33"/>
      <c r="L386" s="58"/>
      <c r="M386" s="58"/>
      <c r="N386" s="33"/>
    </row>
    <row r="387" spans="1:14" s="41" customFormat="1" ht="15.75" customHeight="1" x14ac:dyDescent="0.25">
      <c r="A387" s="125">
        <f>A386+1</f>
        <v>4</v>
      </c>
      <c r="B387" s="125"/>
      <c r="C387" s="38" t="s">
        <v>168</v>
      </c>
      <c r="D387" s="38">
        <f>(3.05*4.81+2.3*2.7+2.9*3.41+3.05*3.65+2.3*1.37+2.3*1.37+1.85*0.46+3.7*0.35+2.4*1.06+0.92*0.15+1.09*0.1+1.85*0.8)*10.764</f>
        <v>587.94044399999984</v>
      </c>
      <c r="E387" s="38">
        <v>0</v>
      </c>
      <c r="F387" s="38">
        <f>D387*(($F$241)+1)+(IF(E387&lt;101,E387,IF(E387&lt;201,E387/2,IF(E387&lt;=301,E387/3,E387/4))))</f>
        <v>911.3076881999998</v>
      </c>
      <c r="G387" s="149"/>
      <c r="H387" s="149"/>
      <c r="I387" s="63"/>
      <c r="J387" s="64"/>
      <c r="K387" s="33"/>
      <c r="L387" s="58"/>
      <c r="M387" s="58"/>
      <c r="N387" s="33"/>
    </row>
    <row r="388" spans="1:14" s="41" customFormat="1" ht="15.75" customHeight="1" x14ac:dyDescent="0.25">
      <c r="A388" s="125">
        <f t="shared" si="18"/>
        <v>5</v>
      </c>
      <c r="B388" s="125"/>
      <c r="C388" s="38" t="s">
        <v>168</v>
      </c>
      <c r="D388" s="38">
        <f>(3.05*5.17+2.75*2.45+3.05*3.41+3.05*3.65+2.3*1.37+2.3*1.37+1*2.55+0.05*1.725+0.1*1.05+0.8*1.52+2.05*1.07+1.1*1.07+0.8*1.975)*10.764</f>
        <v>637.7535449999998</v>
      </c>
      <c r="E388" s="38">
        <v>0</v>
      </c>
      <c r="F388" s="38">
        <f>D388*(($F$241)+1)+(IF(E388&lt;101,E388,IF(E388&lt;201,E388/2,IF(E388&lt;=301,E388/3,E388/4))))</f>
        <v>988.51799474999973</v>
      </c>
      <c r="G388" s="149"/>
      <c r="H388" s="149"/>
      <c r="I388" s="18"/>
      <c r="J388" s="62"/>
      <c r="K388" s="33"/>
      <c r="L388" s="58"/>
      <c r="M388" s="58"/>
      <c r="N388" s="33"/>
    </row>
    <row r="389" spans="1:14" s="41" customFormat="1" ht="15.75" customHeight="1" x14ac:dyDescent="0.25">
      <c r="A389" s="125">
        <f>A388+1</f>
        <v>6</v>
      </c>
      <c r="B389" s="125"/>
      <c r="C389" s="125" t="s">
        <v>229</v>
      </c>
      <c r="D389" s="125"/>
      <c r="E389" s="125"/>
      <c r="F389" s="125"/>
      <c r="G389" s="149"/>
      <c r="H389" s="149"/>
      <c r="I389" s="18"/>
      <c r="J389" s="62"/>
      <c r="K389" s="33"/>
      <c r="L389" s="58"/>
      <c r="M389" s="58"/>
      <c r="N389" s="33"/>
    </row>
    <row r="390" spans="1:14" s="41" customFormat="1" x14ac:dyDescent="0.25">
      <c r="A390" s="97" t="s">
        <v>230</v>
      </c>
      <c r="B390" s="98"/>
      <c r="C390" s="98"/>
      <c r="D390" s="98"/>
      <c r="E390" s="98"/>
      <c r="F390" s="98"/>
      <c r="G390" s="98"/>
      <c r="H390" s="99"/>
      <c r="I390" s="18">
        <v>1</v>
      </c>
      <c r="J390" s="62"/>
    </row>
    <row r="391" spans="1:14" s="41" customFormat="1" ht="15.75" customHeight="1" x14ac:dyDescent="0.25">
      <c r="A391" s="94">
        <v>1</v>
      </c>
      <c r="B391" s="95"/>
      <c r="C391" s="119" t="s">
        <v>232</v>
      </c>
      <c r="D391" s="145"/>
      <c r="E391" s="145"/>
      <c r="F391" s="120"/>
      <c r="G391" s="119" t="str">
        <f>A390</f>
        <v>3rd Podium Floor for Residential &amp; Fitness Center</v>
      </c>
      <c r="H391" s="167"/>
      <c r="I391" s="18"/>
      <c r="J391" s="62"/>
      <c r="K391" s="33"/>
      <c r="L391" s="58"/>
      <c r="M391" s="58"/>
      <c r="N391" s="33"/>
    </row>
    <row r="392" spans="1:14" s="41" customFormat="1" ht="15.75" customHeight="1" x14ac:dyDescent="0.25">
      <c r="A392" s="94">
        <f t="shared" ref="A392:A395" si="19">A391+1</f>
        <v>2</v>
      </c>
      <c r="B392" s="95"/>
      <c r="C392" s="123" t="s">
        <v>192</v>
      </c>
      <c r="D392" s="146"/>
      <c r="E392" s="146"/>
      <c r="F392" s="124"/>
      <c r="G392" s="168"/>
      <c r="H392" s="169"/>
      <c r="I392" s="63"/>
      <c r="J392" s="64"/>
      <c r="K392" s="33"/>
      <c r="L392" s="58"/>
      <c r="M392" s="58"/>
      <c r="N392" s="33"/>
    </row>
    <row r="393" spans="1:14" s="41" customFormat="1" ht="15.75" customHeight="1" x14ac:dyDescent="0.25">
      <c r="A393" s="94">
        <f>A392+1</f>
        <v>3</v>
      </c>
      <c r="B393" s="95"/>
      <c r="C393" s="38" t="s">
        <v>168</v>
      </c>
      <c r="D393" s="38">
        <f>(3.05*5.17+2.45*2.7+3.05*3.65+2.95*3.65+2.3*1.37+2.3*1.37+0.05*1.27+0.7*3.17+3.32*1.07+1.68*1.07+0.1*3.05+0.92*0.15+1.2*0.1+1.95*0.8)*10.764</f>
        <v>649.51052399999992</v>
      </c>
      <c r="E393" s="38">
        <v>0</v>
      </c>
      <c r="F393" s="38">
        <f>D393*(($F$241)+1)+(IF(E393&lt;101,E393,IF(E393&lt;201,E393/2,IF(E393&lt;=301,E393/3,E393/4))))</f>
        <v>1006.7413121999999</v>
      </c>
      <c r="G393" s="168"/>
      <c r="H393" s="169"/>
      <c r="I393" s="18"/>
      <c r="J393" s="62"/>
      <c r="K393" s="33"/>
      <c r="L393" s="58"/>
      <c r="M393" s="58"/>
      <c r="N393" s="33"/>
    </row>
    <row r="394" spans="1:14" s="41" customFormat="1" ht="15.75" customHeight="1" x14ac:dyDescent="0.25">
      <c r="A394" s="94">
        <f>A393+1</f>
        <v>4</v>
      </c>
      <c r="B394" s="95"/>
      <c r="C394" s="38" t="s">
        <v>168</v>
      </c>
      <c r="D394" s="38">
        <f>(3.05*4.81+2.3*2.7+2.9*3.41+3.05*3.65+2.3*1.37+2.3*1.37+1.85*0.46+3.7*0.35+2.4*1.06+0.92*0.15+1.09*0.1+1.85*0.8)*10.764</f>
        <v>587.94044399999984</v>
      </c>
      <c r="E394" s="38">
        <v>0</v>
      </c>
      <c r="F394" s="38">
        <f>D394*(($F$241)+1)+(IF(E394&lt;101,E394,IF(E394&lt;201,E394/2,IF(E394&lt;=301,E394/3,E394/4))))</f>
        <v>911.3076881999998</v>
      </c>
      <c r="G394" s="168"/>
      <c r="H394" s="169"/>
      <c r="I394" s="63"/>
      <c r="J394" s="64"/>
      <c r="K394" s="33"/>
      <c r="L394" s="58"/>
      <c r="M394" s="58"/>
      <c r="N394" s="33"/>
    </row>
    <row r="395" spans="1:14" s="41" customFormat="1" ht="15.75" customHeight="1" x14ac:dyDescent="0.25">
      <c r="A395" s="94">
        <f t="shared" si="19"/>
        <v>5</v>
      </c>
      <c r="B395" s="95"/>
      <c r="C395" s="38" t="s">
        <v>168</v>
      </c>
      <c r="D395" s="38">
        <f>(3.05*5.17+2.75*2.45+3.05*3.41+3.05*3.65+2.3*1.37+2.3*1.37+1*2.55+0.05*1.725+0.1*1.05+0.8*1.52+2.05*1.07+1.1*1.07+0.8*1.975)*10.764</f>
        <v>637.7535449999998</v>
      </c>
      <c r="E395" s="38">
        <v>0</v>
      </c>
      <c r="F395" s="38">
        <f>D395*(($F$241)+1)+(IF(E395&lt;101,E395,IF(E395&lt;201,E395/2,IF(E395&lt;=301,E395/3,E395/4))))</f>
        <v>988.51799474999973</v>
      </c>
      <c r="G395" s="168"/>
      <c r="H395" s="169"/>
      <c r="I395" s="18"/>
      <c r="J395" s="62"/>
      <c r="K395" s="33"/>
      <c r="L395" s="58"/>
      <c r="M395" s="58"/>
      <c r="N395" s="33"/>
    </row>
    <row r="396" spans="1:14" s="41" customFormat="1" ht="15.75" customHeight="1" x14ac:dyDescent="0.25">
      <c r="A396" s="94">
        <f>A395+1</f>
        <v>6</v>
      </c>
      <c r="B396" s="95"/>
      <c r="C396" s="94" t="s">
        <v>231</v>
      </c>
      <c r="D396" s="126"/>
      <c r="E396" s="126"/>
      <c r="F396" s="95"/>
      <c r="G396" s="170"/>
      <c r="H396" s="171"/>
      <c r="I396" s="18"/>
      <c r="J396" s="62"/>
      <c r="K396" s="33"/>
      <c r="L396" s="58"/>
      <c r="M396" s="58"/>
      <c r="N396" s="33"/>
    </row>
    <row r="397" spans="1:14" s="41" customFormat="1" x14ac:dyDescent="0.25">
      <c r="A397" s="97" t="s">
        <v>181</v>
      </c>
      <c r="B397" s="98"/>
      <c r="C397" s="98"/>
      <c r="D397" s="98"/>
      <c r="E397" s="98"/>
      <c r="F397" s="98"/>
      <c r="G397" s="98"/>
      <c r="H397" s="99"/>
      <c r="I397" s="18">
        <v>1</v>
      </c>
      <c r="J397" s="62"/>
    </row>
    <row r="398" spans="1:14" s="41" customFormat="1" ht="15.75" customHeight="1" x14ac:dyDescent="0.25">
      <c r="A398" s="94">
        <v>1</v>
      </c>
      <c r="B398" s="95"/>
      <c r="C398" s="38" t="s">
        <v>168</v>
      </c>
      <c r="D398" s="38">
        <f>(2.95*5.16+2.3*2.7+2.9*3.35+3.05*3.65+2.3*1.37+2.3*1.37+2.105*0.855+1.22*0.1+2.21*1.07+0.19*1.07+0.92*0.15+1.9*0.8)*10.764</f>
        <v>589.10591609999983</v>
      </c>
      <c r="E398" s="38">
        <v>0</v>
      </c>
      <c r="F398" s="38">
        <f t="shared" ref="F398:F399" si="20">D398*(($F$241)+1)+(IF(E398&lt;101,E398,IF(E398&lt;201,E398/2,IF(E398&lt;=301,E398/3,E398/4))))</f>
        <v>913.11416995499974</v>
      </c>
      <c r="G398" s="119" t="str">
        <f>A397</f>
        <v xml:space="preserve">4th Floor </v>
      </c>
      <c r="H398" s="120"/>
      <c r="I398" s="18"/>
      <c r="J398" s="62"/>
      <c r="K398" s="33"/>
      <c r="L398" s="58"/>
      <c r="M398" s="58"/>
      <c r="N398" s="33"/>
    </row>
    <row r="399" spans="1:14" s="41" customFormat="1" ht="15.75" customHeight="1" x14ac:dyDescent="0.25">
      <c r="A399" s="94">
        <f t="shared" ref="A399:A402" si="21">A398+1</f>
        <v>2</v>
      </c>
      <c r="B399" s="95"/>
      <c r="C399" s="38" t="s">
        <v>168</v>
      </c>
      <c r="D399" s="38">
        <f>(3.05*5.8+2.45*2.7+3.05*3.65+3.05*4.11+2.3*1.37+2.3*1.37+0.05*1.27+0.7*3.17+3.32*1.07+1.68*1.07+0.1*3.51+0.92*0.15+1*0.1+2*0.8)*10.764</f>
        <v>689.93472599999984</v>
      </c>
      <c r="E399" s="38">
        <f>(1.6*3.05)*10.764</f>
        <v>52.528319999999994</v>
      </c>
      <c r="F399" s="38">
        <f t="shared" si="20"/>
        <v>1121.9271452999997</v>
      </c>
      <c r="G399" s="121"/>
      <c r="H399" s="122"/>
      <c r="I399" s="63"/>
      <c r="J399" s="64"/>
      <c r="K399" s="33"/>
      <c r="L399" s="58"/>
      <c r="M399" s="58"/>
      <c r="N399" s="33"/>
    </row>
    <row r="400" spans="1:14" s="41" customFormat="1" ht="15.75" customHeight="1" x14ac:dyDescent="0.25">
      <c r="A400" s="94">
        <f>A399+1</f>
        <v>3</v>
      </c>
      <c r="B400" s="95"/>
      <c r="C400" s="38" t="s">
        <v>168</v>
      </c>
      <c r="D400" s="38">
        <f>(3.05*5.17+2.45*2.7+3.05*3.41+2.95*3.65+2.3*1.37+2.3*1.37+0.05*1.27+0.7*3.17+3.32*1.07+1.68*1.07+0.1*3.05+0.92*0.15+1.2*0.1+1.95*0.75)*10.764</f>
        <v>640.58178599999985</v>
      </c>
      <c r="E400" s="38">
        <v>0</v>
      </c>
      <c r="F400" s="38">
        <f>D400*(($F$241)+1)+(IF(E400&lt;101,E400,IF(E400&lt;201,E400/2,IF(E400&lt;=301,E400/3,E400/4))))</f>
        <v>992.90176829999984</v>
      </c>
      <c r="G400" s="121"/>
      <c r="H400" s="122"/>
      <c r="I400" s="18"/>
      <c r="J400" s="62"/>
      <c r="K400" s="33"/>
      <c r="L400" s="58"/>
      <c r="M400" s="58"/>
      <c r="N400" s="33"/>
    </row>
    <row r="401" spans="1:14" s="41" customFormat="1" ht="15.75" customHeight="1" x14ac:dyDescent="0.25">
      <c r="A401" s="94">
        <f>A400+1</f>
        <v>4</v>
      </c>
      <c r="B401" s="95"/>
      <c r="C401" s="38" t="s">
        <v>168</v>
      </c>
      <c r="D401" s="38">
        <f>(3.05*4.81+2.3*2.7+2.9*3.41+3.05*3.65+2.3*1.37+2.3*1.37+1.85*0.46+3.7*0.35+2.4*1.05+0.92*0.15+1.09*0.1+1.85*0.8)*10.764</f>
        <v>587.68210799999986</v>
      </c>
      <c r="E401" s="38">
        <v>0</v>
      </c>
      <c r="F401" s="38">
        <f>D401*(($F$241)+1)+(IF(E401&lt;101,E401,IF(E401&lt;201,E401/2,IF(E401&lt;=301,E401/3,E401/4))))</f>
        <v>910.9072673999998</v>
      </c>
      <c r="G401" s="121"/>
      <c r="H401" s="122"/>
      <c r="I401" s="63"/>
      <c r="J401" s="64"/>
      <c r="K401" s="33"/>
      <c r="L401" s="58"/>
      <c r="M401" s="58"/>
      <c r="N401" s="33"/>
    </row>
    <row r="402" spans="1:14" s="41" customFormat="1" ht="15.75" customHeight="1" x14ac:dyDescent="0.25">
      <c r="A402" s="94">
        <f t="shared" si="21"/>
        <v>5</v>
      </c>
      <c r="B402" s="95"/>
      <c r="C402" s="38" t="s">
        <v>168</v>
      </c>
      <c r="D402" s="38">
        <f>(3.05*5.17+2.75*2.45+3.05*3.41+3.05*3.65+2.3*1.37+2.3*1.37+1*2.55+0.1*1+0.8*1.52+2.05*1.07+1.1*1.07+0.8*2.03)*10.764</f>
        <v>637.24494599999991</v>
      </c>
      <c r="E402" s="38">
        <v>0</v>
      </c>
      <c r="F402" s="38">
        <f>D402*(($F$241)+1)+(IF(E402&lt;101,E402,IF(E402&lt;201,E402/2,IF(E402&lt;=301,E402/3,E402/4))))</f>
        <v>987.72966629999985</v>
      </c>
      <c r="G402" s="121"/>
      <c r="H402" s="122"/>
      <c r="I402" s="18"/>
      <c r="J402" s="62"/>
      <c r="K402" s="33"/>
      <c r="L402" s="58"/>
      <c r="M402" s="58"/>
      <c r="N402" s="33"/>
    </row>
    <row r="403" spans="1:14" s="41" customFormat="1" ht="15.75" customHeight="1" x14ac:dyDescent="0.25">
      <c r="A403" s="94">
        <f>A402+1</f>
        <v>6</v>
      </c>
      <c r="B403" s="95"/>
      <c r="C403" s="38" t="s">
        <v>168</v>
      </c>
      <c r="D403" s="38">
        <f>(3.05*5.84+2.75*2.45+3.05*3.7+3.05*4.11+2.3*1.37+2.3*1.37+1*2.55+0.1*1+0.75*1.52+2.05*1.07+1.1*1.07+0.8*1.975)*10.764</f>
        <v>682.57214999999985</v>
      </c>
      <c r="E403" s="38">
        <v>0</v>
      </c>
      <c r="F403" s="38">
        <f>D403*(($F$241)+1)+(IF(E403&lt;101,E403,IF(E403&lt;201,E403/2,IF(E403&lt;=301,E403/3,E403/4))))</f>
        <v>1057.9868324999998</v>
      </c>
      <c r="G403" s="123"/>
      <c r="H403" s="124"/>
      <c r="I403" s="63"/>
      <c r="J403" s="64"/>
      <c r="K403" s="33"/>
      <c r="L403" s="58"/>
      <c r="M403" s="58"/>
      <c r="N403" s="33"/>
    </row>
    <row r="404" spans="1:14" s="41" customFormat="1" x14ac:dyDescent="0.25">
      <c r="A404" s="97" t="s">
        <v>203</v>
      </c>
      <c r="B404" s="98"/>
      <c r="C404" s="98"/>
      <c r="D404" s="98"/>
      <c r="E404" s="98"/>
      <c r="F404" s="98"/>
      <c r="G404" s="98"/>
      <c r="H404" s="99"/>
      <c r="I404" s="18">
        <f>3+6+7</f>
        <v>16</v>
      </c>
      <c r="J404" s="62"/>
    </row>
    <row r="405" spans="1:14" s="41" customFormat="1" ht="15.75" customHeight="1" x14ac:dyDescent="0.25">
      <c r="A405" s="94">
        <v>1</v>
      </c>
      <c r="B405" s="95"/>
      <c r="C405" s="38" t="s">
        <v>168</v>
      </c>
      <c r="D405" s="38">
        <f>(2.95*5.16+2.3*2.7+2.9*3.35+3.05*3.65+2.3*1.37+2.3*1.37+2.105*0.855+1.22*0.1+2.21*1.07+0.19*1.07+0.92*0.15+1.9*0.8)*10.764</f>
        <v>589.10591609999983</v>
      </c>
      <c r="E405" s="38">
        <v>0</v>
      </c>
      <c r="F405" s="38">
        <f t="shared" ref="F405:F406" si="22">D405*(($F$241)+1)+(IF(E405&lt;101,E405,IF(E405&lt;201,E405/2,IF(E405&lt;=301,E405/3,E405/4))))</f>
        <v>913.11416995499974</v>
      </c>
      <c r="G405" s="119" t="str">
        <f>A404</f>
        <v xml:space="preserve">5th to 7th, 9th to 14th, 16th to 22nd Floor </v>
      </c>
      <c r="H405" s="120"/>
      <c r="I405" s="18"/>
      <c r="J405" s="62"/>
      <c r="K405" s="33"/>
      <c r="L405" s="58"/>
      <c r="M405" s="58"/>
      <c r="N405" s="33"/>
    </row>
    <row r="406" spans="1:14" s="41" customFormat="1" ht="15.75" customHeight="1" x14ac:dyDescent="0.25">
      <c r="A406" s="94">
        <f t="shared" ref="A406:A409" si="23">A405+1</f>
        <v>2</v>
      </c>
      <c r="B406" s="95"/>
      <c r="C406" s="38" t="s">
        <v>168</v>
      </c>
      <c r="D406" s="38">
        <f>(3.05*5.8+2.45*2.7+3.05*3.65+3.05*4.11+2.3*1.37+2.3*1.37+0.05*1.27+0.7*3.17+3.32*1.07+1.68*1.07+0.1*3.51+0.92*0.15+1*0.1+2*0.8+2.8*0.97)*10.764</f>
        <v>719.16974999999979</v>
      </c>
      <c r="E406" s="38">
        <v>0</v>
      </c>
      <c r="F406" s="38">
        <f t="shared" si="22"/>
        <v>1114.7131124999996</v>
      </c>
      <c r="G406" s="121"/>
      <c r="H406" s="122"/>
      <c r="I406" s="63"/>
      <c r="J406" s="64"/>
      <c r="K406" s="33"/>
      <c r="L406" s="58"/>
      <c r="M406" s="58"/>
      <c r="N406" s="33"/>
    </row>
    <row r="407" spans="1:14" s="41" customFormat="1" ht="15.75" customHeight="1" x14ac:dyDescent="0.25">
      <c r="A407" s="94">
        <f>A406+1</f>
        <v>3</v>
      </c>
      <c r="B407" s="95"/>
      <c r="C407" s="38" t="s">
        <v>168</v>
      </c>
      <c r="D407" s="38">
        <f>(3.05*5.17+2.45*2.7+3.05*3.41+2.95*3.65+2.3*1.37+2.3*1.37+0.05*1.27+0.7*3.17+3.32*1.07+1.68*1.07+0.1*3.05+0.92*0.15+1.2*0.1+1.95*0.75+2.8*1.1)*10.764</f>
        <v>673.7349059999998</v>
      </c>
      <c r="E407" s="38">
        <v>0</v>
      </c>
      <c r="F407" s="38">
        <f>D407*(($F$241)+1)+(IF(E407&lt;101,E407,IF(E407&lt;201,E407/2,IF(E407&lt;=301,E407/3,E407/4))))</f>
        <v>1044.2891042999997</v>
      </c>
      <c r="G407" s="121"/>
      <c r="H407" s="122"/>
      <c r="I407" s="18"/>
      <c r="J407" s="62"/>
      <c r="K407" s="33"/>
      <c r="L407" s="58"/>
      <c r="M407" s="58"/>
      <c r="N407" s="33"/>
    </row>
    <row r="408" spans="1:14" s="41" customFormat="1" ht="15.75" customHeight="1" x14ac:dyDescent="0.25">
      <c r="A408" s="94">
        <f>A407+1</f>
        <v>4</v>
      </c>
      <c r="B408" s="95"/>
      <c r="C408" s="38" t="s">
        <v>168</v>
      </c>
      <c r="D408" s="38">
        <f>(3.05*4.81+2.3*2.7+2.9*3.41+3.05*3.65+2.3*1.37+2.3*1.37+1.85*0.46+3.7*0.35+2.4*1.05+0.92*0.15+1.09*0.1+1.85*0.8)*10.764</f>
        <v>587.68210799999986</v>
      </c>
      <c r="E408" s="38">
        <v>0</v>
      </c>
      <c r="F408" s="38">
        <f>D408*(($F$241)+1)+(IF(E408&lt;101,E408,IF(E408&lt;201,E408/2,IF(E408&lt;=301,E408/3,E408/4))))</f>
        <v>910.9072673999998</v>
      </c>
      <c r="G408" s="121"/>
      <c r="H408" s="122"/>
      <c r="I408" s="63"/>
      <c r="J408" s="64"/>
      <c r="K408" s="33"/>
      <c r="L408" s="58"/>
      <c r="M408" s="58"/>
      <c r="N408" s="33"/>
    </row>
    <row r="409" spans="1:14" s="41" customFormat="1" ht="15.75" customHeight="1" x14ac:dyDescent="0.25">
      <c r="A409" s="94">
        <f t="shared" si="23"/>
        <v>5</v>
      </c>
      <c r="B409" s="95"/>
      <c r="C409" s="38" t="s">
        <v>168</v>
      </c>
      <c r="D409" s="38">
        <f>(3.05*5.17+2.75*2.45+3.05*3.41+3.05*3.65+2.3*1.37+2.3*1.37+1*2.55+0.1*1+0.8*1.52+2.05*1.07+1.1*1.07+0.8*2.03+2.9*1.1)*10.764</f>
        <v>671.58210599999984</v>
      </c>
      <c r="E409" s="38">
        <v>0</v>
      </c>
      <c r="F409" s="38">
        <f>D409*(($F$241)+1)+(IF(E409&lt;101,E409,IF(E409&lt;201,E409/2,IF(E409&lt;=301,E409/3,E409/4))))</f>
        <v>1040.9522642999998</v>
      </c>
      <c r="G409" s="121"/>
      <c r="H409" s="122"/>
      <c r="I409" s="18"/>
      <c r="J409" s="62"/>
      <c r="K409" s="33"/>
      <c r="L409" s="58"/>
      <c r="M409" s="58"/>
      <c r="N409" s="33"/>
    </row>
    <row r="410" spans="1:14" s="41" customFormat="1" ht="15.75" customHeight="1" x14ac:dyDescent="0.25">
      <c r="A410" s="94">
        <f>A409+1</f>
        <v>6</v>
      </c>
      <c r="B410" s="95"/>
      <c r="C410" s="38" t="s">
        <v>168</v>
      </c>
      <c r="D410" s="38">
        <f>(3.05*5.84+2.75*2.45+3.05*3.7+3.05*4.11+2.3*1.37+2.3*1.37+1*2.55+0.1*1+0.75*1.52+2.05*1.07+1.1*1.07+0.8*1.975+2.8*1.1)*10.764</f>
        <v>715.72526999999991</v>
      </c>
      <c r="E410" s="38">
        <v>0</v>
      </c>
      <c r="F410" s="38">
        <f>D410*(($F$241)+1)+(IF(E410&lt;101,E410,IF(E410&lt;201,E410/2,IF(E410&lt;=301,E410/3,E410/4))))</f>
        <v>1109.3741685</v>
      </c>
      <c r="G410" s="123"/>
      <c r="H410" s="124"/>
      <c r="I410" s="63"/>
      <c r="J410" s="64"/>
      <c r="K410" s="33"/>
      <c r="L410" s="58"/>
      <c r="M410" s="58"/>
      <c r="N410" s="33"/>
    </row>
    <row r="411" spans="1:14" s="41" customFormat="1" x14ac:dyDescent="0.25">
      <c r="A411" s="97" t="s">
        <v>204</v>
      </c>
      <c r="B411" s="98"/>
      <c r="C411" s="98"/>
      <c r="D411" s="98"/>
      <c r="E411" s="98"/>
      <c r="F411" s="98"/>
      <c r="G411" s="98"/>
      <c r="H411" s="99"/>
      <c r="I411" s="18">
        <v>1</v>
      </c>
      <c r="J411" s="62"/>
    </row>
    <row r="412" spans="1:14" s="41" customFormat="1" ht="15.75" customHeight="1" x14ac:dyDescent="0.25">
      <c r="A412" s="94">
        <v>1</v>
      </c>
      <c r="B412" s="95"/>
      <c r="C412" s="38" t="s">
        <v>168</v>
      </c>
      <c r="D412" s="38">
        <f>(2.95*5.16+2.3*2.7+2.9*3.35+3.05*3.65+2.3*1.37+2.3*1.37+2.105*0.855+1.22*0.1+2.21*1.07+0.19*1.07+0.92*0.15+1.9*0.8)*10.764</f>
        <v>589.10591609999983</v>
      </c>
      <c r="E412" s="38">
        <v>0</v>
      </c>
      <c r="F412" s="38">
        <f t="shared" ref="F412:F413" si="24">D412*(($F$241)+1)+(IF(E412&lt;101,E412,IF(E412&lt;201,E412/2,IF(E412&lt;=301,E412/3,E412/4))))</f>
        <v>913.11416995499974</v>
      </c>
      <c r="G412" s="119" t="str">
        <f>A411</f>
        <v>8th Floor (Part Refuge Area)</v>
      </c>
      <c r="H412" s="120"/>
      <c r="I412" s="18"/>
      <c r="J412" s="62"/>
      <c r="K412" s="33"/>
      <c r="L412" s="58"/>
      <c r="M412" s="58"/>
      <c r="N412" s="33"/>
    </row>
    <row r="413" spans="1:14" s="41" customFormat="1" ht="15.75" customHeight="1" x14ac:dyDescent="0.25">
      <c r="A413" s="94">
        <f t="shared" ref="A413:A416" si="25">A412+1</f>
        <v>2</v>
      </c>
      <c r="B413" s="95"/>
      <c r="C413" s="38" t="s">
        <v>168</v>
      </c>
      <c r="D413" s="38">
        <f>(3.05*5.8+2.45*2.7+3.05*3.65+3.05*4.11+2.3*1.37+2.3*1.37+0.05*1.27+0.7*3.17+3.32*1.07+1.68*1.07+0.1*3.51+0.92*0.15+1*0.1+2*0.8+2.8*0.97)*10.764</f>
        <v>719.16974999999979</v>
      </c>
      <c r="E413" s="38">
        <v>0</v>
      </c>
      <c r="F413" s="38">
        <f t="shared" si="24"/>
        <v>1114.7131124999996</v>
      </c>
      <c r="G413" s="121"/>
      <c r="H413" s="122"/>
      <c r="I413" s="63"/>
      <c r="J413" s="64"/>
      <c r="K413" s="33"/>
      <c r="L413" s="58"/>
      <c r="M413" s="58"/>
      <c r="N413" s="33"/>
    </row>
    <row r="414" spans="1:14" s="41" customFormat="1" ht="15.75" customHeight="1" x14ac:dyDescent="0.25">
      <c r="A414" s="94">
        <f>A413+1</f>
        <v>3</v>
      </c>
      <c r="B414" s="95"/>
      <c r="C414" s="119" t="s">
        <v>194</v>
      </c>
      <c r="D414" s="145"/>
      <c r="E414" s="145"/>
      <c r="F414" s="120"/>
      <c r="G414" s="121"/>
      <c r="H414" s="122"/>
      <c r="I414" s="18"/>
      <c r="J414" s="62"/>
      <c r="K414" s="33"/>
      <c r="L414" s="58"/>
      <c r="M414" s="58"/>
      <c r="N414" s="33"/>
    </row>
    <row r="415" spans="1:14" s="41" customFormat="1" ht="15.75" customHeight="1" x14ac:dyDescent="0.25">
      <c r="A415" s="94">
        <f>A414+1</f>
        <v>4</v>
      </c>
      <c r="B415" s="95"/>
      <c r="C415" s="123"/>
      <c r="D415" s="146"/>
      <c r="E415" s="146"/>
      <c r="F415" s="124"/>
      <c r="G415" s="121"/>
      <c r="H415" s="122"/>
      <c r="I415" s="63"/>
      <c r="J415" s="64"/>
      <c r="K415" s="33"/>
      <c r="L415" s="58"/>
      <c r="M415" s="58"/>
      <c r="N415" s="33"/>
    </row>
    <row r="416" spans="1:14" s="41" customFormat="1" ht="15.75" customHeight="1" x14ac:dyDescent="0.25">
      <c r="A416" s="94">
        <f t="shared" si="25"/>
        <v>5</v>
      </c>
      <c r="B416" s="95"/>
      <c r="C416" s="38" t="s">
        <v>168</v>
      </c>
      <c r="D416" s="38">
        <f>(3.05*5.17+2.75*2.45+3.05*3.41+3.05*3.65+2.3*1.37+2.3*1.37+1*2.55+0.1*1+0.8*1.52+2.05*1.07+1.1*1.07+0.8*2.03+2.9*1.1)*10.764</f>
        <v>671.58210599999984</v>
      </c>
      <c r="E416" s="38">
        <v>0</v>
      </c>
      <c r="F416" s="38">
        <f>D416*(($F$241)+1)+(IF(E416&lt;101,E416,IF(E416&lt;201,E416/2,IF(E416&lt;=301,E416/3,E416/4))))</f>
        <v>1040.9522642999998</v>
      </c>
      <c r="G416" s="121"/>
      <c r="H416" s="122"/>
      <c r="I416" s="18"/>
      <c r="J416" s="62"/>
      <c r="K416" s="33"/>
      <c r="L416" s="58"/>
      <c r="M416" s="58"/>
      <c r="N416" s="33"/>
    </row>
    <row r="417" spans="1:14" s="41" customFormat="1" ht="15.75" customHeight="1" x14ac:dyDescent="0.25">
      <c r="A417" s="94">
        <f>A416+1</f>
        <v>6</v>
      </c>
      <c r="B417" s="95"/>
      <c r="C417" s="38" t="s">
        <v>168</v>
      </c>
      <c r="D417" s="38">
        <f>(3.05*5.84+2.75*2.45+3.05*3.7+3.05*4.11+2.3*1.37+2.3*1.37+1*2.55+0.1*1+0.75*1.52+2.05*1.07+1.1*1.07+0.8*1.975+2.8*1.1)*10.764</f>
        <v>715.72526999999991</v>
      </c>
      <c r="E417" s="38">
        <v>0</v>
      </c>
      <c r="F417" s="38">
        <f>D417*(($F$241)+1)+(IF(E417&lt;101,E417,IF(E417&lt;201,E417/2,IF(E417&lt;=301,E417/3,E417/4))))</f>
        <v>1109.3741685</v>
      </c>
      <c r="G417" s="123"/>
      <c r="H417" s="124"/>
      <c r="I417" s="63"/>
      <c r="J417" s="64"/>
      <c r="K417" s="33"/>
      <c r="L417" s="58"/>
      <c r="M417" s="58"/>
      <c r="N417" s="33"/>
    </row>
    <row r="418" spans="1:14" s="41" customFormat="1" x14ac:dyDescent="0.25">
      <c r="A418" s="97" t="s">
        <v>205</v>
      </c>
      <c r="B418" s="98"/>
      <c r="C418" s="98"/>
      <c r="D418" s="98"/>
      <c r="E418" s="98"/>
      <c r="F418" s="98"/>
      <c r="G418" s="98"/>
      <c r="H418" s="99"/>
      <c r="I418" s="18">
        <v>1</v>
      </c>
      <c r="J418" s="62"/>
    </row>
    <row r="419" spans="1:14" s="41" customFormat="1" ht="15.75" customHeight="1" x14ac:dyDescent="0.25">
      <c r="A419" s="94">
        <v>1</v>
      </c>
      <c r="B419" s="95"/>
      <c r="C419" s="38" t="s">
        <v>168</v>
      </c>
      <c r="D419" s="38">
        <f>(2.95*5.16+2.3*2.7+2.9*3.35+3.05*3.65+2.3*1.37+2.3*1.37+2.105*0.855+1.22*0.1+2.21*1.07+0.19*1.07+0.92*0.15+1.9*0.8)*10.764</f>
        <v>589.10591609999983</v>
      </c>
      <c r="E419" s="38">
        <v>0</v>
      </c>
      <c r="F419" s="38">
        <f t="shared" ref="F419:F420" si="26">D419*(($F$241)+1)+(IF(E419&lt;101,E419,IF(E419&lt;201,E419/2,IF(E419&lt;=301,E419/3,E419/4))))</f>
        <v>913.11416995499974</v>
      </c>
      <c r="G419" s="119" t="str">
        <f>A418</f>
        <v>15th Floor (Part Refuge Area)</v>
      </c>
      <c r="H419" s="120"/>
      <c r="I419" s="18"/>
      <c r="J419" s="62"/>
      <c r="K419" s="33"/>
      <c r="L419" s="58"/>
      <c r="M419" s="58"/>
      <c r="N419" s="33"/>
    </row>
    <row r="420" spans="1:14" s="41" customFormat="1" ht="15.75" customHeight="1" x14ac:dyDescent="0.25">
      <c r="A420" s="94">
        <f t="shared" ref="A420:A423" si="27">A419+1</f>
        <v>2</v>
      </c>
      <c r="B420" s="95"/>
      <c r="C420" s="38" t="s">
        <v>168</v>
      </c>
      <c r="D420" s="38">
        <f>(3.05*5.8+2.45*2.7+3.05*3.65+3.05*4.11+2.3*1.37+2.3*1.37+0.05*1.27+0.7*3.17+3.32*1.07+1.68*1.07+0.1*3.51+0.92*0.15+1*0.1+2*0.8+2.8*0.97)*10.764</f>
        <v>719.16974999999979</v>
      </c>
      <c r="E420" s="38">
        <v>0</v>
      </c>
      <c r="F420" s="38">
        <f t="shared" si="26"/>
        <v>1114.7131124999996</v>
      </c>
      <c r="G420" s="121"/>
      <c r="H420" s="122"/>
      <c r="I420" s="63"/>
      <c r="J420" s="64"/>
      <c r="K420" s="33"/>
      <c r="L420" s="58"/>
      <c r="M420" s="58"/>
      <c r="N420" s="33"/>
    </row>
    <row r="421" spans="1:14" s="41" customFormat="1" ht="15.75" customHeight="1" x14ac:dyDescent="0.25">
      <c r="A421" s="94">
        <f>A420+1</f>
        <v>3</v>
      </c>
      <c r="B421" s="95"/>
      <c r="C421" s="119" t="s">
        <v>194</v>
      </c>
      <c r="D421" s="145"/>
      <c r="E421" s="145"/>
      <c r="F421" s="120"/>
      <c r="G421" s="121"/>
      <c r="H421" s="122"/>
      <c r="I421" s="18"/>
      <c r="J421" s="62"/>
      <c r="K421" s="33"/>
      <c r="L421" s="58"/>
      <c r="M421" s="58"/>
      <c r="N421" s="33"/>
    </row>
    <row r="422" spans="1:14" s="41" customFormat="1" ht="15.75" customHeight="1" x14ac:dyDescent="0.25">
      <c r="A422" s="94">
        <f>A421+1</f>
        <v>4</v>
      </c>
      <c r="B422" s="95"/>
      <c r="C422" s="123"/>
      <c r="D422" s="146"/>
      <c r="E422" s="146"/>
      <c r="F422" s="124"/>
      <c r="G422" s="121"/>
      <c r="H422" s="122"/>
      <c r="I422" s="63"/>
      <c r="J422" s="64"/>
      <c r="K422" s="33"/>
      <c r="L422" s="58"/>
      <c r="M422" s="58"/>
      <c r="N422" s="33"/>
    </row>
    <row r="423" spans="1:14" s="41" customFormat="1" ht="15.75" customHeight="1" x14ac:dyDescent="0.25">
      <c r="A423" s="94">
        <f t="shared" si="27"/>
        <v>5</v>
      </c>
      <c r="B423" s="95"/>
      <c r="C423" s="38" t="s">
        <v>168</v>
      </c>
      <c r="D423" s="38">
        <f>(3.05*5.17+2.75*2.45+3.05*3.41+3.05*3.65+2.3*1.37+2.3*1.37+1*2.55+0.1*1+0.8*1.52+2.05*1.07+1.1*1.07+0.8*2.03+2.9*1.1)*10.764</f>
        <v>671.58210599999984</v>
      </c>
      <c r="E423" s="38">
        <v>0</v>
      </c>
      <c r="F423" s="38">
        <f>D423*(($F$241)+1)+(IF(E423&lt;101,E423,IF(E423&lt;201,E423/2,IF(E423&lt;=301,E423/3,E423/4))))</f>
        <v>1040.9522642999998</v>
      </c>
      <c r="G423" s="121"/>
      <c r="H423" s="122"/>
      <c r="I423" s="18"/>
      <c r="J423" s="62"/>
      <c r="K423" s="33"/>
      <c r="L423" s="58"/>
      <c r="M423" s="58"/>
      <c r="N423" s="33"/>
    </row>
    <row r="424" spans="1:14" s="41" customFormat="1" ht="15.75" customHeight="1" x14ac:dyDescent="0.25">
      <c r="A424" s="94">
        <f>A423+1</f>
        <v>6</v>
      </c>
      <c r="B424" s="95"/>
      <c r="C424" s="38" t="s">
        <v>168</v>
      </c>
      <c r="D424" s="38">
        <f>(3.05*5.84+2.75*2.45+3.05*3.7+3.05*4.11+2.3*1.37+2.3*1.37+1*2.55+0.1*1+0.75*1.52+2.05*1.07+1.1*1.07+0.8*1.975+2.8*1.1)*10.764</f>
        <v>715.72526999999991</v>
      </c>
      <c r="E424" s="38">
        <v>0</v>
      </c>
      <c r="F424" s="38">
        <f>D424*(($F$241)+1)+(IF(E424&lt;101,E424,IF(E424&lt;201,E424/2,IF(E424&lt;=301,E424/3,E424/4))))</f>
        <v>1109.3741685</v>
      </c>
      <c r="G424" s="123"/>
      <c r="H424" s="124"/>
      <c r="I424" s="63"/>
      <c r="J424" s="64"/>
      <c r="K424" s="33"/>
      <c r="L424" s="58"/>
      <c r="M424" s="58"/>
      <c r="N424" s="33"/>
    </row>
    <row r="425" spans="1:14" s="31" customFormat="1" x14ac:dyDescent="0.25">
      <c r="A425" s="103" t="s">
        <v>240</v>
      </c>
      <c r="B425" s="103"/>
      <c r="C425" s="103"/>
      <c r="D425" s="103"/>
      <c r="E425" s="103"/>
      <c r="F425" s="103"/>
      <c r="G425" s="103"/>
      <c r="H425" s="103"/>
    </row>
    <row r="426" spans="1:14" s="31" customFormat="1" x14ac:dyDescent="0.25">
      <c r="A426" s="147" t="s">
        <v>227</v>
      </c>
      <c r="B426" s="148"/>
      <c r="C426" s="148"/>
      <c r="D426" s="148"/>
      <c r="E426" s="148"/>
      <c r="F426" s="148"/>
      <c r="G426" s="148"/>
      <c r="H426" s="148"/>
    </row>
    <row r="427" spans="1:14" s="31" customFormat="1" x14ac:dyDescent="0.25">
      <c r="A427" s="148" t="s">
        <v>344</v>
      </c>
      <c r="B427" s="148"/>
      <c r="C427" s="148"/>
      <c r="D427" s="148"/>
      <c r="E427" s="148"/>
      <c r="F427" s="148"/>
      <c r="G427" s="148"/>
      <c r="H427" s="148"/>
    </row>
    <row r="428" spans="1:14" s="41" customFormat="1" x14ac:dyDescent="0.25">
      <c r="A428" s="144" t="s">
        <v>189</v>
      </c>
      <c r="B428" s="144"/>
      <c r="C428" s="144"/>
      <c r="D428" s="144"/>
      <c r="E428" s="144"/>
      <c r="F428" s="144"/>
      <c r="G428" s="144"/>
      <c r="H428" s="144"/>
      <c r="I428" s="18">
        <v>1</v>
      </c>
      <c r="J428" s="62"/>
    </row>
    <row r="429" spans="1:14" s="41" customFormat="1" ht="15.75" customHeight="1" x14ac:dyDescent="0.25">
      <c r="A429" s="125">
        <v>1</v>
      </c>
      <c r="B429" s="125"/>
      <c r="C429" s="125" t="s">
        <v>192</v>
      </c>
      <c r="D429" s="125"/>
      <c r="E429" s="125"/>
      <c r="F429" s="125"/>
      <c r="G429" s="125" t="str">
        <f>A428</f>
        <v xml:space="preserve">1st Floor for Residential &amp; Podium Parking </v>
      </c>
      <c r="H429" s="125"/>
      <c r="I429" s="18"/>
      <c r="J429" s="62"/>
      <c r="K429" s="33"/>
      <c r="L429" s="58"/>
      <c r="M429" s="58"/>
      <c r="N429" s="33"/>
    </row>
    <row r="430" spans="1:14" s="41" customFormat="1" ht="15.75" customHeight="1" x14ac:dyDescent="0.25">
      <c r="A430" s="125">
        <f t="shared" ref="A430:A432" si="28">A429+1</f>
        <v>2</v>
      </c>
      <c r="B430" s="125"/>
      <c r="C430" s="125" t="s">
        <v>206</v>
      </c>
      <c r="D430" s="125"/>
      <c r="E430" s="125"/>
      <c r="F430" s="125"/>
      <c r="G430" s="125"/>
      <c r="H430" s="125"/>
      <c r="I430" s="63"/>
      <c r="J430" s="64"/>
      <c r="K430" s="33"/>
      <c r="L430" s="58"/>
      <c r="M430" s="58"/>
      <c r="N430" s="33"/>
    </row>
    <row r="431" spans="1:14" s="41" customFormat="1" ht="15.75" customHeight="1" x14ac:dyDescent="0.25">
      <c r="A431" s="125">
        <v>3</v>
      </c>
      <c r="B431" s="125"/>
      <c r="C431" s="38" t="s">
        <v>180</v>
      </c>
      <c r="D431" s="38">
        <f>(3.05*6.1+2.45*3+3.05*3.65+2.95*4.57+3.05*3.96+1.37*2.3+2.3*1.37+2.3*1.37+0.05*1.27+1.61*1.02+0.7*3.57+3.32*1.07+1.68*1.07+0.1*3.97+0.92*0.15+1.95*0.965)*10.764</f>
        <v>904.94508780000012</v>
      </c>
      <c r="E431" s="38">
        <v>0</v>
      </c>
      <c r="F431" s="38">
        <f>D431*(($F$241)+1)+(IF(E431&lt;101,E431,IF(E431&lt;201,E431/2,IF(E431&lt;=301,E431/3,E431/4))))</f>
        <v>1402.6648860900002</v>
      </c>
      <c r="G431" s="125"/>
      <c r="H431" s="125"/>
      <c r="I431" s="18"/>
      <c r="J431" s="62"/>
      <c r="K431" s="33"/>
      <c r="L431" s="58"/>
      <c r="M431" s="58"/>
      <c r="N431" s="33"/>
    </row>
    <row r="432" spans="1:14" s="41" customFormat="1" ht="15.75" customHeight="1" x14ac:dyDescent="0.25">
      <c r="A432" s="125">
        <f t="shared" si="28"/>
        <v>4</v>
      </c>
      <c r="B432" s="125"/>
      <c r="C432" s="125" t="s">
        <v>207</v>
      </c>
      <c r="D432" s="125"/>
      <c r="E432" s="125"/>
      <c r="F432" s="125"/>
      <c r="G432" s="125"/>
      <c r="H432" s="125"/>
      <c r="I432" s="63"/>
      <c r="J432" s="64"/>
      <c r="K432" s="33"/>
      <c r="L432" s="58"/>
      <c r="M432" s="58"/>
      <c r="N432" s="33"/>
    </row>
    <row r="433" spans="1:14" s="41" customFormat="1" ht="15.75" customHeight="1" x14ac:dyDescent="0.25">
      <c r="A433" s="125">
        <v>5</v>
      </c>
      <c r="B433" s="125"/>
      <c r="C433" s="125" t="s">
        <v>192</v>
      </c>
      <c r="D433" s="125"/>
      <c r="E433" s="125"/>
      <c r="F433" s="125"/>
      <c r="G433" s="125"/>
      <c r="H433" s="125"/>
      <c r="I433" s="18"/>
      <c r="J433" s="62"/>
      <c r="K433" s="33"/>
      <c r="L433" s="58"/>
      <c r="M433" s="58"/>
      <c r="N433" s="33"/>
    </row>
    <row r="434" spans="1:14" s="41" customFormat="1" x14ac:dyDescent="0.25">
      <c r="A434" s="97" t="s">
        <v>190</v>
      </c>
      <c r="B434" s="98"/>
      <c r="C434" s="98"/>
      <c r="D434" s="98"/>
      <c r="E434" s="98"/>
      <c r="F434" s="98"/>
      <c r="G434" s="98"/>
      <c r="H434" s="99"/>
      <c r="I434" s="18">
        <v>1</v>
      </c>
      <c r="J434" s="62"/>
    </row>
    <row r="435" spans="1:14" s="41" customFormat="1" ht="15.75" customHeight="1" x14ac:dyDescent="0.25">
      <c r="A435" s="94">
        <v>1</v>
      </c>
      <c r="B435" s="95"/>
      <c r="C435" s="94" t="s">
        <v>192</v>
      </c>
      <c r="D435" s="126"/>
      <c r="E435" s="126"/>
      <c r="F435" s="95"/>
      <c r="G435" s="119" t="str">
        <f>A434</f>
        <v xml:space="preserve">2nd Floor for Residential &amp; Podium Parking </v>
      </c>
      <c r="H435" s="120"/>
      <c r="I435" s="18"/>
      <c r="J435" s="62"/>
      <c r="K435" s="33"/>
      <c r="L435" s="58"/>
      <c r="M435" s="58"/>
      <c r="N435" s="33"/>
    </row>
    <row r="436" spans="1:14" s="41" customFormat="1" ht="15.75" customHeight="1" x14ac:dyDescent="0.25">
      <c r="A436" s="94">
        <f t="shared" ref="A436:A438" si="29">A435+1</f>
        <v>2</v>
      </c>
      <c r="B436" s="95"/>
      <c r="C436" s="94" t="s">
        <v>192</v>
      </c>
      <c r="D436" s="126"/>
      <c r="E436" s="126"/>
      <c r="F436" s="95"/>
      <c r="G436" s="121"/>
      <c r="H436" s="122"/>
      <c r="I436" s="63"/>
      <c r="J436" s="64"/>
      <c r="K436" s="33"/>
      <c r="L436" s="58"/>
      <c r="M436" s="58"/>
      <c r="N436" s="33"/>
    </row>
    <row r="437" spans="1:14" s="41" customFormat="1" ht="15.75" customHeight="1" x14ac:dyDescent="0.25">
      <c r="A437" s="94">
        <v>3</v>
      </c>
      <c r="B437" s="95"/>
      <c r="C437" s="38" t="s">
        <v>180</v>
      </c>
      <c r="D437" s="38">
        <f>(3.05*6.1+2.45*3+3.05*3.65+2.95*4.57+3.05*3.96+1.37*2.3+2.3*1.37+2.3*1.37+0.05*1.27+1.61*1.02+0.7*3.57+3.32*1.07+1.68*1.07+0.1*3.97+0.92*0.15+1.95*0.965)*10.764</f>
        <v>904.94508780000012</v>
      </c>
      <c r="E437" s="38">
        <v>0</v>
      </c>
      <c r="F437" s="38">
        <f>D437*(($F$241)+1)+(IF(E437&lt;101,E437,IF(E437&lt;201,E437/2,IF(E437&lt;=301,E437/3,E437/4))))</f>
        <v>1402.6648860900002</v>
      </c>
      <c r="G437" s="121"/>
      <c r="H437" s="122"/>
      <c r="I437" s="18"/>
      <c r="J437" s="62"/>
      <c r="K437" s="33"/>
      <c r="L437" s="58"/>
      <c r="M437" s="58"/>
      <c r="N437" s="33"/>
    </row>
    <row r="438" spans="1:14" s="41" customFormat="1" ht="15.75" customHeight="1" x14ac:dyDescent="0.25">
      <c r="A438" s="94">
        <f t="shared" si="29"/>
        <v>4</v>
      </c>
      <c r="B438" s="95"/>
      <c r="C438" s="38" t="s">
        <v>180</v>
      </c>
      <c r="D438" s="38">
        <f>(3.35*6.8+2.45*3.08+3.05*3.65+3.14*4.9+3.2*4.34+2.3*1.37+2.3*1.53+2.45*1.53+0.7*1.27+0.61*3.57+3.3*1.07+1.79*1.07+0.06*4.3+0.922*0.15+1.95*0.96)*10.764</f>
        <v>989.55927720000011</v>
      </c>
      <c r="E438" s="38">
        <v>0</v>
      </c>
      <c r="F438" s="38">
        <f>D438*(($F$241)+1)+(IF(E438&lt;101,E438,IF(E438&lt;201,E438/2,IF(E438&lt;=301,E438/3,E438/4))))</f>
        <v>1533.8168796600003</v>
      </c>
      <c r="G438" s="121"/>
      <c r="H438" s="122"/>
      <c r="I438" s="63"/>
      <c r="J438" s="64"/>
      <c r="K438" s="33"/>
      <c r="L438" s="58"/>
      <c r="M438" s="58"/>
      <c r="N438" s="33"/>
    </row>
    <row r="439" spans="1:14" s="41" customFormat="1" ht="15.75" customHeight="1" x14ac:dyDescent="0.25">
      <c r="A439" s="94">
        <v>5</v>
      </c>
      <c r="B439" s="95"/>
      <c r="C439" s="94" t="s">
        <v>192</v>
      </c>
      <c r="D439" s="126"/>
      <c r="E439" s="126"/>
      <c r="F439" s="95"/>
      <c r="G439" s="123"/>
      <c r="H439" s="124"/>
      <c r="I439" s="18"/>
      <c r="J439" s="62"/>
      <c r="K439" s="33"/>
      <c r="L439" s="58"/>
      <c r="M439" s="58"/>
      <c r="N439" s="33"/>
    </row>
    <row r="440" spans="1:14" s="41" customFormat="1" x14ac:dyDescent="0.25">
      <c r="A440" s="97" t="s">
        <v>193</v>
      </c>
      <c r="B440" s="98"/>
      <c r="C440" s="98"/>
      <c r="D440" s="98"/>
      <c r="E440" s="98"/>
      <c r="F440" s="98"/>
      <c r="G440" s="98"/>
      <c r="H440" s="99"/>
      <c r="I440" s="18">
        <v>1</v>
      </c>
      <c r="J440" s="62"/>
    </row>
    <row r="441" spans="1:14" s="41" customFormat="1" ht="15.75" customHeight="1" x14ac:dyDescent="0.25">
      <c r="A441" s="94">
        <v>1</v>
      </c>
      <c r="B441" s="95"/>
      <c r="C441" s="94" t="s">
        <v>208</v>
      </c>
      <c r="D441" s="126"/>
      <c r="E441" s="126"/>
      <c r="F441" s="95"/>
      <c r="G441" s="119" t="str">
        <f>A440</f>
        <v>3rd Floor for Residential &amp; Podium Amenties</v>
      </c>
      <c r="H441" s="120"/>
      <c r="I441" s="18"/>
      <c r="J441" s="62"/>
      <c r="K441" s="33"/>
      <c r="L441" s="58"/>
      <c r="M441" s="58"/>
      <c r="N441" s="33"/>
    </row>
    <row r="442" spans="1:14" s="41" customFormat="1" ht="15.75" customHeight="1" x14ac:dyDescent="0.25">
      <c r="A442" s="94">
        <f t="shared" ref="A442:A444" si="30">A441+1</f>
        <v>2</v>
      </c>
      <c r="B442" s="95"/>
      <c r="C442" s="94" t="s">
        <v>191</v>
      </c>
      <c r="D442" s="126"/>
      <c r="E442" s="126"/>
      <c r="F442" s="95"/>
      <c r="G442" s="121"/>
      <c r="H442" s="122"/>
      <c r="I442" s="63"/>
      <c r="J442" s="64"/>
      <c r="K442" s="33"/>
      <c r="L442" s="58"/>
      <c r="M442" s="58"/>
      <c r="N442" s="33"/>
    </row>
    <row r="443" spans="1:14" s="41" customFormat="1" ht="15.75" customHeight="1" x14ac:dyDescent="0.25">
      <c r="A443" s="94">
        <v>3</v>
      </c>
      <c r="B443" s="95"/>
      <c r="C443" s="38" t="s">
        <v>180</v>
      </c>
      <c r="D443" s="38">
        <f>(3.05*6.1+2.45*3+3.05*3.65+2.95*4.57+3.05*3.96+1.37*2.3+2.3*1.37+2.3*1.37+0.05*1.27+1.61*1.02+0.7*3.57+3.32*1.07+1.68*1.07+0.1*3.97+0.92*0.15+1.95*0.965)*10.764</f>
        <v>904.94508780000012</v>
      </c>
      <c r="E443" s="38">
        <v>0</v>
      </c>
      <c r="F443" s="38">
        <f>D443*(($F$241)+1)+(IF(E443&lt;101,E443,IF(E443&lt;201,E443/2,IF(E443&lt;=301,E443/3,E443/4))))</f>
        <v>1402.6648860900002</v>
      </c>
      <c r="G443" s="121"/>
      <c r="H443" s="122"/>
      <c r="I443" s="18"/>
      <c r="J443" s="62"/>
      <c r="K443" s="33"/>
      <c r="L443" s="58"/>
      <c r="M443" s="58"/>
      <c r="N443" s="33"/>
    </row>
    <row r="444" spans="1:14" s="41" customFormat="1" ht="15.75" customHeight="1" x14ac:dyDescent="0.25">
      <c r="A444" s="94">
        <f t="shared" si="30"/>
        <v>4</v>
      </c>
      <c r="B444" s="95"/>
      <c r="C444" s="38" t="s">
        <v>180</v>
      </c>
      <c r="D444" s="38">
        <f>(3.35*6.8+2.45*3.08+3.05*3.65+3.14*4.9+3.2*4.34+2.3*1.37+2.3*1.53+2.45*1.53+0.7*1.27+0.61*3.57+3.3*1.07+1.79*1.07+0.06*4.3+0.922*0.15+1.95*0.96)*10.764</f>
        <v>989.55927720000011</v>
      </c>
      <c r="E444" s="38">
        <v>0</v>
      </c>
      <c r="F444" s="38">
        <f>D444*(($F$241)+1)+(IF(E444&lt;101,E444,IF(E444&lt;201,E444/2,IF(E444&lt;=301,E444/3,E444/4))))</f>
        <v>1533.8168796600003</v>
      </c>
      <c r="G444" s="121"/>
      <c r="H444" s="122"/>
      <c r="I444" s="63"/>
      <c r="J444" s="64"/>
      <c r="K444" s="33"/>
      <c r="L444" s="58"/>
      <c r="M444" s="58"/>
      <c r="N444" s="33"/>
    </row>
    <row r="445" spans="1:14" s="41" customFormat="1" ht="15.75" customHeight="1" x14ac:dyDescent="0.25">
      <c r="A445" s="94">
        <v>5</v>
      </c>
      <c r="B445" s="95"/>
      <c r="C445" s="94" t="s">
        <v>202</v>
      </c>
      <c r="D445" s="126"/>
      <c r="E445" s="126"/>
      <c r="F445" s="95"/>
      <c r="G445" s="123"/>
      <c r="H445" s="124"/>
      <c r="I445" s="18"/>
      <c r="J445" s="62"/>
      <c r="K445" s="33"/>
      <c r="L445" s="58"/>
      <c r="M445" s="58"/>
      <c r="N445" s="33"/>
    </row>
    <row r="446" spans="1:14" s="41" customFormat="1" x14ac:dyDescent="0.25">
      <c r="A446" s="97" t="s">
        <v>181</v>
      </c>
      <c r="B446" s="98"/>
      <c r="C446" s="98"/>
      <c r="D446" s="98"/>
      <c r="E446" s="98"/>
      <c r="F446" s="98"/>
      <c r="G446" s="98"/>
      <c r="H446" s="99"/>
      <c r="I446" s="18">
        <v>1</v>
      </c>
      <c r="J446" s="62"/>
    </row>
    <row r="447" spans="1:14" s="41" customFormat="1" ht="15.75" customHeight="1" x14ac:dyDescent="0.25">
      <c r="A447" s="94">
        <v>1</v>
      </c>
      <c r="B447" s="95"/>
      <c r="C447" s="38" t="s">
        <v>168</v>
      </c>
      <c r="D447" s="38">
        <f>(3.05*5.17+2.3*2.7+2.9*3.41+3.05*3.65+2.3*1.38+2.3*1.37+2.1*0.45+0.65*1.42+1.75*1.06+0.05*1.12+1.14*0.1+0.82*0.15+1.85*0.8)*10.764</f>
        <v>590.09324399999991</v>
      </c>
      <c r="E447" s="38">
        <v>0</v>
      </c>
      <c r="F447" s="38">
        <f>D447*(($F$241)+1)+(IF(E447&lt;101,E447,IF(E447&lt;201,E447/2,IF(E447&lt;=301,E447/3,E447/4))))</f>
        <v>914.64452819999985</v>
      </c>
      <c r="G447" s="119" t="str">
        <f>A446</f>
        <v xml:space="preserve">4th Floor </v>
      </c>
      <c r="H447" s="120"/>
      <c r="I447" s="18"/>
      <c r="J447" s="62"/>
      <c r="K447" s="33"/>
      <c r="L447" s="58"/>
      <c r="M447" s="58"/>
      <c r="N447" s="33"/>
    </row>
    <row r="448" spans="1:14" s="41" customFormat="1" ht="15.75" customHeight="1" x14ac:dyDescent="0.25">
      <c r="A448" s="94">
        <f t="shared" ref="A448:A450" si="31">A447+1</f>
        <v>2</v>
      </c>
      <c r="B448" s="95"/>
      <c r="C448" s="38" t="s">
        <v>168</v>
      </c>
      <c r="D448" s="38">
        <f>(3.05*5.8+2.45*2.7+3.05*3.65+2.95*4.11+2.3*1.37+2.3*1.37+0.7*3.17+3.32*1.07+1.68*1.07+0.92*0.15+1*0.1+0.1*3.51+2*0.8)*10.764</f>
        <v>684.82720799999993</v>
      </c>
      <c r="E448" s="38">
        <v>0</v>
      </c>
      <c r="F448" s="38">
        <f>D448*(($F$241)+1)+(IF(E448&lt;101,E448,IF(E448&lt;201,E448/2,IF(E448&lt;=301,E448/3,E448/4))))</f>
        <v>1061.4821723999999</v>
      </c>
      <c r="G448" s="121"/>
      <c r="H448" s="122"/>
      <c r="I448" s="63"/>
      <c r="J448" s="64"/>
      <c r="K448" s="33"/>
      <c r="L448" s="58"/>
      <c r="M448" s="58"/>
      <c r="N448" s="33"/>
    </row>
    <row r="449" spans="1:14" s="41" customFormat="1" ht="15.75" customHeight="1" x14ac:dyDescent="0.25">
      <c r="A449" s="94">
        <v>3</v>
      </c>
      <c r="B449" s="95"/>
      <c r="C449" s="38" t="s">
        <v>180</v>
      </c>
      <c r="D449" s="38">
        <f>(3.05*6.1+2.45*3+3.05*3.65+2.95*4.57+3.05*3.96+2.3*1.37+2.3*1.37+1.37*2.3+0.05*1.27+1.61*1.02+0.7*3.57+3.32*1.07+1.68*1.07+0.1*3.97+0.92*0.15+1*0.1+1.95*0.96)*10.764</f>
        <v>905.91653880000001</v>
      </c>
      <c r="E449" s="38">
        <v>0</v>
      </c>
      <c r="F449" s="38">
        <f>D449*(($F$241)+1)+(IF(E449&lt;101,E449,IF(E449&lt;201,E449/2,IF(E449&lt;=301,E449/3,E449/4))))</f>
        <v>1404.1706351400001</v>
      </c>
      <c r="G449" s="121"/>
      <c r="H449" s="122"/>
      <c r="I449" s="18"/>
      <c r="J449" s="62"/>
      <c r="K449" s="33"/>
      <c r="L449" s="58"/>
      <c r="M449" s="58"/>
      <c r="N449" s="33"/>
    </row>
    <row r="450" spans="1:14" s="41" customFormat="1" ht="15.75" customHeight="1" x14ac:dyDescent="0.25">
      <c r="A450" s="94">
        <f t="shared" si="31"/>
        <v>4</v>
      </c>
      <c r="B450" s="95"/>
      <c r="C450" s="38" t="s">
        <v>180</v>
      </c>
      <c r="D450" s="38">
        <f>(3.35*6.8+2.45*3.08+3.14*4.9+3.05*3.65+3.2*4.34+2.3*1.37+2.3*1.53+2.45*1.53+0.7*1.27+0.61*3.57+3.3*1.07+1.79*1.07+0.922*0.15+1*0.1+1.95*0.96)*10.764</f>
        <v>987.85856520000004</v>
      </c>
      <c r="E450" s="38">
        <v>0</v>
      </c>
      <c r="F450" s="38">
        <f>D450*(($F$241)+1)+(IF(E450&lt;101,E450,IF(E450&lt;201,E450/2,IF(E450&lt;=301,E450/3,E450/4))))</f>
        <v>1531.1807760600002</v>
      </c>
      <c r="G450" s="121"/>
      <c r="H450" s="122"/>
      <c r="I450" s="63"/>
      <c r="J450" s="64"/>
      <c r="K450" s="33"/>
      <c r="L450" s="58"/>
      <c r="M450" s="58"/>
      <c r="N450" s="33"/>
    </row>
    <row r="451" spans="1:14" s="41" customFormat="1" ht="15.75" customHeight="1" x14ac:dyDescent="0.25">
      <c r="A451" s="94">
        <v>5</v>
      </c>
      <c r="B451" s="95"/>
      <c r="C451" s="38" t="s">
        <v>180</v>
      </c>
      <c r="D451" s="38">
        <f>(3.05*5.49+2.45*2.75+2.9*3.46+2.9*3.51+3.65*3.05+1.37*2.3+2.3*1.37+2.3*1.37+2.55*1.2+1.5*0.05+0.92*0.1+1*0.1+0.47*3.12+3.84*1.07+1.16*1.07+2*0.91)*10.764</f>
        <v>820.68933959999981</v>
      </c>
      <c r="E451" s="38">
        <v>0</v>
      </c>
      <c r="F451" s="38">
        <f>D451*(($F$241)+1)+(IF(E451&lt;101,E451,IF(E451&lt;201,E451/2,IF(E451&lt;=301,E451/3,E451/4))))</f>
        <v>1272.0684763799998</v>
      </c>
      <c r="G451" s="123"/>
      <c r="H451" s="124"/>
      <c r="I451" s="18"/>
      <c r="J451" s="62"/>
      <c r="K451" s="33"/>
      <c r="L451" s="58"/>
      <c r="M451" s="58"/>
      <c r="N451" s="33"/>
    </row>
    <row r="452" spans="1:14" s="41" customFormat="1" x14ac:dyDescent="0.25">
      <c r="A452" s="97" t="s">
        <v>209</v>
      </c>
      <c r="B452" s="98"/>
      <c r="C452" s="98"/>
      <c r="D452" s="98"/>
      <c r="E452" s="98"/>
      <c r="F452" s="98"/>
      <c r="G452" s="98"/>
      <c r="H452" s="99"/>
      <c r="I452" s="18">
        <f>3+7</f>
        <v>10</v>
      </c>
      <c r="J452" s="62"/>
    </row>
    <row r="453" spans="1:14" s="41" customFormat="1" ht="15.75" customHeight="1" x14ac:dyDescent="0.25">
      <c r="A453" s="94">
        <v>1</v>
      </c>
      <c r="B453" s="95"/>
      <c r="C453" s="38" t="s">
        <v>168</v>
      </c>
      <c r="D453" s="38">
        <f>(3.05*5.17+2.3*2.7+2.9*3.41+3.05*3.65+2.3*1.38+2.3*1.37+2.1*0.45+0.65*1.42+1.75*1.06+0.05*1.12+1.14*0.1+0.82*0.15+1.85*0.8)*10.764</f>
        <v>590.09324399999991</v>
      </c>
      <c r="E453" s="38">
        <v>0</v>
      </c>
      <c r="F453" s="38">
        <f>D453*(($F$241)+1)+(IF(E453&lt;101,E453,IF(E453&lt;201,E453/2,IF(E453&lt;=301,E453/3,E453/4))))</f>
        <v>914.64452819999985</v>
      </c>
      <c r="G453" s="119" t="str">
        <f>A452</f>
        <v>5th to 7th, 9th, 11th, 13th, 15th, 17th, 19th &amp; 21st Floor</v>
      </c>
      <c r="H453" s="120"/>
      <c r="I453" s="18"/>
      <c r="J453" s="62"/>
      <c r="K453" s="33"/>
      <c r="L453" s="58"/>
      <c r="M453" s="58"/>
      <c r="N453" s="33"/>
    </row>
    <row r="454" spans="1:14" s="41" customFormat="1" ht="15.75" customHeight="1" x14ac:dyDescent="0.25">
      <c r="A454" s="94">
        <f t="shared" ref="A454:A456" si="32">A453+1</f>
        <v>2</v>
      </c>
      <c r="B454" s="95"/>
      <c r="C454" s="38" t="s">
        <v>168</v>
      </c>
      <c r="D454" s="38">
        <f>(3.05*5.8+2.45*2.7+3.05*3.65+2.95*4.11+2.3*1.37+2.3*1.37+0.7*3.17+3.32*1.07+1.68*1.07+0.92*0.15+1*0.1+0.1*3.51+2*0.8+2.8*0.97)*10.764</f>
        <v>714.06223199999988</v>
      </c>
      <c r="E454" s="38">
        <v>0</v>
      </c>
      <c r="F454" s="38">
        <f>D454*(($F$241)+1)+(IF(E454&lt;101,E454,IF(E454&lt;201,E454/2,IF(E454&lt;=301,E454/3,E454/4))))</f>
        <v>1106.7964595999999</v>
      </c>
      <c r="G454" s="121"/>
      <c r="H454" s="122"/>
      <c r="I454" s="63"/>
      <c r="J454" s="64"/>
      <c r="K454" s="33"/>
      <c r="L454" s="58"/>
      <c r="M454" s="58"/>
      <c r="N454" s="33"/>
    </row>
    <row r="455" spans="1:14" s="41" customFormat="1" ht="15.75" customHeight="1" x14ac:dyDescent="0.25">
      <c r="A455" s="94">
        <v>3</v>
      </c>
      <c r="B455" s="95"/>
      <c r="C455" s="38" t="s">
        <v>180</v>
      </c>
      <c r="D455" s="38">
        <f>(3.05*6.1+2.45*3+3.05*3.65+2.95*4.57+3.05*3.96+2.3*1.37+2.3*1.37+1.37*2.3+0.05*1.27+1.61*1.02+0.7*3.57+3.32*1.07+1.68*1.07+0.1*3.97+0.92*0.15+1*0.1+1.95*0.96+2.85*1.1)*10.764</f>
        <v>939.66167880000012</v>
      </c>
      <c r="E455" s="38">
        <v>0</v>
      </c>
      <c r="F455" s="38">
        <f>D455*(($F$241)+1)+(IF(E455&lt;101,E455,IF(E455&lt;201,E455/2,IF(E455&lt;=301,E455/3,E455/4))))</f>
        <v>1456.4756021400003</v>
      </c>
      <c r="G455" s="121"/>
      <c r="H455" s="122"/>
      <c r="I455" s="18"/>
      <c r="J455" s="62"/>
      <c r="K455" s="33"/>
      <c r="L455" s="58"/>
      <c r="M455" s="58"/>
      <c r="N455" s="33"/>
    </row>
    <row r="456" spans="1:14" s="41" customFormat="1" ht="15.75" customHeight="1" x14ac:dyDescent="0.25">
      <c r="A456" s="94">
        <f t="shared" si="32"/>
        <v>4</v>
      </c>
      <c r="B456" s="95"/>
      <c r="C456" s="38" t="s">
        <v>180</v>
      </c>
      <c r="D456" s="38">
        <f>(3.35*6.8+2.45*3.08+3.14*4.9+3.05*3.65+3.2*4.34+2.3*1.37+2.3*1.53+2.45*1.53+0.7*1.27+0.61*3.57+3.3*1.07+1.79*1.07+0.922*0.15+1*0.1+1.95*0.96+2.55*1.05)*10.764</f>
        <v>1016.6791752</v>
      </c>
      <c r="E456" s="38">
        <v>0</v>
      </c>
      <c r="F456" s="38">
        <f>D456*(($F$241)+1)+(IF(E456&lt;101,E456,IF(E456&lt;201,E456/2,IF(E456&lt;=301,E456/3,E456/4))))</f>
        <v>1575.8527215600002</v>
      </c>
      <c r="G456" s="121"/>
      <c r="H456" s="122"/>
      <c r="I456" s="63"/>
      <c r="J456" s="64"/>
      <c r="K456" s="33"/>
      <c r="L456" s="58"/>
      <c r="M456" s="58"/>
      <c r="N456" s="33"/>
    </row>
    <row r="457" spans="1:14" s="41" customFormat="1" ht="15.75" customHeight="1" x14ac:dyDescent="0.25">
      <c r="A457" s="94">
        <v>5</v>
      </c>
      <c r="B457" s="95"/>
      <c r="C457" s="38" t="s">
        <v>180</v>
      </c>
      <c r="D457" s="38">
        <f>(3.05*5.49+2.45*2.75+2.9*3.46+2.9*3.51+3.65*3.05+1.37*2.3+2.3*1.37+2.3*1.37+2.55*1.2+1.5*0.05+0.92*0.1+1*0.1+0.47*3.12+3.84*1.07+1.16*1.07+2*0.91+3.1*1.09)*10.764</f>
        <v>857.06089559999975</v>
      </c>
      <c r="E457" s="38">
        <v>0</v>
      </c>
      <c r="F457" s="38">
        <f>D457*(($F$241)+1)+(IF(E457&lt;101,E457,IF(E457&lt;201,E457/2,IF(E457&lt;=301,E457/3,E457/4))))</f>
        <v>1328.4443881799996</v>
      </c>
      <c r="G457" s="123"/>
      <c r="H457" s="124"/>
      <c r="I457" s="18"/>
      <c r="J457" s="62"/>
      <c r="K457" s="33"/>
      <c r="L457" s="58"/>
      <c r="M457" s="58"/>
      <c r="N457" s="33"/>
    </row>
    <row r="458" spans="1:14" s="41" customFormat="1" x14ac:dyDescent="0.25">
      <c r="A458" s="97" t="s">
        <v>210</v>
      </c>
      <c r="B458" s="98"/>
      <c r="C458" s="98"/>
      <c r="D458" s="98"/>
      <c r="E458" s="98"/>
      <c r="F458" s="98"/>
      <c r="G458" s="98"/>
      <c r="H458" s="99"/>
      <c r="I458" s="18">
        <v>8</v>
      </c>
      <c r="J458" s="62"/>
    </row>
    <row r="459" spans="1:14" s="41" customFormat="1" ht="15.75" customHeight="1" x14ac:dyDescent="0.25">
      <c r="A459" s="94">
        <v>1</v>
      </c>
      <c r="B459" s="95"/>
      <c r="C459" s="38" t="s">
        <v>168</v>
      </c>
      <c r="D459" s="38">
        <f>(3.05*5.17+2.3*2.7+2.9*3.41+3.05*3.65+2.3*1.38+2.3*1.37+2.1*0.45+0.65*1.42+1.75*1.06+0.05*1.12+1.14*0.1+0.82*0.15+1.85*0.8)*10.764</f>
        <v>590.09324399999991</v>
      </c>
      <c r="E459" s="38">
        <v>0</v>
      </c>
      <c r="F459" s="38">
        <f>D459*(($F$241)+1)+(IF(E459&lt;101,E459,IF(E459&lt;201,E459/2,IF(E459&lt;=301,E459/3,E459/4))))</f>
        <v>914.64452819999985</v>
      </c>
      <c r="G459" s="119" t="str">
        <f>A458</f>
        <v>8th, 10th, 12th, 14th, 16th, 18th, 20th &amp; 22nd Floor</v>
      </c>
      <c r="H459" s="120"/>
      <c r="I459" s="18"/>
      <c r="J459" s="62"/>
      <c r="K459" s="33"/>
      <c r="L459" s="58"/>
      <c r="M459" s="58"/>
      <c r="N459" s="33"/>
    </row>
    <row r="460" spans="1:14" s="41" customFormat="1" ht="15.75" customHeight="1" x14ac:dyDescent="0.25">
      <c r="A460" s="94">
        <f t="shared" ref="A460:A462" si="33">A459+1</f>
        <v>2</v>
      </c>
      <c r="B460" s="95"/>
      <c r="C460" s="38" t="s">
        <v>168</v>
      </c>
      <c r="D460" s="38">
        <f>(3.05*5.8+2.45*2.7+3.05*3.65+2.95*4.11+2.3*1.37+2.3*1.37+0.7*3.17+3.32*1.07+1.68*1.07+0.92*0.15+1*0.1+0.1*3.51+2*0.8+2.8*0.97)*10.764</f>
        <v>714.06223199999988</v>
      </c>
      <c r="E460" s="38">
        <v>0</v>
      </c>
      <c r="F460" s="38">
        <f>D460*(($F$241)+1)+(IF(E460&lt;101,E460,IF(E460&lt;201,E460/2,IF(E460&lt;=301,E460/3,E460/4))))</f>
        <v>1106.7964595999999</v>
      </c>
      <c r="G460" s="121"/>
      <c r="H460" s="122"/>
      <c r="I460" s="63"/>
      <c r="J460" s="64"/>
      <c r="K460" s="33"/>
      <c r="L460" s="58"/>
      <c r="M460" s="58"/>
      <c r="N460" s="33"/>
    </row>
    <row r="461" spans="1:14" s="41" customFormat="1" ht="15.75" customHeight="1" x14ac:dyDescent="0.25">
      <c r="A461" s="94">
        <v>3</v>
      </c>
      <c r="B461" s="95"/>
      <c r="C461" s="38" t="s">
        <v>180</v>
      </c>
      <c r="D461" s="38">
        <f>(3.05*6.1+2.45*3+3.05*3.65+2.95*4.57+3.05*3.96+2.3*1.37+2.3*1.37+1.37*2.3+0.05*1.27+1.61*1.02+0.7*3.57+3.32*1.07+1.68*1.07+0.1*3.97+0.92*0.15+1*0.1+1.95*0.96+2.85*1.1)*10.764</f>
        <v>939.66167880000012</v>
      </c>
      <c r="E461" s="38">
        <v>0</v>
      </c>
      <c r="F461" s="38">
        <f>D461*(($F$241)+1)+(IF(E461&lt;101,E461,IF(E461&lt;201,E461/2,IF(E461&lt;=301,E461/3,E461/4))))</f>
        <v>1456.4756021400003</v>
      </c>
      <c r="G461" s="121"/>
      <c r="H461" s="122"/>
      <c r="I461" s="18"/>
      <c r="J461" s="62"/>
      <c r="K461" s="33"/>
      <c r="L461" s="58"/>
      <c r="M461" s="58"/>
      <c r="N461" s="33"/>
    </row>
    <row r="462" spans="1:14" s="41" customFormat="1" ht="15.75" customHeight="1" x14ac:dyDescent="0.25">
      <c r="A462" s="94">
        <f t="shared" si="33"/>
        <v>4</v>
      </c>
      <c r="B462" s="95"/>
      <c r="C462" s="38" t="s">
        <v>180</v>
      </c>
      <c r="D462" s="38">
        <f>(3.35*6.8+2.45*3.08+3.14*4.9+3.05*3.65+3.2*4.34+2.3*1.37+2.3*1.53+2.45*1.53+0.7*1.27+0.61*3.57+3.3*1.07+1.79*1.07+0.922*0.15+1*0.1+1.95*0.96+2.55*1.05)*10.764</f>
        <v>1016.6791752</v>
      </c>
      <c r="E462" s="38">
        <v>0</v>
      </c>
      <c r="F462" s="38">
        <f>D462*(($F$241)+1)+(IF(E462&lt;101,E462,IF(E462&lt;201,E462/2,IF(E462&lt;=301,E462/3,E462/4))))</f>
        <v>1575.8527215600002</v>
      </c>
      <c r="G462" s="121"/>
      <c r="H462" s="122"/>
      <c r="I462" s="63"/>
      <c r="J462" s="64"/>
      <c r="K462" s="33"/>
      <c r="L462" s="58"/>
      <c r="M462" s="58"/>
      <c r="N462" s="33"/>
    </row>
    <row r="463" spans="1:14" s="41" customFormat="1" ht="15.75" customHeight="1" x14ac:dyDescent="0.25">
      <c r="A463" s="94">
        <v>5</v>
      </c>
      <c r="B463" s="95"/>
      <c r="C463" s="38" t="s">
        <v>180</v>
      </c>
      <c r="D463" s="38">
        <f>(3.05*5.49+2.45*2.75+2.9*3.46+2.9*3.51+3.65*3.05+1.37*2.3+2.3*1.37+2.3*1.37+2.55*1.2+1.5*0.05+0.92*0.1+1*0.1+0.47*3.12+3.84*1.07+1.16*1.07+2*0.91+3.1*1.09)*10.764</f>
        <v>857.06089559999975</v>
      </c>
      <c r="E463" s="38">
        <v>0</v>
      </c>
      <c r="F463" s="38">
        <f>D463*(($F$241)+1)+(IF(E463&lt;101,E463,IF(E463&lt;201,E463/2,IF(E463&lt;=301,E463/3,E463/4))))</f>
        <v>1328.4443881799996</v>
      </c>
      <c r="G463" s="123"/>
      <c r="H463" s="124"/>
      <c r="I463" s="18"/>
      <c r="J463" s="62"/>
      <c r="K463" s="33"/>
      <c r="L463" s="58"/>
      <c r="M463" s="58"/>
      <c r="N463" s="33"/>
    </row>
    <row r="464" spans="1:14" s="31" customFormat="1" x14ac:dyDescent="0.25">
      <c r="A464" s="103" t="s">
        <v>267</v>
      </c>
      <c r="B464" s="103"/>
      <c r="C464" s="103"/>
      <c r="D464" s="103"/>
      <c r="E464" s="103"/>
      <c r="F464" s="103"/>
      <c r="G464" s="103"/>
      <c r="H464" s="103"/>
      <c r="J464" s="70">
        <v>10.763999999999999</v>
      </c>
    </row>
    <row r="465" spans="1:14" s="31" customFormat="1" x14ac:dyDescent="0.25">
      <c r="A465" s="147" t="s">
        <v>227</v>
      </c>
      <c r="B465" s="148"/>
      <c r="C465" s="148"/>
      <c r="D465" s="148"/>
      <c r="E465" s="148"/>
      <c r="F465" s="148"/>
      <c r="G465" s="148"/>
      <c r="H465" s="148"/>
    </row>
    <row r="466" spans="1:14" s="31" customFormat="1" x14ac:dyDescent="0.25">
      <c r="A466" s="148" t="s">
        <v>344</v>
      </c>
      <c r="B466" s="148"/>
      <c r="C466" s="148"/>
      <c r="D466" s="148"/>
      <c r="E466" s="148"/>
      <c r="F466" s="148"/>
      <c r="G466" s="148"/>
      <c r="H466" s="148"/>
    </row>
    <row r="467" spans="1:14" s="41" customFormat="1" x14ac:dyDescent="0.25">
      <c r="A467" s="144" t="s">
        <v>189</v>
      </c>
      <c r="B467" s="144"/>
      <c r="C467" s="144"/>
      <c r="D467" s="144"/>
      <c r="E467" s="144"/>
      <c r="F467" s="144"/>
      <c r="G467" s="144"/>
      <c r="H467" s="144"/>
      <c r="I467" s="18">
        <v>1</v>
      </c>
      <c r="J467" s="62"/>
    </row>
    <row r="468" spans="1:14" s="41" customFormat="1" ht="15.75" customHeight="1" x14ac:dyDescent="0.25">
      <c r="A468" s="125">
        <v>1</v>
      </c>
      <c r="B468" s="125"/>
      <c r="C468" s="125" t="s">
        <v>192</v>
      </c>
      <c r="D468" s="125"/>
      <c r="E468" s="125"/>
      <c r="F468" s="125"/>
      <c r="G468" s="125" t="str">
        <f>A467</f>
        <v xml:space="preserve">1st Floor for Residential &amp; Podium Parking </v>
      </c>
      <c r="H468" s="125"/>
      <c r="I468" s="18"/>
      <c r="J468" s="62"/>
      <c r="K468" s="33"/>
      <c r="L468" s="58"/>
      <c r="M468" s="58"/>
      <c r="N468" s="33"/>
    </row>
    <row r="469" spans="1:14" s="41" customFormat="1" ht="15.75" customHeight="1" x14ac:dyDescent="0.25">
      <c r="A469" s="125">
        <f t="shared" ref="A469" si="34">A468+1</f>
        <v>2</v>
      </c>
      <c r="B469" s="125"/>
      <c r="C469" s="125"/>
      <c r="D469" s="125"/>
      <c r="E469" s="125"/>
      <c r="F469" s="125"/>
      <c r="G469" s="125"/>
      <c r="H469" s="125"/>
      <c r="I469" s="63"/>
      <c r="J469" s="64"/>
      <c r="K469" s="33"/>
      <c r="L469" s="58"/>
      <c r="M469" s="58"/>
      <c r="N469" s="33"/>
    </row>
    <row r="470" spans="1:14" s="41" customFormat="1" ht="15.75" customHeight="1" x14ac:dyDescent="0.25">
      <c r="A470" s="125">
        <f>A469+1</f>
        <v>3</v>
      </c>
      <c r="B470" s="125"/>
      <c r="C470" s="38" t="s">
        <v>180</v>
      </c>
      <c r="D470" s="70">
        <f>(3.05*6.1+2.45*3+3.05*3.97+3.05*3.65+3.05*3.962+2.3*1.37+2.3*1.37+1.37*2.3+0.05*1.27+0.7*3.57+1.68*1.07+3.32*1.07+1.61*1.02+1.95*0.96+1*0.1)*10.764</f>
        <v>885.44448719999991</v>
      </c>
      <c r="E470" s="38">
        <v>0</v>
      </c>
      <c r="F470" s="38">
        <f>D470*(($F$241)+1)+(IF(E470&lt;101,E470,IF(E470&lt;201,E470/2,IF(E470&lt;=301,E470/3,E470/4))))</f>
        <v>1372.43895516</v>
      </c>
      <c r="G470" s="125"/>
      <c r="H470" s="125"/>
      <c r="I470" s="18"/>
      <c r="J470" s="62"/>
      <c r="K470" s="33"/>
      <c r="L470" s="58"/>
      <c r="M470" s="58"/>
      <c r="N470" s="33"/>
    </row>
    <row r="471" spans="1:14" s="41" customFormat="1" ht="15.75" customHeight="1" x14ac:dyDescent="0.25">
      <c r="A471" s="125">
        <f>A470+1</f>
        <v>4</v>
      </c>
      <c r="B471" s="125"/>
      <c r="C471" s="38" t="s">
        <v>180</v>
      </c>
      <c r="D471" s="70">
        <f>(3.05*5.37+2.45*2.85+2.9*3.6+2.9*3.6+2.9*3.65+3.65*3.05+2.3*1.37+2.3*1.37+1.37*2.3+0.05*1.27+0.47*3.12+3.84*1.07+1.16*1+2*0.95+1*0.1)*10.764</f>
        <v>906.43859279999981</v>
      </c>
      <c r="E471" s="38">
        <v>0</v>
      </c>
      <c r="F471" s="38">
        <f>D471*(($F$241)+1)+(IF(E471&lt;101,E471,IF(E471&lt;201,E471/2,IF(E471&lt;=301,E471/3,E471/4))))</f>
        <v>1404.9798188399998</v>
      </c>
      <c r="G471" s="125"/>
      <c r="H471" s="125"/>
      <c r="I471" s="63"/>
      <c r="J471" s="64"/>
      <c r="K471" s="33"/>
      <c r="L471" s="58"/>
      <c r="M471" s="58"/>
      <c r="N471" s="33"/>
    </row>
    <row r="472" spans="1:14" s="41" customFormat="1" ht="15.75" customHeight="1" x14ac:dyDescent="0.25">
      <c r="A472" s="125">
        <f>A471+1</f>
        <v>5</v>
      </c>
      <c r="B472" s="125"/>
      <c r="C472" s="125" t="s">
        <v>192</v>
      </c>
      <c r="D472" s="125"/>
      <c r="E472" s="125"/>
      <c r="F472" s="125"/>
      <c r="G472" s="125"/>
      <c r="H472" s="125"/>
      <c r="I472" s="63"/>
      <c r="J472" s="64"/>
      <c r="K472" s="33"/>
      <c r="L472" s="58"/>
      <c r="M472" s="58"/>
      <c r="N472" s="33"/>
    </row>
    <row r="473" spans="1:14" s="41" customFormat="1" x14ac:dyDescent="0.25">
      <c r="A473" s="144" t="s">
        <v>190</v>
      </c>
      <c r="B473" s="144"/>
      <c r="C473" s="144"/>
      <c r="D473" s="144"/>
      <c r="E473" s="144"/>
      <c r="F473" s="144"/>
      <c r="G473" s="144"/>
      <c r="H473" s="144"/>
      <c r="I473" s="18">
        <v>1</v>
      </c>
      <c r="J473" s="62"/>
    </row>
    <row r="474" spans="1:14" s="41" customFormat="1" ht="15.75" customHeight="1" x14ac:dyDescent="0.25">
      <c r="A474" s="125">
        <v>1</v>
      </c>
      <c r="B474" s="125"/>
      <c r="C474" s="125" t="s">
        <v>192</v>
      </c>
      <c r="D474" s="125"/>
      <c r="E474" s="125"/>
      <c r="F474" s="125"/>
      <c r="G474" s="125" t="str">
        <f>A473</f>
        <v xml:space="preserve">2nd Floor for Residential &amp; Podium Parking </v>
      </c>
      <c r="H474" s="125"/>
      <c r="I474" s="18"/>
      <c r="J474" s="62"/>
      <c r="K474" s="33"/>
      <c r="L474" s="58"/>
      <c r="M474" s="58"/>
      <c r="N474" s="33"/>
    </row>
    <row r="475" spans="1:14" s="41" customFormat="1" ht="15.75" customHeight="1" x14ac:dyDescent="0.25">
      <c r="A475" s="125">
        <f t="shared" ref="A475" si="35">A474+1</f>
        <v>2</v>
      </c>
      <c r="B475" s="125"/>
      <c r="C475" s="125"/>
      <c r="D475" s="125"/>
      <c r="E475" s="125"/>
      <c r="F475" s="125"/>
      <c r="G475" s="125"/>
      <c r="H475" s="125"/>
      <c r="I475" s="63"/>
      <c r="J475" s="64"/>
      <c r="K475" s="33"/>
      <c r="L475" s="58"/>
      <c r="M475" s="58"/>
      <c r="N475" s="33"/>
    </row>
    <row r="476" spans="1:14" s="41" customFormat="1" ht="15.75" customHeight="1" x14ac:dyDescent="0.25">
      <c r="A476" s="125">
        <f>A475+1</f>
        <v>3</v>
      </c>
      <c r="B476" s="125"/>
      <c r="C476" s="38" t="s">
        <v>180</v>
      </c>
      <c r="D476" s="70">
        <f>(3.05*6.1+2.45*3+3.05*3.97+3.05*3.65+3.05*3.962+2.3*1.37+2.3*1.37+1.37*2.3+0.05*1.27+0.7*3.57+1.68*1.07+3.32*1.07+1.61*1.02+1.95*0.96+1*0.1)*10.764</f>
        <v>885.44448719999991</v>
      </c>
      <c r="E476" s="38">
        <v>0</v>
      </c>
      <c r="F476" s="38">
        <f>D476*(($F$241)+1)+(IF(E476&lt;101,E476,IF(E476&lt;201,E476/2,IF(E476&lt;=301,E476/3,E476/4))))</f>
        <v>1372.43895516</v>
      </c>
      <c r="G476" s="125"/>
      <c r="H476" s="125"/>
      <c r="I476" s="18"/>
      <c r="J476" s="62"/>
      <c r="K476" s="33"/>
      <c r="L476" s="58"/>
      <c r="M476" s="58"/>
      <c r="N476" s="33"/>
    </row>
    <row r="477" spans="1:14" s="41" customFormat="1" ht="15.75" customHeight="1" x14ac:dyDescent="0.25">
      <c r="A477" s="125">
        <f>A476+1</f>
        <v>4</v>
      </c>
      <c r="B477" s="125"/>
      <c r="C477" s="38" t="s">
        <v>180</v>
      </c>
      <c r="D477" s="70">
        <f>(3.05*5.37+2.45*2.85+2.9*3.6+2.9*3.6+2.9*3.65+3.65*3.05+2.3*1.37+2.3*1.37+1.37*2.3+0.05*1.27+0.47*3.12+3.84*1.07+1.16*1+2*0.95+1*0.1)*10.764</f>
        <v>906.43859279999981</v>
      </c>
      <c r="E477" s="38">
        <v>0</v>
      </c>
      <c r="F477" s="38">
        <f>D477*(($F$241)+1)+(IF(E477&lt;101,E477,IF(E477&lt;201,E477/2,IF(E477&lt;=301,E477/3,E477/4))))</f>
        <v>1404.9798188399998</v>
      </c>
      <c r="G477" s="125"/>
      <c r="H477" s="125"/>
      <c r="I477" s="63"/>
      <c r="J477" s="64"/>
      <c r="K477" s="33"/>
      <c r="L477" s="58"/>
      <c r="M477" s="58"/>
      <c r="N477" s="33"/>
    </row>
    <row r="478" spans="1:14" s="41" customFormat="1" ht="15.75" customHeight="1" x14ac:dyDescent="0.25">
      <c r="A478" s="125">
        <f>A477+1</f>
        <v>5</v>
      </c>
      <c r="B478" s="125"/>
      <c r="C478" s="125" t="s">
        <v>288</v>
      </c>
      <c r="D478" s="125"/>
      <c r="E478" s="125"/>
      <c r="F478" s="125"/>
      <c r="G478" s="125"/>
      <c r="H478" s="125"/>
      <c r="I478" s="63"/>
      <c r="J478" s="64"/>
      <c r="K478" s="33"/>
      <c r="L478" s="58"/>
      <c r="M478" s="58"/>
      <c r="N478" s="33"/>
    </row>
    <row r="479" spans="1:14" s="41" customFormat="1" x14ac:dyDescent="0.25">
      <c r="A479" s="97" t="s">
        <v>278</v>
      </c>
      <c r="B479" s="98"/>
      <c r="C479" s="98"/>
      <c r="D479" s="98"/>
      <c r="E479" s="98"/>
      <c r="F479" s="98"/>
      <c r="G479" s="98"/>
      <c r="H479" s="99"/>
      <c r="I479" s="18">
        <v>1</v>
      </c>
      <c r="J479" s="62"/>
    </row>
    <row r="480" spans="1:14" s="41" customFormat="1" ht="15.75" customHeight="1" x14ac:dyDescent="0.25">
      <c r="A480" s="94">
        <v>1</v>
      </c>
      <c r="B480" s="95"/>
      <c r="C480" s="119" t="s">
        <v>277</v>
      </c>
      <c r="D480" s="145"/>
      <c r="E480" s="145"/>
      <c r="F480" s="120"/>
      <c r="G480" s="119" t="str">
        <f>A479</f>
        <v xml:space="preserve">3rd Floor for Residential &amp; Fitness Center </v>
      </c>
      <c r="H480" s="120"/>
      <c r="I480" s="18"/>
      <c r="J480" s="62"/>
      <c r="K480" s="33"/>
      <c r="L480" s="58"/>
      <c r="M480" s="58"/>
      <c r="N480" s="33"/>
    </row>
    <row r="481" spans="1:14" s="41" customFormat="1" ht="15.75" customHeight="1" x14ac:dyDescent="0.25">
      <c r="A481" s="94">
        <f t="shared" ref="A481" si="36">A480+1</f>
        <v>2</v>
      </c>
      <c r="B481" s="95"/>
      <c r="C481" s="123"/>
      <c r="D481" s="146"/>
      <c r="E481" s="146"/>
      <c r="F481" s="124"/>
      <c r="G481" s="121"/>
      <c r="H481" s="122"/>
      <c r="I481" s="63"/>
      <c r="J481" s="64"/>
      <c r="K481" s="33"/>
      <c r="L481" s="58"/>
      <c r="M481" s="58"/>
      <c r="N481" s="33"/>
    </row>
    <row r="482" spans="1:14" s="41" customFormat="1" ht="15.75" customHeight="1" x14ac:dyDescent="0.25">
      <c r="A482" s="94">
        <f>A481+1</f>
        <v>3</v>
      </c>
      <c r="B482" s="95"/>
      <c r="C482" s="38" t="s">
        <v>180</v>
      </c>
      <c r="D482" s="70">
        <f>(3.05*6.1+2.45*3+3.05*3.97+3.05*3.65+3.05*3.962+2.3*1.37+2.3*1.37+1.37*2.3+0.05*1.27+0.7*3.57+1.68*1.07+3.32*1.07+1.61*1.02+1.95*0.96+1*0.1)*10.764</f>
        <v>885.44448719999991</v>
      </c>
      <c r="E482" s="38">
        <v>0</v>
      </c>
      <c r="F482" s="38">
        <f>D482*(($F$241)+1)+(IF(E482&lt;101,E482,IF(E482&lt;201,E482/2,IF(E482&lt;=301,E482/3,E482/4))))</f>
        <v>1372.43895516</v>
      </c>
      <c r="G482" s="121"/>
      <c r="H482" s="122"/>
      <c r="I482" s="18"/>
      <c r="J482" s="62"/>
      <c r="K482" s="33"/>
      <c r="L482" s="58"/>
      <c r="M482" s="58"/>
      <c r="N482" s="33"/>
    </row>
    <row r="483" spans="1:14" s="41" customFormat="1" ht="15.75" customHeight="1" x14ac:dyDescent="0.25">
      <c r="A483" s="94">
        <f t="shared" ref="A483:A484" si="37">A482+1</f>
        <v>4</v>
      </c>
      <c r="B483" s="95"/>
      <c r="C483" s="38" t="s">
        <v>180</v>
      </c>
      <c r="D483" s="70">
        <f>(3.05*5.37+2.45*2.85+2.9*3.6+2.9*3.6+2.9*3.65+3.65*3.05+2.3*1.37+2.3*1.37+1.37*2.3+0.05*1.27+0.47*3.12+3.84*1.07+1.16*1+2*0.95+1*0.1)*10.764</f>
        <v>906.43859279999981</v>
      </c>
      <c r="E483" s="38">
        <v>0</v>
      </c>
      <c r="F483" s="38">
        <f>D483*(($F$241)+1)+(IF(E483&lt;101,E483,IF(E483&lt;201,E483/2,IF(E483&lt;=301,E483/3,E483/4))))</f>
        <v>1404.9798188399998</v>
      </c>
      <c r="G483" s="121"/>
      <c r="H483" s="122"/>
      <c r="I483" s="63"/>
      <c r="J483" s="64"/>
      <c r="K483" s="33"/>
      <c r="L483" s="58"/>
      <c r="M483" s="58"/>
      <c r="N483" s="33"/>
    </row>
    <row r="484" spans="1:14" s="41" customFormat="1" ht="15.75" customHeight="1" x14ac:dyDescent="0.25">
      <c r="A484" s="94">
        <f t="shared" si="37"/>
        <v>5</v>
      </c>
      <c r="B484" s="95"/>
      <c r="C484" s="94" t="s">
        <v>277</v>
      </c>
      <c r="D484" s="126"/>
      <c r="E484" s="126"/>
      <c r="F484" s="95"/>
      <c r="G484" s="123"/>
      <c r="H484" s="124"/>
      <c r="I484" s="63"/>
      <c r="J484" s="64"/>
      <c r="K484" s="33"/>
      <c r="L484" s="58"/>
      <c r="M484" s="58"/>
      <c r="N484" s="33"/>
    </row>
    <row r="485" spans="1:14" s="41" customFormat="1" x14ac:dyDescent="0.25">
      <c r="A485" s="97" t="s">
        <v>181</v>
      </c>
      <c r="B485" s="98"/>
      <c r="C485" s="98"/>
      <c r="D485" s="98"/>
      <c r="E485" s="98"/>
      <c r="F485" s="98"/>
      <c r="G485" s="98"/>
      <c r="H485" s="99"/>
      <c r="I485" s="18">
        <v>1</v>
      </c>
      <c r="J485" s="62"/>
    </row>
    <row r="486" spans="1:14" s="41" customFormat="1" ht="15.75" customHeight="1" x14ac:dyDescent="0.25">
      <c r="A486" s="94">
        <v>1</v>
      </c>
      <c r="B486" s="95"/>
      <c r="C486" s="38" t="s">
        <v>168</v>
      </c>
      <c r="D486" s="70">
        <f>(3.05*5.17+2.3*2.7+3.05*3.65+2.9*3.41+2.3*1.37+2.3*1.38+0.05*1.12+1.75*1.06+0.65*1.87+1.45*0.45+1.85*0.8+1*0.1)*10.764</f>
        <v>588.61857599999985</v>
      </c>
      <c r="E486" s="38">
        <v>0</v>
      </c>
      <c r="F486" s="38">
        <f>D486*(($F$241)+1)+(IF(E486&lt;101,E486,IF(E486&lt;201,E486/2,IF(E486&lt;=301,E486/3,E486/4))))</f>
        <v>912.35879279999983</v>
      </c>
      <c r="G486" s="119" t="str">
        <f>A485</f>
        <v xml:space="preserve">4th Floor </v>
      </c>
      <c r="H486" s="120"/>
      <c r="I486" s="18"/>
      <c r="J486" s="62"/>
      <c r="K486" s="33"/>
      <c r="L486" s="58"/>
      <c r="M486" s="58"/>
      <c r="N486" s="33"/>
    </row>
    <row r="487" spans="1:14" s="41" customFormat="1" ht="15.75" customHeight="1" x14ac:dyDescent="0.25">
      <c r="A487" s="94">
        <f t="shared" ref="A487:A489" si="38">A486+1</f>
        <v>2</v>
      </c>
      <c r="B487" s="95"/>
      <c r="C487" s="38" t="s">
        <v>168</v>
      </c>
      <c r="D487" s="70">
        <f>(3.05*5.8+2.45*2.7+3.05*3.65+3.05*3.51+2.95*0.6+2.3*1.37+2.3*1.37+0.7*3.17+3.32*1.07+1.68*1.07+2*0.8+1*0.1)*10.764</f>
        <v>683.3417760000001</v>
      </c>
      <c r="E487" s="38">
        <v>0</v>
      </c>
      <c r="F487" s="38">
        <f>D487*(($F$241)+1)+(IF(E487&lt;101,E487,IF(E487&lt;201,E487/2,IF(E487&lt;=301,E487/3,E487/4))))</f>
        <v>1059.1797528000002</v>
      </c>
      <c r="G487" s="121"/>
      <c r="H487" s="122"/>
      <c r="I487" s="63"/>
      <c r="J487" s="64"/>
      <c r="K487" s="33"/>
      <c r="L487" s="58"/>
      <c r="M487" s="58"/>
      <c r="N487" s="33"/>
    </row>
    <row r="488" spans="1:14" s="41" customFormat="1" ht="15.75" customHeight="1" x14ac:dyDescent="0.25">
      <c r="A488" s="94">
        <v>3</v>
      </c>
      <c r="B488" s="95"/>
      <c r="C488" s="38" t="s">
        <v>180</v>
      </c>
      <c r="D488" s="70">
        <f>(3.05*6.1+2.45*3+3.05*3.65+3.05*3.97+3.05*3.96+2.3*1.37+2.3*1.37+1.37*2.3+1.61*1.02+0.7*3.57+3.32*1.07+1.68*1.07+2.95*0.6+1.95*0.96+1*0.1)*10.764</f>
        <v>903.74759279999978</v>
      </c>
      <c r="E488" s="38">
        <v>0</v>
      </c>
      <c r="F488" s="38">
        <f>D488*(($F$241)+1)+(IF(E488&lt;101,E488,IF(E488&lt;201,E488/2,IF(E488&lt;=301,E488/3,E488/4))))</f>
        <v>1400.8087688399996</v>
      </c>
      <c r="G488" s="121"/>
      <c r="H488" s="122"/>
      <c r="I488" s="18"/>
      <c r="J488" s="62"/>
      <c r="K488" s="33"/>
      <c r="L488" s="58"/>
      <c r="M488" s="58"/>
      <c r="N488" s="33"/>
    </row>
    <row r="489" spans="1:14" s="41" customFormat="1" ht="15.75" customHeight="1" x14ac:dyDescent="0.25">
      <c r="A489" s="94">
        <f t="shared" si="38"/>
        <v>4</v>
      </c>
      <c r="B489" s="95"/>
      <c r="C489" s="38" t="s">
        <v>180</v>
      </c>
      <c r="D489" s="70">
        <f>(3.05*5.37+2.45*2.85+2.9*3.6+2.9*3.65+3.65*3.05+1.37*2.3+2.3*1.37+2.3*1.37+0.47*3.12+3.84*1.07+2*0.95+1*0.1)*10.764</f>
        <v>780.89267879999977</v>
      </c>
      <c r="E489" s="38">
        <v>0</v>
      </c>
      <c r="F489" s="38">
        <f>D489*(($F$241)+1)+(IF(E489&lt;101,E489,IF(E489&lt;201,E489/2,IF(E489&lt;=301,E489/3,E489/4))))</f>
        <v>1210.3836521399996</v>
      </c>
      <c r="G489" s="121"/>
      <c r="H489" s="122"/>
      <c r="I489" s="63"/>
      <c r="J489" s="64"/>
      <c r="K489" s="33"/>
      <c r="L489" s="58"/>
      <c r="M489" s="58"/>
      <c r="N489" s="33"/>
    </row>
    <row r="490" spans="1:14" s="41" customFormat="1" ht="15.75" customHeight="1" x14ac:dyDescent="0.25">
      <c r="A490" s="94">
        <v>5</v>
      </c>
      <c r="B490" s="95"/>
      <c r="C490" s="38" t="s">
        <v>180</v>
      </c>
      <c r="D490" s="70">
        <f>(3.05*5.49+2.45*2.75+2.9*3.46+2.9*3.51+3.65*3.05+2.3*1.37+2.3*1.37+1.37*2.3+2.55*1.2+0.47*3.12+3.84*1.07+1.16*1.07+2*0.91+1*0.1)*10.764</f>
        <v>818.89175159999979</v>
      </c>
      <c r="E490" s="38">
        <v>0</v>
      </c>
      <c r="F490" s="38">
        <f>D490*(($F$241)+1)+(IF(E490&lt;101,E490,IF(E490&lt;201,E490/2,IF(E490&lt;=301,E490/3,E490/4))))</f>
        <v>1269.2822149799997</v>
      </c>
      <c r="G490" s="123"/>
      <c r="H490" s="124"/>
      <c r="I490" s="18"/>
      <c r="J490" s="62"/>
      <c r="K490" s="33"/>
      <c r="L490" s="58"/>
      <c r="M490" s="58"/>
      <c r="N490" s="33"/>
    </row>
    <row r="491" spans="1:14" s="41" customFormat="1" x14ac:dyDescent="0.25">
      <c r="A491" s="97" t="s">
        <v>332</v>
      </c>
      <c r="B491" s="98"/>
      <c r="C491" s="98"/>
      <c r="D491" s="98"/>
      <c r="E491" s="98"/>
      <c r="F491" s="98"/>
      <c r="G491" s="98"/>
      <c r="H491" s="99"/>
      <c r="I491" s="18">
        <f>3+7</f>
        <v>10</v>
      </c>
      <c r="J491" s="62"/>
    </row>
    <row r="492" spans="1:14" s="41" customFormat="1" ht="15.75" customHeight="1" x14ac:dyDescent="0.25">
      <c r="A492" s="94">
        <v>1</v>
      </c>
      <c r="B492" s="95"/>
      <c r="C492" s="38" t="s">
        <v>168</v>
      </c>
      <c r="D492" s="70">
        <f>(3.05*5.17+2.3*2.7+3.05*3.65+2.9*3.41+2.3*1.37+2.3*1.38+0.05*1.12+1.75*1.06+0.65*1.87+1.45*0.45+1.85*0.8+1*0.1)*10.764</f>
        <v>588.61857599999985</v>
      </c>
      <c r="E492" s="38">
        <v>0</v>
      </c>
      <c r="F492" s="38">
        <f>D492*(($F$241)+1)+(IF(E492&lt;101,E492,IF(E492&lt;201,E492/2,IF(E492&lt;=301,E492/3,E492/4))))</f>
        <v>912.35879279999983</v>
      </c>
      <c r="G492" s="119" t="str">
        <f>A491</f>
        <v xml:space="preserve">5th to 7th, 9th, 11th, 13th, 15th, 17th, 19th &amp; 21st Floor </v>
      </c>
      <c r="H492" s="120"/>
      <c r="I492" s="18"/>
      <c r="J492" s="62"/>
      <c r="K492" s="33"/>
      <c r="L492" s="58"/>
      <c r="M492" s="58"/>
      <c r="N492" s="33"/>
    </row>
    <row r="493" spans="1:14" s="41" customFormat="1" ht="15.75" customHeight="1" x14ac:dyDescent="0.25">
      <c r="A493" s="94">
        <f t="shared" ref="A493:A495" si="39">A492+1</f>
        <v>2</v>
      </c>
      <c r="B493" s="95"/>
      <c r="C493" s="38" t="s">
        <v>168</v>
      </c>
      <c r="D493" s="70">
        <f>(3.05*5.8+2.45*2.7+3.05*3.65+3.05*3.51+2.95*0.6+2.3*1.37+2.3*1.37+0.7*3.17+3.32*1.07+1.68*1.07+2*0.8+1*0.1+2.8*0.97)*10.764</f>
        <v>712.57679999999993</v>
      </c>
      <c r="E493" s="38">
        <v>0</v>
      </c>
      <c r="F493" s="38">
        <f>D493*(($F$241)+1)+(IF(E493&lt;101,E493,IF(E493&lt;201,E493/2,IF(E493&lt;=301,E493/3,E493/4))))</f>
        <v>1104.49404</v>
      </c>
      <c r="G493" s="121"/>
      <c r="H493" s="122"/>
      <c r="I493" s="63"/>
      <c r="J493" s="64"/>
      <c r="K493" s="33"/>
      <c r="L493" s="58"/>
      <c r="M493" s="58"/>
      <c r="N493" s="33"/>
    </row>
    <row r="494" spans="1:14" s="41" customFormat="1" ht="15.75" customHeight="1" x14ac:dyDescent="0.25">
      <c r="A494" s="94">
        <v>3</v>
      </c>
      <c r="B494" s="95"/>
      <c r="C494" s="38" t="s">
        <v>180</v>
      </c>
      <c r="D494" s="70">
        <f>(3.05*6.1+2.45*3+3.05*3.65+3.05*3.97+3.05*3.96+2.3*1.37+2.3*1.37+1.37*2.3+1.61*1.02+0.7*3.57+3.32*1.07+1.68*1.07+2.95*0.6+1.95*0.96+1*0.1+2.9*1.1)*10.764</f>
        <v>938.08475279999982</v>
      </c>
      <c r="E494" s="38">
        <v>0</v>
      </c>
      <c r="F494" s="38">
        <f>D494*(($F$241)+1)+(IF(E494&lt;101,E494,IF(E494&lt;201,E494/2,IF(E494&lt;=301,E494/3,E494/4))))</f>
        <v>1454.0313668399997</v>
      </c>
      <c r="G494" s="121"/>
      <c r="H494" s="122"/>
      <c r="I494" s="18"/>
      <c r="J494" s="62"/>
      <c r="K494" s="33"/>
      <c r="L494" s="58"/>
      <c r="M494" s="58"/>
      <c r="N494" s="33"/>
    </row>
    <row r="495" spans="1:14" s="41" customFormat="1" ht="15.75" customHeight="1" x14ac:dyDescent="0.25">
      <c r="A495" s="94">
        <f t="shared" si="39"/>
        <v>4</v>
      </c>
      <c r="B495" s="95"/>
      <c r="C495" s="38" t="s">
        <v>180</v>
      </c>
      <c r="D495" s="70">
        <f>(3.05*5.37+2.45*2.85+2.9*3.6+2.9*3.65+3.65*3.05+1.37*2.3+2.3*1.37+2.3*1.37+0.47*3.12+3.84*1.07+2*0.95+1*0.1+3*1.1)*10.764</f>
        <v>816.41387879999979</v>
      </c>
      <c r="E495" s="38">
        <v>0</v>
      </c>
      <c r="F495" s="38">
        <f>D495*(($F$241)+1)+(IF(E495&lt;101,E495,IF(E495&lt;201,E495/2,IF(E495&lt;=301,E495/3,E495/4))))</f>
        <v>1265.4415121399998</v>
      </c>
      <c r="G495" s="121"/>
      <c r="H495" s="122"/>
      <c r="I495" s="63"/>
      <c r="J495" s="64"/>
      <c r="K495" s="33"/>
      <c r="L495" s="58"/>
      <c r="M495" s="58"/>
      <c r="N495" s="33"/>
    </row>
    <row r="496" spans="1:14" s="41" customFormat="1" ht="15.75" customHeight="1" x14ac:dyDescent="0.25">
      <c r="A496" s="94">
        <v>5</v>
      </c>
      <c r="B496" s="95"/>
      <c r="C496" s="38" t="s">
        <v>180</v>
      </c>
      <c r="D496" s="70">
        <f>(3.05*5.49+2.45*2.75+2.9*3.46+2.9*3.51+3.65*3.05+2.3*1.37+2.3*1.37+1.37*2.3+2.55*1.2+0.47*3.12+3.84*1.07+1.16*1.07+2*0.91+1*0.1+3.1*0.9)*10.764</f>
        <v>848.92331159999981</v>
      </c>
      <c r="E496" s="38">
        <v>0</v>
      </c>
      <c r="F496" s="38">
        <f>D496*(($F$241)+1)+(IF(E496&lt;101,E496,IF(E496&lt;201,E496/2,IF(E496&lt;=301,E496/3,E496/4))))</f>
        <v>1315.8311329799997</v>
      </c>
      <c r="G496" s="123"/>
      <c r="H496" s="124"/>
      <c r="I496" s="18"/>
      <c r="J496" s="62"/>
      <c r="K496" s="33"/>
      <c r="L496" s="58"/>
      <c r="M496" s="58"/>
      <c r="N496" s="33"/>
    </row>
    <row r="497" spans="1:14" s="41" customFormat="1" x14ac:dyDescent="0.25">
      <c r="A497" s="97" t="s">
        <v>333</v>
      </c>
      <c r="B497" s="98"/>
      <c r="C497" s="98"/>
      <c r="D497" s="98"/>
      <c r="E497" s="98"/>
      <c r="F497" s="98"/>
      <c r="G497" s="98"/>
      <c r="H497" s="99"/>
      <c r="I497" s="18">
        <v>8</v>
      </c>
      <c r="J497" s="62"/>
    </row>
    <row r="498" spans="1:14" s="41" customFormat="1" ht="15.75" customHeight="1" x14ac:dyDescent="0.25">
      <c r="A498" s="94">
        <v>1</v>
      </c>
      <c r="B498" s="95"/>
      <c r="C498" s="38" t="s">
        <v>168</v>
      </c>
      <c r="D498" s="70">
        <f>(3.05*5.17+2.3*2.7+3.05*3.65+2.9*3.41+2.3*1.37+2.3*1.38+0.05*1.12+1.75*1.06+0.65*1.87+1.45*0.45+1.85*0.8+1*0.1)*10.764</f>
        <v>588.61857599999985</v>
      </c>
      <c r="E498" s="38">
        <v>0</v>
      </c>
      <c r="F498" s="38">
        <f>D498*(($F$241)+1)+(IF(E498&lt;101,E498,IF(E498&lt;201,E498/2,IF(E498&lt;=301,E498/3,E498/4))))</f>
        <v>912.35879279999983</v>
      </c>
      <c r="G498" s="119" t="str">
        <f>A497</f>
        <v>8th, 10th, 12th, 14th, 16th, 18th, 20th &amp; 22nd Floor  (Refuge Area at Midlanding of Staircase)</v>
      </c>
      <c r="H498" s="120"/>
      <c r="I498" s="18"/>
      <c r="J498" s="62"/>
      <c r="K498" s="33"/>
      <c r="L498" s="58"/>
      <c r="M498" s="58"/>
      <c r="N498" s="33"/>
    </row>
    <row r="499" spans="1:14" s="41" customFormat="1" ht="15.75" customHeight="1" x14ac:dyDescent="0.25">
      <c r="A499" s="94">
        <f t="shared" ref="A499:A501" si="40">A498+1</f>
        <v>2</v>
      </c>
      <c r="B499" s="95"/>
      <c r="C499" s="38" t="s">
        <v>168</v>
      </c>
      <c r="D499" s="70">
        <f>(3.05*5.8+2.45*2.7+3.05*3.65+3.05*3.51+2.95*0.6+2.3*1.37+2.3*1.37+0.7*3.17+3.32*1.07+1.68*1.07+2*0.8+1*0.1+2.8*0.97)*10.764</f>
        <v>712.57679999999993</v>
      </c>
      <c r="E499" s="38">
        <v>0</v>
      </c>
      <c r="F499" s="38">
        <f>D499*(($F$241)+1)+(IF(E499&lt;101,E499,IF(E499&lt;201,E499/2,IF(E499&lt;=301,E499/3,E499/4))))</f>
        <v>1104.49404</v>
      </c>
      <c r="G499" s="121"/>
      <c r="H499" s="122"/>
      <c r="I499" s="63"/>
      <c r="J499" s="64"/>
      <c r="K499" s="33"/>
      <c r="L499" s="58"/>
      <c r="M499" s="58"/>
      <c r="N499" s="33"/>
    </row>
    <row r="500" spans="1:14" s="41" customFormat="1" ht="15.75" customHeight="1" x14ac:dyDescent="0.25">
      <c r="A500" s="94">
        <v>3</v>
      </c>
      <c r="B500" s="95"/>
      <c r="C500" s="38" t="s">
        <v>180</v>
      </c>
      <c r="D500" s="70">
        <f>(3.05*6.1+2.45*3+3.05*3.65+3.05*3.97+3.05*3.96+2.3*1.37+2.3*1.37+1.37*2.3+1.61*1.02+0.7*3.57+3.32*1.07+1.68*1.07+2.95*0.6+1.95*0.96+1*0.1+2.9*1.1)*10.764</f>
        <v>938.08475279999982</v>
      </c>
      <c r="E500" s="38">
        <v>0</v>
      </c>
      <c r="F500" s="38">
        <f>D500*(($F$241)+1)+(IF(E500&lt;101,E500,IF(E500&lt;201,E500/2,IF(E500&lt;=301,E500/3,E500/4))))</f>
        <v>1454.0313668399997</v>
      </c>
      <c r="G500" s="121"/>
      <c r="H500" s="122"/>
      <c r="I500" s="18"/>
      <c r="J500" s="62"/>
      <c r="K500" s="33"/>
      <c r="L500" s="58"/>
      <c r="M500" s="58"/>
      <c r="N500" s="33"/>
    </row>
    <row r="501" spans="1:14" s="41" customFormat="1" ht="15.75" customHeight="1" x14ac:dyDescent="0.25">
      <c r="A501" s="94">
        <f t="shared" si="40"/>
        <v>4</v>
      </c>
      <c r="B501" s="95"/>
      <c r="C501" s="38" t="s">
        <v>180</v>
      </c>
      <c r="D501" s="70">
        <f>(3.05*5.37+2.45*2.85+2.9*3.6+2.9*3.65+3.65*3.05+1.37*2.3+2.3*1.37+2.3*1.37+0.47*3.12+3.84*1.07+2*0.95+1*0.1+3*1.1)*10.764</f>
        <v>816.41387879999979</v>
      </c>
      <c r="E501" s="38">
        <v>0</v>
      </c>
      <c r="F501" s="38">
        <f>D501*(($F$241)+1)+(IF(E501&lt;101,E501,IF(E501&lt;201,E501/2,IF(E501&lt;=301,E501/3,E501/4))))</f>
        <v>1265.4415121399998</v>
      </c>
      <c r="G501" s="121"/>
      <c r="H501" s="122"/>
      <c r="I501" s="63"/>
      <c r="J501" s="64"/>
      <c r="K501" s="33"/>
      <c r="L501" s="58"/>
      <c r="M501" s="58"/>
      <c r="N501" s="33"/>
    </row>
    <row r="502" spans="1:14" s="41" customFormat="1" ht="15.75" customHeight="1" x14ac:dyDescent="0.25">
      <c r="A502" s="94">
        <v>5</v>
      </c>
      <c r="B502" s="95"/>
      <c r="C502" s="38" t="s">
        <v>180</v>
      </c>
      <c r="D502" s="70">
        <f>(3.05*5.49+2.45*2.75+2.9*3.46+2.9*3.51+3.65*3.05+2.3*1.37+2.3*1.37+1.37*2.3+2.55*1.2+0.47*3.12+3.84*1.07+1.16*1.07+2*0.91+1*0.1+3.1*0.9)*10.764</f>
        <v>848.92331159999981</v>
      </c>
      <c r="E502" s="38">
        <v>0</v>
      </c>
      <c r="F502" s="38">
        <f>D502*(($F$241)+1)+(IF(E502&lt;101,E502,IF(E502&lt;201,E502/2,IF(E502&lt;=301,E502/3,E502/4))))</f>
        <v>1315.8311329799997</v>
      </c>
      <c r="G502" s="123"/>
      <c r="H502" s="124"/>
      <c r="I502" s="18"/>
      <c r="J502" s="62"/>
      <c r="K502" s="33"/>
      <c r="L502" s="58"/>
      <c r="M502" s="58"/>
      <c r="N502" s="33"/>
    </row>
    <row r="503" spans="1:14" s="41" customFormat="1" ht="15.75" customHeight="1" x14ac:dyDescent="0.25">
      <c r="A503" s="257" t="s">
        <v>182</v>
      </c>
      <c r="B503" s="258"/>
      <c r="C503" s="258"/>
      <c r="D503" s="258"/>
      <c r="E503" s="258"/>
      <c r="F503" s="258"/>
      <c r="G503" s="258"/>
      <c r="H503" s="259"/>
      <c r="I503" s="63"/>
      <c r="J503" s="64"/>
      <c r="K503" s="33"/>
      <c r="L503" s="58"/>
      <c r="M503" s="58"/>
      <c r="N503" s="33"/>
    </row>
    <row r="504" spans="1:14" s="41" customFormat="1" ht="15.75" customHeight="1" x14ac:dyDescent="0.25">
      <c r="A504" s="260" t="s">
        <v>237</v>
      </c>
      <c r="B504" s="261"/>
      <c r="C504" s="261"/>
      <c r="D504" s="261"/>
      <c r="E504" s="261"/>
      <c r="F504" s="261"/>
      <c r="G504" s="261"/>
      <c r="H504" s="262"/>
      <c r="I504" s="63"/>
      <c r="J504" s="64"/>
      <c r="K504" s="33"/>
      <c r="L504" s="58"/>
      <c r="M504" s="58"/>
      <c r="N504" s="33"/>
    </row>
    <row r="505" spans="1:14" s="41" customFormat="1" ht="15.75" customHeight="1" x14ac:dyDescent="0.25">
      <c r="A505" s="144" t="s">
        <v>183</v>
      </c>
      <c r="B505" s="144"/>
      <c r="C505" s="144"/>
      <c r="D505" s="144"/>
      <c r="E505" s="144"/>
      <c r="F505" s="144"/>
      <c r="G505" s="144"/>
      <c r="H505" s="144"/>
      <c r="I505" s="63"/>
      <c r="J505" s="64"/>
      <c r="K505" s="33"/>
      <c r="L505" s="58"/>
      <c r="M505" s="58"/>
      <c r="N505" s="33"/>
    </row>
    <row r="506" spans="1:14" s="41" customFormat="1" ht="15.75" customHeight="1" x14ac:dyDescent="0.25">
      <c r="A506" s="144" t="s">
        <v>330</v>
      </c>
      <c r="B506" s="144"/>
      <c r="C506" s="144"/>
      <c r="D506" s="144"/>
      <c r="E506" s="144"/>
      <c r="F506" s="144"/>
      <c r="G506" s="144"/>
      <c r="H506" s="144"/>
      <c r="I506" s="63"/>
      <c r="J506" s="64"/>
      <c r="K506" s="33"/>
      <c r="L506" s="58"/>
      <c r="M506" s="58"/>
      <c r="N506" s="33"/>
    </row>
    <row r="507" spans="1:14" s="41" customFormat="1" x14ac:dyDescent="0.25">
      <c r="A507" s="144" t="s">
        <v>337</v>
      </c>
      <c r="B507" s="144"/>
      <c r="C507" s="144"/>
      <c r="D507" s="144"/>
      <c r="E507" s="144"/>
      <c r="F507" s="144"/>
      <c r="G507" s="144"/>
      <c r="H507" s="144"/>
      <c r="I507" s="18">
        <v>1</v>
      </c>
      <c r="J507" s="62"/>
    </row>
    <row r="508" spans="1:14" s="41" customFormat="1" ht="15.75" customHeight="1" x14ac:dyDescent="0.25">
      <c r="A508" s="125">
        <v>1</v>
      </c>
      <c r="B508" s="125"/>
      <c r="C508" s="38" t="s">
        <v>169</v>
      </c>
      <c r="D508" s="38">
        <f>(2.9*4.57+2.15*2.75+3.05*3.35+1.37*2.3+1.55*1.2+1.25*1.27+1.655*1+1.55*0.8)*10.764</f>
        <v>418.46664600000003</v>
      </c>
      <c r="E508" s="38">
        <v>0</v>
      </c>
      <c r="F508" s="38">
        <f>D508*(($F$241)+1)+(IF(E508&lt;101,E508,IF(E508&lt;201,E508/2,IF(E508&lt;=301,E508/3,E508/4))))</f>
        <v>648.62330130000009</v>
      </c>
      <c r="G508" s="206" t="str">
        <f>A507</f>
        <v>1st Floor for Residential (Part Fitness Centre &amp; Gymnasium)</v>
      </c>
      <c r="H508" s="207"/>
      <c r="I508" s="18"/>
      <c r="J508" s="62"/>
      <c r="K508" s="33"/>
      <c r="L508" s="58"/>
      <c r="M508" s="58"/>
      <c r="N508" s="33"/>
    </row>
    <row r="509" spans="1:14" s="41" customFormat="1" ht="15.75" customHeight="1" x14ac:dyDescent="0.25">
      <c r="A509" s="125">
        <f t="shared" ref="A509" si="41">A508+1</f>
        <v>2</v>
      </c>
      <c r="B509" s="125"/>
      <c r="C509" s="38" t="s">
        <v>168</v>
      </c>
      <c r="D509" s="38">
        <f>(5.49*2.9+2.15*2.75+2.9*3.41+3.05*3.41+1.37*2.29+1.37*2.3+1.22*1.12+1.55*0.8)*10.764</f>
        <v>549.1545228</v>
      </c>
      <c r="E509" s="38">
        <v>0</v>
      </c>
      <c r="F509" s="38">
        <f>D509*(($F$241)+1)+(IF(E509&lt;101,E509,IF(E509&lt;201,E509/2,IF(E509&lt;=301,E509/3,E509/4))))</f>
        <v>851.18951033999997</v>
      </c>
      <c r="G509" s="208"/>
      <c r="H509" s="209"/>
      <c r="I509" s="63"/>
      <c r="J509" s="64"/>
      <c r="K509" s="33"/>
      <c r="L509" s="58"/>
      <c r="M509" s="58"/>
      <c r="N509" s="33"/>
    </row>
    <row r="510" spans="1:14" s="41" customFormat="1" ht="15.75" customHeight="1" x14ac:dyDescent="0.25">
      <c r="A510" s="125">
        <v>3</v>
      </c>
      <c r="B510" s="125"/>
      <c r="C510" s="119" t="s">
        <v>336</v>
      </c>
      <c r="D510" s="145"/>
      <c r="E510" s="145"/>
      <c r="F510" s="120"/>
      <c r="G510" s="208"/>
      <c r="H510" s="209"/>
      <c r="I510" s="18"/>
      <c r="J510" s="62"/>
      <c r="K510" s="33"/>
      <c r="L510" s="58"/>
      <c r="M510" s="58"/>
      <c r="N510" s="33"/>
    </row>
    <row r="511" spans="1:14" s="41" customFormat="1" ht="15.75" customHeight="1" x14ac:dyDescent="0.25">
      <c r="A511" s="125">
        <f t="shared" ref="A511" si="42">A510+1</f>
        <v>4</v>
      </c>
      <c r="B511" s="125"/>
      <c r="C511" s="123"/>
      <c r="D511" s="146"/>
      <c r="E511" s="146"/>
      <c r="F511" s="124"/>
      <c r="G511" s="210"/>
      <c r="H511" s="211"/>
      <c r="I511" s="63"/>
      <c r="J511" s="64"/>
      <c r="K511" s="33"/>
      <c r="L511" s="58"/>
      <c r="M511" s="58"/>
      <c r="N511" s="33"/>
    </row>
    <row r="512" spans="1:14" s="41" customFormat="1" x14ac:dyDescent="0.25">
      <c r="A512" s="144" t="s">
        <v>184</v>
      </c>
      <c r="B512" s="144"/>
      <c r="C512" s="144"/>
      <c r="D512" s="144"/>
      <c r="E512" s="144"/>
      <c r="F512" s="144"/>
      <c r="G512" s="144"/>
      <c r="H512" s="144"/>
      <c r="I512" s="18">
        <f>5+8</f>
        <v>13</v>
      </c>
      <c r="J512" s="62"/>
    </row>
    <row r="513" spans="1:14" s="41" customFormat="1" ht="15.75" customHeight="1" x14ac:dyDescent="0.25">
      <c r="A513" s="125">
        <v>1</v>
      </c>
      <c r="B513" s="125"/>
      <c r="C513" s="38" t="s">
        <v>169</v>
      </c>
      <c r="D513" s="38">
        <f>(2.9*4.57+2.15*2.75+3.05*3.35+1.37*2.3+1.55*1.2+1.25*1.27+1.655*1+1.55*0.8)*10.764</f>
        <v>418.46664600000003</v>
      </c>
      <c r="E513" s="38">
        <v>0</v>
      </c>
      <c r="F513" s="38">
        <f>D513*(($F$241)+1)+(IF(E513&lt;101,E513,IF(E513&lt;201,E513/2,IF(E513&lt;=301,E513/3,E513/4))))</f>
        <v>648.62330130000009</v>
      </c>
      <c r="G513" s="125" t="str">
        <f>A512</f>
        <v>2nd to 6th, 8th, 10th, 12th, 14th, 16th, 18th, 20th &amp; 22nd Floor</v>
      </c>
      <c r="H513" s="125"/>
      <c r="I513" s="18"/>
      <c r="J513" s="62"/>
      <c r="K513" s="33"/>
      <c r="L513" s="58"/>
      <c r="M513" s="58"/>
      <c r="N513" s="33"/>
    </row>
    <row r="514" spans="1:14" s="41" customFormat="1" ht="15.75" customHeight="1" x14ac:dyDescent="0.25">
      <c r="A514" s="125">
        <f t="shared" ref="A514:A516" si="43">A513+1</f>
        <v>2</v>
      </c>
      <c r="B514" s="125"/>
      <c r="C514" s="38" t="s">
        <v>168</v>
      </c>
      <c r="D514" s="38">
        <f>(5.49*2.9+2.15*2.75+2.9*3.41+3.05*3.41+1.37*2.29+1.37*2.3+1.2*1.12+1.55*0.8+1.1*2.8)*10.764</f>
        <v>582.06652919999999</v>
      </c>
      <c r="E514" s="38">
        <v>0</v>
      </c>
      <c r="F514" s="38">
        <f>D514*(($F$241)+1)+(IF(E514&lt;101,E514,IF(E514&lt;201,E514/2,IF(E514&lt;=301,E514/3,E514/4))))</f>
        <v>902.20312025999999</v>
      </c>
      <c r="G514" s="125"/>
      <c r="H514" s="125"/>
      <c r="I514" s="63"/>
      <c r="J514" s="64"/>
      <c r="K514" s="33"/>
      <c r="L514" s="58"/>
      <c r="M514" s="58"/>
      <c r="N514" s="33"/>
    </row>
    <row r="515" spans="1:14" s="41" customFormat="1" ht="15.75" customHeight="1" x14ac:dyDescent="0.25">
      <c r="A515" s="125">
        <v>3</v>
      </c>
      <c r="B515" s="125"/>
      <c r="C515" s="38" t="s">
        <v>168</v>
      </c>
      <c r="D515" s="38">
        <f>(5.49*2.9+2.15*2.75+2.9*3.41+3.05*3.41+1.37*2.29+1.37*2.3+1.2*1.12+1.55*0.8+1.1*2.8)*10.764</f>
        <v>582.06652919999999</v>
      </c>
      <c r="E515" s="38">
        <v>0</v>
      </c>
      <c r="F515" s="38">
        <f>D515*(($F$241)+1)+(IF(E515&lt;101,E515,IF(E515&lt;201,E515/2,IF(E515&lt;=301,E515/3,E515/4))))</f>
        <v>902.20312025999999</v>
      </c>
      <c r="G515" s="125"/>
      <c r="H515" s="125"/>
      <c r="I515" s="18"/>
      <c r="J515" s="62"/>
      <c r="K515" s="33"/>
      <c r="L515" s="58"/>
      <c r="M515" s="58"/>
      <c r="N515" s="33"/>
    </row>
    <row r="516" spans="1:14" s="41" customFormat="1" ht="15.75" customHeight="1" x14ac:dyDescent="0.25">
      <c r="A516" s="125">
        <f t="shared" si="43"/>
        <v>4</v>
      </c>
      <c r="B516" s="125"/>
      <c r="C516" s="38" t="s">
        <v>169</v>
      </c>
      <c r="D516" s="38">
        <f>(2.9*4.57+2.15*2.75+3.05*3.35+1.37*2.3+1.55*1.2+1.25*1.27+1.655*1+1.55*0.8)*10.764</f>
        <v>418.46664600000003</v>
      </c>
      <c r="E516" s="38">
        <v>0</v>
      </c>
      <c r="F516" s="38">
        <f>D516*(($F$241)+1)+(IF(E516&lt;101,E516,IF(E516&lt;201,E516/2,IF(E516&lt;=301,E516/3,E516/4))))</f>
        <v>648.62330130000009</v>
      </c>
      <c r="G516" s="125"/>
      <c r="H516" s="125"/>
      <c r="I516" s="63"/>
      <c r="J516" s="64"/>
      <c r="K516" s="33"/>
      <c r="L516" s="58"/>
      <c r="M516" s="58"/>
      <c r="N516" s="33"/>
    </row>
    <row r="517" spans="1:14" s="41" customFormat="1" x14ac:dyDescent="0.25">
      <c r="A517" s="97" t="s">
        <v>334</v>
      </c>
      <c r="B517" s="98"/>
      <c r="C517" s="98"/>
      <c r="D517" s="98"/>
      <c r="E517" s="98"/>
      <c r="F517" s="98"/>
      <c r="G517" s="98"/>
      <c r="H517" s="99"/>
      <c r="I517" s="18">
        <v>8</v>
      </c>
      <c r="J517" s="62"/>
    </row>
    <row r="518" spans="1:14" s="41" customFormat="1" ht="15.75" customHeight="1" x14ac:dyDescent="0.25">
      <c r="A518" s="94">
        <v>1</v>
      </c>
      <c r="B518" s="95"/>
      <c r="C518" s="38" t="s">
        <v>169</v>
      </c>
      <c r="D518" s="38">
        <f>(2.9*4.57+2.15*2.75+3.05*3.35+1.37*2.3+1.55*1.2+1.25*1.27+1.655*1+1.55*0.8)*10.764</f>
        <v>418.46664600000003</v>
      </c>
      <c r="E518" s="38">
        <v>0</v>
      </c>
      <c r="F518" s="38">
        <f>D518*(($F$241)+1)+(IF(E518&lt;101,E518,IF(E518&lt;201,E518/2,IF(E518&lt;=301,E518/3,E518/4))))</f>
        <v>648.62330130000009</v>
      </c>
      <c r="G518" s="119" t="str">
        <f>A517</f>
        <v>7th, 9th, 11th, 13th, 15th, 17th, 19th, 21st Floor (Refuge Deck at midlanding of Stairecase)</v>
      </c>
      <c r="H518" s="120"/>
      <c r="I518" s="18"/>
      <c r="J518" s="62"/>
      <c r="K518" s="33"/>
      <c r="L518" s="58"/>
      <c r="M518" s="58"/>
      <c r="N518" s="33"/>
    </row>
    <row r="519" spans="1:14" s="41" customFormat="1" ht="15.75" customHeight="1" x14ac:dyDescent="0.25">
      <c r="A519" s="94">
        <f t="shared" ref="A519:A521" si="44">A518+1</f>
        <v>2</v>
      </c>
      <c r="B519" s="95"/>
      <c r="C519" s="38" t="s">
        <v>168</v>
      </c>
      <c r="D519" s="38">
        <f>(5.49*2.9+2.15*2.75+2.9*3.41+3.05*3.41+1.37*2.29+1.37*2.3+1.2*1.12+1.55*0.8+1.1*2.8)*10.764</f>
        <v>582.06652919999999</v>
      </c>
      <c r="E519" s="38">
        <v>0</v>
      </c>
      <c r="F519" s="38">
        <f>D519*(($F$241)+1)+(IF(E519&lt;101,E519,IF(E519&lt;201,E519/2,IF(E519&lt;=301,E519/3,E519/4))))</f>
        <v>902.20312025999999</v>
      </c>
      <c r="G519" s="121"/>
      <c r="H519" s="122"/>
      <c r="I519" s="63"/>
      <c r="J519" s="64"/>
      <c r="K519" s="33"/>
      <c r="L519" s="58"/>
      <c r="M519" s="58"/>
      <c r="N519" s="33"/>
    </row>
    <row r="520" spans="1:14" s="41" customFormat="1" ht="15.75" customHeight="1" x14ac:dyDescent="0.25">
      <c r="A520" s="94">
        <v>3</v>
      </c>
      <c r="B520" s="95"/>
      <c r="C520" s="38" t="s">
        <v>168</v>
      </c>
      <c r="D520" s="38">
        <f>(5.49*2.9+2.15*2.75+2.9*3.41+3.05*3.41+1.37*2.29+1.37*2.3+1.2*1.12+1.55*0.8+1.1*2.8)*10.764</f>
        <v>582.06652919999999</v>
      </c>
      <c r="E520" s="38">
        <v>0</v>
      </c>
      <c r="F520" s="38">
        <f>D520*(($F$241)+1)+(IF(E520&lt;101,E520,IF(E520&lt;201,E520/2,IF(E520&lt;=301,E520/3,E520/4))))</f>
        <v>902.20312025999999</v>
      </c>
      <c r="G520" s="121"/>
      <c r="H520" s="122"/>
      <c r="I520" s="18"/>
      <c r="J520" s="62"/>
      <c r="K520" s="33"/>
      <c r="L520" s="58"/>
      <c r="M520" s="58"/>
      <c r="N520" s="33"/>
    </row>
    <row r="521" spans="1:14" s="41" customFormat="1" ht="15.75" customHeight="1" x14ac:dyDescent="0.25">
      <c r="A521" s="94">
        <f t="shared" si="44"/>
        <v>4</v>
      </c>
      <c r="B521" s="95"/>
      <c r="C521" s="38" t="s">
        <v>169</v>
      </c>
      <c r="D521" s="38">
        <f>(2.9*4.57+2.15*2.75+3.05*3.35+1.37*2.3+1.55*1.2+1.25*1.27+1.655*1+1.55*0.8)*10.764</f>
        <v>418.46664600000003</v>
      </c>
      <c r="E521" s="38">
        <v>0</v>
      </c>
      <c r="F521" s="38">
        <f>D521*(($F$241)+1)+(IF(E521&lt;101,E521,IF(E521&lt;201,E521/2,IF(E521&lt;=301,E521/3,E521/4))))</f>
        <v>648.62330130000009</v>
      </c>
      <c r="G521" s="123"/>
      <c r="H521" s="124"/>
      <c r="I521" s="63"/>
      <c r="J521" s="64"/>
      <c r="K521" s="33"/>
      <c r="L521" s="58"/>
      <c r="M521" s="58"/>
      <c r="N521" s="33"/>
    </row>
    <row r="522" spans="1:14" s="31" customFormat="1" x14ac:dyDescent="0.25">
      <c r="A522" s="103" t="s">
        <v>238</v>
      </c>
      <c r="B522" s="103"/>
      <c r="C522" s="103"/>
      <c r="D522" s="103"/>
      <c r="E522" s="103"/>
      <c r="F522" s="103"/>
      <c r="G522" s="103"/>
      <c r="H522" s="103"/>
    </row>
    <row r="523" spans="1:14" s="31" customFormat="1" x14ac:dyDescent="0.25">
      <c r="A523" s="148" t="s">
        <v>183</v>
      </c>
      <c r="B523" s="148"/>
      <c r="C523" s="148"/>
      <c r="D523" s="148"/>
      <c r="E523" s="148"/>
      <c r="F523" s="148"/>
      <c r="G523" s="148"/>
      <c r="H523" s="148"/>
    </row>
    <row r="524" spans="1:14" s="31" customFormat="1" x14ac:dyDescent="0.25">
      <c r="A524" s="144" t="s">
        <v>330</v>
      </c>
      <c r="B524" s="144"/>
      <c r="C524" s="144"/>
      <c r="D524" s="144"/>
      <c r="E524" s="144"/>
      <c r="F524" s="144"/>
      <c r="G524" s="144"/>
      <c r="H524" s="144"/>
    </row>
    <row r="525" spans="1:14" s="41" customFormat="1" ht="15.6" customHeight="1" x14ac:dyDescent="0.25">
      <c r="A525" s="144" t="s">
        <v>337</v>
      </c>
      <c r="B525" s="144"/>
      <c r="C525" s="144"/>
      <c r="D525" s="144"/>
      <c r="E525" s="144"/>
      <c r="F525" s="144"/>
      <c r="G525" s="144"/>
      <c r="H525" s="144"/>
      <c r="I525" s="18">
        <v>1</v>
      </c>
      <c r="J525" s="62"/>
    </row>
    <row r="526" spans="1:14" s="41" customFormat="1" ht="15.75" customHeight="1" x14ac:dyDescent="0.25">
      <c r="A526" s="94">
        <v>1</v>
      </c>
      <c r="B526" s="95"/>
      <c r="C526" s="38" t="s">
        <v>168</v>
      </c>
      <c r="D526" s="38">
        <f>(2.15*2.75+5.49*2.9+2.9*3.41+1.22*1.02+1.37*2.29+3.05*3.41+1.37*2.3+1.55*0.75+1.475*0.05)*10.764</f>
        <v>547.80094980000001</v>
      </c>
      <c r="E526" s="38">
        <v>0</v>
      </c>
      <c r="F526" s="38">
        <f>D526*(($F$241)+1)+(IF(E526&lt;101,E526,IF(E526&lt;201,E526/2,IF(E526&lt;=301,E526/3,E526/4))))</f>
        <v>849.09147218999999</v>
      </c>
      <c r="G526" s="206" t="str">
        <f>A525</f>
        <v>1st Floor for Residential (Part Fitness Centre &amp; Gymnasium)</v>
      </c>
      <c r="H526" s="207"/>
      <c r="I526" s="18"/>
      <c r="J526" s="62"/>
      <c r="K526" s="33"/>
      <c r="L526" s="58"/>
      <c r="M526" s="58"/>
      <c r="N526" s="33"/>
    </row>
    <row r="527" spans="1:14" s="41" customFormat="1" ht="15.75" customHeight="1" x14ac:dyDescent="0.25">
      <c r="A527" s="94">
        <f t="shared" ref="A527" si="45">A526+1</f>
        <v>2</v>
      </c>
      <c r="B527" s="95"/>
      <c r="C527" s="38" t="s">
        <v>169</v>
      </c>
      <c r="D527" s="38">
        <f>(2.9*4.57+2.15*2.75+3.05*3.35+1.37*2.3+1.55*1.2+1.25*1.27+1.655*1+1.55*0.8)*10.764</f>
        <v>418.46664600000003</v>
      </c>
      <c r="E527" s="38">
        <v>0</v>
      </c>
      <c r="F527" s="38">
        <f>D527*(($F$241)+1)+(IF(E527&lt;101,E527,IF(E527&lt;201,E527/2,IF(E527&lt;=301,E527/3,E527/4))))</f>
        <v>648.62330130000009</v>
      </c>
      <c r="G527" s="208"/>
      <c r="H527" s="209"/>
      <c r="I527" s="63"/>
      <c r="J527" s="64"/>
      <c r="K527" s="33"/>
      <c r="L527" s="58"/>
      <c r="M527" s="58"/>
      <c r="N527" s="33"/>
    </row>
    <row r="528" spans="1:14" s="41" customFormat="1" ht="15.75" customHeight="1" x14ac:dyDescent="0.25">
      <c r="A528" s="125">
        <v>3</v>
      </c>
      <c r="B528" s="125"/>
      <c r="C528" s="119" t="s">
        <v>336</v>
      </c>
      <c r="D528" s="145"/>
      <c r="E528" s="145"/>
      <c r="F528" s="120"/>
      <c r="G528" s="208"/>
      <c r="H528" s="209"/>
      <c r="I528" s="18"/>
      <c r="J528" s="62"/>
      <c r="K528" s="33"/>
      <c r="L528" s="58"/>
      <c r="M528" s="58"/>
      <c r="N528" s="33"/>
    </row>
    <row r="529" spans="1:14" s="41" customFormat="1" ht="15.75" customHeight="1" x14ac:dyDescent="0.25">
      <c r="A529" s="125">
        <f t="shared" ref="A529" si="46">A528+1</f>
        <v>4</v>
      </c>
      <c r="B529" s="125"/>
      <c r="C529" s="123"/>
      <c r="D529" s="146"/>
      <c r="E529" s="146"/>
      <c r="F529" s="124"/>
      <c r="G529" s="210"/>
      <c r="H529" s="211"/>
      <c r="I529" s="63"/>
      <c r="J529" s="64"/>
      <c r="K529" s="33"/>
      <c r="L529" s="58"/>
      <c r="M529" s="58"/>
      <c r="N529" s="33"/>
    </row>
    <row r="530" spans="1:14" s="41" customFormat="1" x14ac:dyDescent="0.25">
      <c r="A530" s="97" t="s">
        <v>340</v>
      </c>
      <c r="B530" s="98"/>
      <c r="C530" s="98"/>
      <c r="D530" s="98"/>
      <c r="E530" s="98"/>
      <c r="F530" s="98"/>
      <c r="G530" s="98"/>
      <c r="H530" s="99"/>
      <c r="I530" s="51">
        <f>5+8</f>
        <v>13</v>
      </c>
      <c r="J530" s="52" t="s">
        <v>171</v>
      </c>
      <c r="K530" s="55" t="s">
        <v>173</v>
      </c>
      <c r="L530" s="55" t="s">
        <v>174</v>
      </c>
      <c r="M530" s="55"/>
    </row>
    <row r="531" spans="1:14" s="41" customFormat="1" ht="15.75" customHeight="1" x14ac:dyDescent="0.25">
      <c r="A531" s="94">
        <v>1</v>
      </c>
      <c r="B531" s="95"/>
      <c r="C531" s="38" t="s">
        <v>168</v>
      </c>
      <c r="D531" s="38">
        <f>(5.49*2.9+2.15*2.75+2.9*3.41+3.05*3.41+1.37*2.29+1.37*2.3+1.2*1.12+1.55*0.8+1.1*2.8)*10.764</f>
        <v>582.06652919999999</v>
      </c>
      <c r="E531" s="38">
        <v>0</v>
      </c>
      <c r="F531" s="38">
        <f>D531*(($F$241)+1)+(IF(E531&lt;101,E531,IF(E531&lt;201,E531/2,IF(E531&lt;=301,E531/3,E531/4))))</f>
        <v>902.20312025999999</v>
      </c>
      <c r="G531" s="119" t="str">
        <f>A530</f>
        <v>2nd to 6th, 8th, 10th, 12th, 14th, 16th, 18th, 20th &amp; 22nd for Residential</v>
      </c>
      <c r="H531" s="120"/>
      <c r="J531" s="52">
        <v>30000</v>
      </c>
      <c r="K531" s="56">
        <f>10200000/D532</f>
        <v>24374.702494210254</v>
      </c>
      <c r="L531" s="59" t="s">
        <v>175</v>
      </c>
      <c r="M531" s="51" t="s">
        <v>172</v>
      </c>
      <c r="N531" s="33"/>
    </row>
    <row r="532" spans="1:14" s="41" customFormat="1" ht="15.75" customHeight="1" x14ac:dyDescent="0.25">
      <c r="A532" s="94">
        <f t="shared" ref="A532:A534" si="47">A531+1</f>
        <v>2</v>
      </c>
      <c r="B532" s="95"/>
      <c r="C532" s="38" t="s">
        <v>169</v>
      </c>
      <c r="D532" s="38">
        <f>(2.9*4.57+2.15*2.75+3.05*3.35+1.37*2.3+1.55*1.2+1.25*1.27+1.655*1+1.55*0.8)*10.764</f>
        <v>418.46664600000003</v>
      </c>
      <c r="E532" s="38">
        <v>0</v>
      </c>
      <c r="F532" s="38">
        <f>D532*(($F$241)+1)+(IF(E532&lt;101,E532,IF(E532&lt;201,E532/2,IF(E532&lt;=301,E532/3,E532/4))))</f>
        <v>648.62330130000009</v>
      </c>
      <c r="G532" s="121"/>
      <c r="H532" s="122"/>
      <c r="J532" s="54">
        <f>J531/1.55</f>
        <v>19354.83870967742</v>
      </c>
      <c r="K532" s="56">
        <f>13600000/D539</f>
        <v>23365.026706984889</v>
      </c>
      <c r="L532" s="58"/>
      <c r="M532" s="53" t="s">
        <v>155</v>
      </c>
      <c r="N532" s="33"/>
    </row>
    <row r="533" spans="1:14" s="41" customFormat="1" ht="15.75" customHeight="1" x14ac:dyDescent="0.25">
      <c r="A533" s="94">
        <f t="shared" si="47"/>
        <v>3</v>
      </c>
      <c r="B533" s="95"/>
      <c r="C533" s="38" t="s">
        <v>169</v>
      </c>
      <c r="D533" s="38">
        <f>(2.9*4.57+2.15*2.75+3.05*3.35+1.37*2.3+1.55*1.2+1.25*1.27+1.655*1+1.55*0.8)*10.764</f>
        <v>418.46664600000003</v>
      </c>
      <c r="E533" s="38">
        <v>0</v>
      </c>
      <c r="F533" s="38">
        <f>D533*(($F$241)+1)+(IF(E533&lt;101,E533,IF(E533&lt;201,E533/2,IF(E533&lt;=301,E533/3,E533/4))))</f>
        <v>648.62330130000009</v>
      </c>
      <c r="G533" s="121"/>
      <c r="H533" s="122"/>
      <c r="I533" s="33"/>
      <c r="K533" s="56">
        <f>AVERAGE(K531:K532)</f>
        <v>23869.864600597572</v>
      </c>
      <c r="L533" s="58"/>
      <c r="M533" s="58"/>
      <c r="N533" s="33"/>
    </row>
    <row r="534" spans="1:14" s="41" customFormat="1" ht="15.75" customHeight="1" x14ac:dyDescent="0.25">
      <c r="A534" s="94">
        <f t="shared" si="47"/>
        <v>4</v>
      </c>
      <c r="B534" s="95"/>
      <c r="C534" s="38" t="s">
        <v>168</v>
      </c>
      <c r="D534" s="38">
        <f>(5.49*2.9+2.15*2.75+2.9*3.41+3.05*3.41+1.37*2.29+1.37*2.3+1.2*1.12+1.55*0.8+1.1*2.8)*10.764</f>
        <v>582.06652919999999</v>
      </c>
      <c r="E534" s="38">
        <v>0</v>
      </c>
      <c r="F534" s="38">
        <f>D534*(($F$241)+1)+(IF(E534&lt;101,E534,IF(E534&lt;201,E534/2,IF(E534&lt;=301,E534/3,E534/4))))</f>
        <v>902.20312025999999</v>
      </c>
      <c r="G534" s="123"/>
      <c r="H534" s="124"/>
      <c r="I534" s="33"/>
      <c r="K534" s="57">
        <f>K533/1.55</f>
        <v>15399.912645546819</v>
      </c>
      <c r="L534" s="58"/>
      <c r="M534" s="58"/>
      <c r="N534" s="33"/>
    </row>
    <row r="535" spans="1:14" s="41" customFormat="1" ht="15.75" customHeight="1" x14ac:dyDescent="0.25">
      <c r="A535" s="97" t="s">
        <v>334</v>
      </c>
      <c r="B535" s="98"/>
      <c r="C535" s="98"/>
      <c r="D535" s="98"/>
      <c r="E535" s="98"/>
      <c r="F535" s="98"/>
      <c r="G535" s="98"/>
      <c r="H535" s="99"/>
      <c r="I535" s="33">
        <v>8</v>
      </c>
      <c r="L535" s="244"/>
      <c r="M535" s="244"/>
    </row>
    <row r="536" spans="1:14" s="41" customFormat="1" ht="15.75" customHeight="1" x14ac:dyDescent="0.25">
      <c r="A536" s="125">
        <v>1</v>
      </c>
      <c r="B536" s="125"/>
      <c r="C536" s="38" t="s">
        <v>168</v>
      </c>
      <c r="D536" s="38">
        <f>(5.49*2.9+2.15*2.75+2.9*3.41+3.05*3.41+1.37*2.29+1.37*2.3+1.2*1.12+1.55*0.8+1.1*2.8)*10.764</f>
        <v>582.06652919999999</v>
      </c>
      <c r="E536" s="38">
        <v>0</v>
      </c>
      <c r="F536" s="38">
        <f t="shared" ref="F536:F537" si="48">D536*(($F$241)+1)+(IF(E536&lt;101,E536,IF(E536&lt;201,E536/2,IF(E536&lt;=301,E536/3,E536/4))))</f>
        <v>902.20312025999999</v>
      </c>
      <c r="G536" s="119" t="str">
        <f>A535</f>
        <v>7th, 9th, 11th, 13th, 15th, 17th, 19th, 21st Floor (Refuge Deck at midlanding of Stairecase)</v>
      </c>
      <c r="H536" s="120"/>
      <c r="I536" s="33"/>
      <c r="N536" s="33"/>
    </row>
    <row r="537" spans="1:14" s="41" customFormat="1" ht="15.75" customHeight="1" x14ac:dyDescent="0.25">
      <c r="A537" s="125">
        <f>A536+1</f>
        <v>2</v>
      </c>
      <c r="B537" s="125"/>
      <c r="C537" s="38" t="s">
        <v>169</v>
      </c>
      <c r="D537" s="38">
        <f>(2.9*4.57+2.15*2.75+3.05*3.35+1.37*2.3+1.55*1.2+1.25*1.27+1.655*1+1.55*0.8)*10.764</f>
        <v>418.46664600000003</v>
      </c>
      <c r="E537" s="38">
        <v>0</v>
      </c>
      <c r="F537" s="38">
        <f t="shared" si="48"/>
        <v>648.62330130000009</v>
      </c>
      <c r="G537" s="121"/>
      <c r="H537" s="122"/>
      <c r="I537" s="33"/>
      <c r="N537" s="33"/>
    </row>
    <row r="538" spans="1:14" s="41" customFormat="1" ht="15.75" customHeight="1" x14ac:dyDescent="0.25">
      <c r="A538" s="125">
        <f>A537+1</f>
        <v>3</v>
      </c>
      <c r="B538" s="125"/>
      <c r="C538" s="38" t="s">
        <v>169</v>
      </c>
      <c r="D538" s="38">
        <f>(2.9*4.57+2.15*2.75+3.05*3.35+1.37*2.3+1.55*1.2+1.25*1.27+1.655*1+1.55*0.8)*10.764</f>
        <v>418.46664600000003</v>
      </c>
      <c r="E538" s="38">
        <v>0</v>
      </c>
      <c r="F538" s="38">
        <f>D538*(($F$241)+1)+(IF(E538&lt;101,E538,IF(E538&lt;201,E538/2,IF(E538&lt;=301,E538/3,E538/4))))</f>
        <v>648.62330130000009</v>
      </c>
      <c r="G538" s="121"/>
      <c r="H538" s="122"/>
      <c r="I538" s="33"/>
      <c r="N538" s="33"/>
    </row>
    <row r="539" spans="1:14" s="41" customFormat="1" ht="15.75" customHeight="1" x14ac:dyDescent="0.25">
      <c r="A539" s="125">
        <f>A538+1</f>
        <v>4</v>
      </c>
      <c r="B539" s="125"/>
      <c r="C539" s="38" t="s">
        <v>168</v>
      </c>
      <c r="D539" s="38">
        <f>(5.49*2.9+2.15*2.75+2.9*3.41+3.05*3.41+1.37*2.29+1.37*2.3+1.2*1.12+1.55*0.8+1.1*2.8)*10.764</f>
        <v>582.06652919999999</v>
      </c>
      <c r="E539" s="38">
        <v>0</v>
      </c>
      <c r="F539" s="38">
        <f>D539*(($F$241)+1)+(IF(E539&lt;101,E539,IF(E539&lt;201,E539/2,IF(E539&lt;=301,E539/3,E539/4))))</f>
        <v>902.20312025999999</v>
      </c>
      <c r="G539" s="123"/>
      <c r="H539" s="124"/>
      <c r="I539" s="33"/>
      <c r="N539" s="33"/>
    </row>
    <row r="540" spans="1:14" s="31" customFormat="1" x14ac:dyDescent="0.25">
      <c r="A540" s="264" t="s">
        <v>239</v>
      </c>
      <c r="B540" s="264"/>
      <c r="C540" s="264"/>
      <c r="D540" s="264"/>
      <c r="E540" s="264"/>
      <c r="F540" s="264"/>
      <c r="G540" s="264"/>
      <c r="H540" s="264"/>
    </row>
    <row r="541" spans="1:14" s="31" customFormat="1" x14ac:dyDescent="0.25">
      <c r="A541" s="148" t="s">
        <v>183</v>
      </c>
      <c r="B541" s="148"/>
      <c r="C541" s="148"/>
      <c r="D541" s="148"/>
      <c r="E541" s="148"/>
      <c r="F541" s="148"/>
      <c r="G541" s="148"/>
      <c r="H541" s="148"/>
    </row>
    <row r="542" spans="1:14" s="31" customFormat="1" x14ac:dyDescent="0.25">
      <c r="A542" s="144" t="s">
        <v>338</v>
      </c>
      <c r="B542" s="144"/>
      <c r="C542" s="144"/>
      <c r="D542" s="144"/>
      <c r="E542" s="144"/>
      <c r="F542" s="144"/>
      <c r="G542" s="144"/>
      <c r="H542" s="144"/>
    </row>
    <row r="543" spans="1:14" s="31" customFormat="1" x14ac:dyDescent="0.25">
      <c r="A543" s="148" t="s">
        <v>339</v>
      </c>
      <c r="B543" s="148"/>
      <c r="C543" s="148"/>
      <c r="D543" s="148"/>
      <c r="E543" s="148"/>
      <c r="F543" s="148"/>
      <c r="G543" s="148"/>
      <c r="H543" s="148"/>
      <c r="I543" s="31">
        <v>1</v>
      </c>
    </row>
    <row r="544" spans="1:14" s="41" customFormat="1" ht="15.75" customHeight="1" x14ac:dyDescent="0.25">
      <c r="A544" s="97" t="s">
        <v>341</v>
      </c>
      <c r="B544" s="98"/>
      <c r="C544" s="98"/>
      <c r="D544" s="98"/>
      <c r="E544" s="98"/>
      <c r="F544" s="98"/>
      <c r="G544" s="98"/>
      <c r="H544" s="99"/>
      <c r="I544" s="18">
        <v>1</v>
      </c>
      <c r="J544" s="62"/>
    </row>
    <row r="545" spans="1:14" s="41" customFormat="1" ht="15.75" customHeight="1" x14ac:dyDescent="0.25">
      <c r="A545" s="94">
        <v>1</v>
      </c>
      <c r="B545" s="95"/>
      <c r="C545" s="38" t="s">
        <v>169</v>
      </c>
      <c r="D545" s="38">
        <f>(2.8*4.57+2.15*2.75+3.05*3.35+2.3*1.37+1.52*1.37+0.05*1.295+0.1*3.075+2.25*1.07+1.75*0.8)*10.764</f>
        <v>412.68261059999986</v>
      </c>
      <c r="E545" s="38">
        <v>0</v>
      </c>
      <c r="F545" s="38">
        <f>D545*(($F$241)+1)+(IF(E545&lt;101,E545,IF(E545&lt;201,E545/2,IF(E545&lt;=301,E545/3,E545/4))))</f>
        <v>639.65804642999979</v>
      </c>
      <c r="G545" s="119" t="str">
        <f>A544</f>
        <v>2nd Floor for Residential</v>
      </c>
      <c r="H545" s="145"/>
      <c r="I545" s="80"/>
      <c r="J545" s="62">
        <f>696/435</f>
        <v>1.6</v>
      </c>
      <c r="K545" s="33"/>
      <c r="L545" s="58"/>
      <c r="M545" s="58"/>
      <c r="N545" s="33"/>
    </row>
    <row r="546" spans="1:14" s="41" customFormat="1" ht="15.75" customHeight="1" x14ac:dyDescent="0.25">
      <c r="A546" s="94">
        <f t="shared" ref="A546:A548" si="49">A545+1</f>
        <v>2</v>
      </c>
      <c r="B546" s="95"/>
      <c r="C546" s="38" t="s">
        <v>169</v>
      </c>
      <c r="D546" s="38">
        <f t="shared" ref="D546:D548" si="50">(2.8*4.57+2.15*2.75+3.05*3.35+2.3*1.37+1.52*1.37+0.05*1.295+0.1*3.075+2.25*1.07+1.75*0.8)*10.764</f>
        <v>412.68261059999986</v>
      </c>
      <c r="E546" s="38">
        <v>0</v>
      </c>
      <c r="F546" s="38">
        <f>D546*(($F$241)+1)+(IF(E546&lt;101,E546,IF(E546&lt;201,E546/2,IF(E546&lt;=301,E546/3,E546/4))))</f>
        <v>639.65804642999979</v>
      </c>
      <c r="G546" s="121"/>
      <c r="H546" s="250"/>
      <c r="I546" s="63"/>
      <c r="J546" s="71">
        <f>634/409</f>
        <v>1.550122249388753</v>
      </c>
      <c r="K546" s="33"/>
      <c r="L546" s="58"/>
      <c r="M546" s="58"/>
      <c r="N546" s="33"/>
    </row>
    <row r="547" spans="1:14" s="41" customFormat="1" ht="15.75" customHeight="1" x14ac:dyDescent="0.25">
      <c r="A547" s="94">
        <f t="shared" si="49"/>
        <v>3</v>
      </c>
      <c r="B547" s="95"/>
      <c r="C547" s="38" t="s">
        <v>169</v>
      </c>
      <c r="D547" s="38">
        <f t="shared" si="50"/>
        <v>412.68261059999986</v>
      </c>
      <c r="E547" s="38">
        <v>0</v>
      </c>
      <c r="F547" s="38">
        <f>D547*(($F$241)+1)+(IF(E547&lt;101,E547,IF(E547&lt;201,E547/2,IF(E547&lt;=301,E547/3,E547/4))))</f>
        <v>639.65804642999979</v>
      </c>
      <c r="G547" s="121"/>
      <c r="H547" s="250"/>
      <c r="I547" s="63"/>
      <c r="J547" s="64"/>
      <c r="K547" s="33"/>
      <c r="L547" s="58"/>
      <c r="M547" s="58"/>
      <c r="N547" s="33"/>
    </row>
    <row r="548" spans="1:14" s="41" customFormat="1" ht="15.75" customHeight="1" x14ac:dyDescent="0.25">
      <c r="A548" s="94">
        <f t="shared" si="49"/>
        <v>4</v>
      </c>
      <c r="B548" s="95"/>
      <c r="C548" s="38" t="s">
        <v>169</v>
      </c>
      <c r="D548" s="38">
        <f t="shared" si="50"/>
        <v>412.68261059999986</v>
      </c>
      <c r="E548" s="38">
        <f>(1.5*2.8)*10.764</f>
        <v>45.208799999999989</v>
      </c>
      <c r="F548" s="38">
        <f>D548*(($F$241)+1)+(IF(E548&lt;101,E548,IF(E548&lt;201,E548/2,IF(E548&lt;=301,E548/3,E548/4))))</f>
        <v>684.86684642999978</v>
      </c>
      <c r="G548" s="123"/>
      <c r="H548" s="146"/>
      <c r="I548" s="63"/>
      <c r="J548" s="64"/>
      <c r="K548" s="33"/>
      <c r="L548" s="58"/>
      <c r="M548" s="58"/>
      <c r="N548" s="33"/>
    </row>
    <row r="549" spans="1:14" s="41" customFormat="1" ht="15.75" customHeight="1" x14ac:dyDescent="0.25">
      <c r="A549" s="97" t="s">
        <v>342</v>
      </c>
      <c r="B549" s="98"/>
      <c r="C549" s="98"/>
      <c r="D549" s="98"/>
      <c r="E549" s="98"/>
      <c r="F549" s="98"/>
      <c r="G549" s="98"/>
      <c r="H549" s="98"/>
      <c r="I549" s="18">
        <f>7+6+4</f>
        <v>17</v>
      </c>
      <c r="J549" s="62"/>
    </row>
    <row r="550" spans="1:14" s="41" customFormat="1" ht="15.75" customHeight="1" x14ac:dyDescent="0.25">
      <c r="A550" s="94">
        <v>1</v>
      </c>
      <c r="B550" s="95"/>
      <c r="C550" s="38" t="s">
        <v>169</v>
      </c>
      <c r="D550" s="38">
        <f>(2.8*4.57+2.15*2.75+3.05*3.35+2.3*1.37+1.52*1.37+0.05*1.295+0.1*3.075+2.25*1.07+1.75*0.8)*10.764</f>
        <v>412.68261059999986</v>
      </c>
      <c r="E550" s="38">
        <v>0</v>
      </c>
      <c r="F550" s="38">
        <f>D550*(($F$241)+1)+(IF(E550&lt;101,E550,IF(E550&lt;201,E550/2,IF(E550&lt;=301,E550/3,E550/4))))</f>
        <v>639.65804642999979</v>
      </c>
      <c r="G550" s="119" t="str">
        <f>A549</f>
        <v>3rd to 9th, 11th to 16th, 18th to 21st Floor for Residential</v>
      </c>
      <c r="H550" s="145"/>
      <c r="I550" s="80"/>
      <c r="J550" s="62">
        <f>696/435</f>
        <v>1.6</v>
      </c>
      <c r="K550" s="33"/>
      <c r="L550" s="58"/>
      <c r="M550" s="58"/>
      <c r="N550" s="33"/>
    </row>
    <row r="551" spans="1:14" s="41" customFormat="1" ht="15.75" customHeight="1" x14ac:dyDescent="0.25">
      <c r="A551" s="94">
        <f t="shared" ref="A551:A553" si="51">A550+1</f>
        <v>2</v>
      </c>
      <c r="B551" s="95"/>
      <c r="C551" s="38" t="s">
        <v>169</v>
      </c>
      <c r="D551" s="38">
        <f t="shared" ref="D551:D553" si="52">(2.8*4.57+2.15*2.75+3.05*3.35+2.3*1.37+1.52*1.37+0.05*1.295+0.1*3.075+2.25*1.07+1.75*0.8)*10.764</f>
        <v>412.68261059999986</v>
      </c>
      <c r="E551" s="38">
        <v>0</v>
      </c>
      <c r="F551" s="38">
        <f>D551*(($F$241)+1)+(IF(E551&lt;101,E551,IF(E551&lt;201,E551/2,IF(E551&lt;=301,E551/3,E551/4))))</f>
        <v>639.65804642999979</v>
      </c>
      <c r="G551" s="121"/>
      <c r="H551" s="122"/>
      <c r="I551" s="63"/>
      <c r="J551" s="71">
        <f>634/409</f>
        <v>1.550122249388753</v>
      </c>
      <c r="K551" s="33"/>
      <c r="L551" s="58"/>
      <c r="M551" s="58"/>
      <c r="N551" s="33"/>
    </row>
    <row r="552" spans="1:14" s="41" customFormat="1" ht="15.75" customHeight="1" x14ac:dyDescent="0.25">
      <c r="A552" s="94">
        <f t="shared" si="51"/>
        <v>3</v>
      </c>
      <c r="B552" s="95"/>
      <c r="C552" s="38" t="s">
        <v>169</v>
      </c>
      <c r="D552" s="38">
        <f t="shared" si="52"/>
        <v>412.68261059999986</v>
      </c>
      <c r="E552" s="38">
        <v>0</v>
      </c>
      <c r="F552" s="38">
        <f>D552*(($F$241)+1)+(IF(E552&lt;101,E552,IF(E552&lt;201,E552/2,IF(E552&lt;=301,E552/3,E552/4))))</f>
        <v>639.65804642999979</v>
      </c>
      <c r="G552" s="121"/>
      <c r="H552" s="122"/>
      <c r="I552" s="63"/>
      <c r="J552" s="64"/>
      <c r="K552" s="33"/>
      <c r="L552" s="58"/>
      <c r="M552" s="58"/>
      <c r="N552" s="33"/>
    </row>
    <row r="553" spans="1:14" s="41" customFormat="1" ht="15.75" customHeight="1" x14ac:dyDescent="0.25">
      <c r="A553" s="94">
        <f t="shared" si="51"/>
        <v>4</v>
      </c>
      <c r="B553" s="95"/>
      <c r="C553" s="38" t="s">
        <v>169</v>
      </c>
      <c r="D553" s="38">
        <f t="shared" si="52"/>
        <v>412.68261059999986</v>
      </c>
      <c r="E553" s="38">
        <v>0</v>
      </c>
      <c r="F553" s="38">
        <f>D553*(($F$241)+1)+(IF(E553&lt;101,E553,IF(E553&lt;201,E553/2,IF(E553&lt;=301,E553/3,E553/4))))</f>
        <v>639.65804642999979</v>
      </c>
      <c r="G553" s="123"/>
      <c r="H553" s="124"/>
      <c r="I553" s="63"/>
      <c r="J553" s="64"/>
      <c r="K553" s="33"/>
      <c r="L553" s="58"/>
      <c r="M553" s="58"/>
      <c r="N553" s="33"/>
    </row>
    <row r="554" spans="1:14" s="41" customFormat="1" ht="15.75" customHeight="1" x14ac:dyDescent="0.25">
      <c r="A554" s="97" t="s">
        <v>246</v>
      </c>
      <c r="B554" s="98"/>
      <c r="C554" s="98"/>
      <c r="D554" s="98"/>
      <c r="E554" s="98"/>
      <c r="F554" s="98"/>
      <c r="G554" s="98"/>
      <c r="H554" s="99"/>
      <c r="I554" s="51"/>
      <c r="J554" s="52"/>
      <c r="K554" s="55"/>
      <c r="L554" s="55"/>
      <c r="M554" s="55"/>
    </row>
    <row r="555" spans="1:14" s="41" customFormat="1" ht="15.75" customHeight="1" x14ac:dyDescent="0.25">
      <c r="A555" s="94">
        <v>1</v>
      </c>
      <c r="B555" s="95"/>
      <c r="C555" s="38" t="s">
        <v>169</v>
      </c>
      <c r="D555" s="38">
        <f>(2.8*4.57+2.15*2.75+3.05*3.35+1.52*2.35+0.05*1.295+0.1*3.075+2.25*1.07+1.75*0.8)*10.764</f>
        <v>394.79930099999996</v>
      </c>
      <c r="E555" s="38">
        <v>0</v>
      </c>
      <c r="F555" s="38">
        <f>D555*(($F$241)+1)+(IF(E555&lt;101,E555,IF(E555&lt;201,E555/2,IF(E555&lt;=301,E555/3,E555/4))))</f>
        <v>611.93891654999993</v>
      </c>
      <c r="G555" s="119" t="str">
        <f>A554</f>
        <v>10th Floor (Part Refuge Area)</v>
      </c>
      <c r="H555" s="120"/>
      <c r="I555" s="51"/>
      <c r="J555" s="52"/>
      <c r="K555" s="56"/>
      <c r="L555" s="59"/>
      <c r="M555" s="59"/>
      <c r="N555" s="33"/>
    </row>
    <row r="556" spans="1:14" s="41" customFormat="1" ht="15.75" customHeight="1" x14ac:dyDescent="0.25">
      <c r="A556" s="94">
        <f t="shared" ref="A556:A558" si="53">A555+1</f>
        <v>2</v>
      </c>
      <c r="B556" s="95"/>
      <c r="C556" s="94" t="s">
        <v>194</v>
      </c>
      <c r="D556" s="126"/>
      <c r="E556" s="126"/>
      <c r="F556" s="95"/>
      <c r="G556" s="121"/>
      <c r="H556" s="122"/>
      <c r="I556" s="53"/>
      <c r="J556" s="54"/>
      <c r="K556" s="56"/>
      <c r="L556" s="58"/>
      <c r="M556" s="58"/>
      <c r="N556" s="33"/>
    </row>
    <row r="557" spans="1:14" s="41" customFormat="1" ht="15.75" customHeight="1" x14ac:dyDescent="0.25">
      <c r="A557" s="94">
        <f t="shared" si="53"/>
        <v>3</v>
      </c>
      <c r="B557" s="95"/>
      <c r="C557" s="38" t="s">
        <v>169</v>
      </c>
      <c r="D557" s="38">
        <f t="shared" ref="D557:D558" si="54">(2.8*4.57+2.15*2.75+3.05*3.35+2.3*1.37+1.52*1.37+0.05*1.295+0.1*3.075+2.25*1.07+1.75*0.8)*10.764</f>
        <v>412.68261059999986</v>
      </c>
      <c r="E557" s="38">
        <v>0</v>
      </c>
      <c r="F557" s="38">
        <f>D557*(($F$241)+1)+(IF(E557&lt;101,E557,IF(E557&lt;201,E557/2,IF(E557&lt;=301,E557/3,E557/4))))</f>
        <v>639.65804642999979</v>
      </c>
      <c r="G557" s="121"/>
      <c r="H557" s="122"/>
      <c r="I557" s="33"/>
      <c r="J557" s="72" t="s">
        <v>251</v>
      </c>
      <c r="K557" s="73"/>
      <c r="L557" s="74"/>
      <c r="M557" s="58"/>
      <c r="N557" s="33"/>
    </row>
    <row r="558" spans="1:14" s="41" customFormat="1" ht="15.75" customHeight="1" x14ac:dyDescent="0.25">
      <c r="A558" s="94">
        <f t="shared" si="53"/>
        <v>4</v>
      </c>
      <c r="B558" s="95"/>
      <c r="C558" s="38" t="s">
        <v>169</v>
      </c>
      <c r="D558" s="38">
        <f t="shared" si="54"/>
        <v>412.68261059999986</v>
      </c>
      <c r="E558" s="38">
        <v>0</v>
      </c>
      <c r="F558" s="38">
        <f>D558*(($F$241)+1)+(IF(E558&lt;101,E558,IF(E558&lt;201,E558/2,IF(E558&lt;=301,E558/3,E558/4))))</f>
        <v>639.65804642999979</v>
      </c>
      <c r="G558" s="123"/>
      <c r="H558" s="124"/>
      <c r="I558" s="33"/>
      <c r="K558" s="57"/>
      <c r="L558" s="58"/>
      <c r="M558" s="58"/>
      <c r="N558" s="33"/>
    </row>
    <row r="559" spans="1:14" s="41" customFormat="1" ht="15.75" customHeight="1" x14ac:dyDescent="0.25">
      <c r="A559" s="97" t="s">
        <v>247</v>
      </c>
      <c r="B559" s="98"/>
      <c r="C559" s="98"/>
      <c r="D559" s="98"/>
      <c r="E559" s="98"/>
      <c r="F559" s="98"/>
      <c r="G559" s="98"/>
      <c r="H559" s="99"/>
      <c r="I559" s="33"/>
      <c r="L559" s="244"/>
      <c r="M559" s="244"/>
    </row>
    <row r="560" spans="1:14" s="41" customFormat="1" ht="15.75" customHeight="1" x14ac:dyDescent="0.25">
      <c r="A560" s="94">
        <v>1</v>
      </c>
      <c r="B560" s="95"/>
      <c r="C560" s="38" t="s">
        <v>169</v>
      </c>
      <c r="D560" s="38">
        <f t="shared" ref="D560" si="55">(2.8*4.57+2.15*2.75+3.05*3.35+2.3*1.37+1.52*1.37+0.05*1.295+0.1*3.075+2.25*1.07+1.75*0.8)*10.764</f>
        <v>412.68261059999986</v>
      </c>
      <c r="E560" s="38">
        <v>0</v>
      </c>
      <c r="F560" s="38">
        <f t="shared" ref="F560" si="56">D560*(($F$241)+1)+(IF(E560&lt;101,E560,IF(E560&lt;201,E560/2,IF(E560&lt;=301,E560/3,E560/4))))</f>
        <v>639.65804642999979</v>
      </c>
      <c r="G560" s="119" t="str">
        <f>A559</f>
        <v>17th Floor  (Part Refuge Area)</v>
      </c>
      <c r="H560" s="120"/>
      <c r="I560" s="33"/>
      <c r="J560" s="41">
        <f>409/10.764</f>
        <v>37.997027127461912</v>
      </c>
      <c r="N560" s="33"/>
    </row>
    <row r="561" spans="1:14" s="41" customFormat="1" ht="15.75" customHeight="1" x14ac:dyDescent="0.25">
      <c r="A561" s="94">
        <f>A560+1</f>
        <v>2</v>
      </c>
      <c r="B561" s="95"/>
      <c r="C561" s="94" t="s">
        <v>194</v>
      </c>
      <c r="D561" s="126"/>
      <c r="E561" s="126"/>
      <c r="F561" s="95"/>
      <c r="G561" s="121"/>
      <c r="H561" s="122"/>
      <c r="I561" s="33"/>
      <c r="J561" s="41">
        <f>435/10.764</f>
        <v>40.41248606465998</v>
      </c>
      <c r="N561" s="33"/>
    </row>
    <row r="562" spans="1:14" s="41" customFormat="1" ht="15.75" customHeight="1" x14ac:dyDescent="0.25">
      <c r="A562" s="94">
        <f>A561+1</f>
        <v>3</v>
      </c>
      <c r="B562" s="95"/>
      <c r="C562" s="38" t="s">
        <v>169</v>
      </c>
      <c r="D562" s="38">
        <f t="shared" ref="D562:D563" si="57">(2.8*4.57+2.15*2.75+3.05*3.35+2.3*1.37+1.52*1.37+0.05*1.295+0.1*3.075+2.25*1.07+1.75*0.8)*10.764</f>
        <v>412.68261059999986</v>
      </c>
      <c r="E562" s="38">
        <v>0</v>
      </c>
      <c r="F562" s="38">
        <f>D562*(($F$241)+1)+(IF(E562&lt;101,E562,IF(E562&lt;201,E562/2,IF(E562&lt;=301,E562/3,E562/4))))</f>
        <v>639.65804642999979</v>
      </c>
      <c r="G562" s="121"/>
      <c r="H562" s="122"/>
      <c r="I562" s="33"/>
      <c r="N562" s="33"/>
    </row>
    <row r="563" spans="1:14" s="41" customFormat="1" ht="15.75" customHeight="1" x14ac:dyDescent="0.25">
      <c r="A563" s="94">
        <f>A562+1</f>
        <v>4</v>
      </c>
      <c r="B563" s="95"/>
      <c r="C563" s="38" t="s">
        <v>169</v>
      </c>
      <c r="D563" s="38">
        <f t="shared" si="57"/>
        <v>412.68261059999986</v>
      </c>
      <c r="E563" s="38">
        <v>0</v>
      </c>
      <c r="F563" s="38">
        <f>D563*(($F$241)+1)+(IF(E563&lt;101,E563,IF(E563&lt;201,E563/2,IF(E563&lt;=301,E563/3,E563/4))))</f>
        <v>639.65804642999979</v>
      </c>
      <c r="G563" s="123"/>
      <c r="H563" s="124"/>
      <c r="I563" s="33"/>
      <c r="N563" s="33"/>
    </row>
    <row r="564" spans="1:14" s="41" customFormat="1" ht="15.75" customHeight="1" x14ac:dyDescent="0.25">
      <c r="A564" s="144" t="s">
        <v>245</v>
      </c>
      <c r="B564" s="144"/>
      <c r="C564" s="144"/>
      <c r="D564" s="144"/>
      <c r="E564" s="144"/>
      <c r="F564" s="144"/>
      <c r="G564" s="144"/>
      <c r="H564" s="144"/>
      <c r="I564" s="33"/>
      <c r="L564" s="244"/>
      <c r="M564" s="244"/>
    </row>
    <row r="565" spans="1:14" s="41" customFormat="1" ht="15.75" customHeight="1" x14ac:dyDescent="0.25">
      <c r="A565" s="125">
        <v>1</v>
      </c>
      <c r="B565" s="125"/>
      <c r="C565" s="38" t="s">
        <v>169</v>
      </c>
      <c r="D565" s="38">
        <f t="shared" ref="D565:D568" si="58">(2.8*4.57+2.15*2.75+3.05*3.35+2.3*1.37+1.52*1.37+0.05*1.295+0.1*3.075+2.25*1.07+1.75*0.8)*10.764</f>
        <v>412.68261059999986</v>
      </c>
      <c r="E565" s="38">
        <v>0</v>
      </c>
      <c r="F565" s="38">
        <f t="shared" ref="F565:F566" si="59">D565*(($F$241)+1)+(IF(E565&lt;101,E565,IF(E565&lt;201,E565/2,IF(E565&lt;=301,E565/3,E565/4))))</f>
        <v>639.65804642999979</v>
      </c>
      <c r="G565" s="125" t="str">
        <f>A564</f>
        <v>22nd Floor</v>
      </c>
      <c r="H565" s="125"/>
      <c r="I565" s="33"/>
      <c r="N565" s="33"/>
    </row>
    <row r="566" spans="1:14" s="41" customFormat="1" ht="15.75" customHeight="1" x14ac:dyDescent="0.25">
      <c r="A566" s="125">
        <f>A565+1</f>
        <v>2</v>
      </c>
      <c r="B566" s="125"/>
      <c r="C566" s="38" t="s">
        <v>169</v>
      </c>
      <c r="D566" s="38">
        <f t="shared" si="58"/>
        <v>412.68261059999986</v>
      </c>
      <c r="E566" s="38">
        <v>0</v>
      </c>
      <c r="F566" s="38">
        <f t="shared" si="59"/>
        <v>639.65804642999979</v>
      </c>
      <c r="G566" s="125"/>
      <c r="H566" s="125"/>
      <c r="I566" s="33"/>
      <c r="N566" s="33"/>
    </row>
    <row r="567" spans="1:14" s="41" customFormat="1" ht="15.75" customHeight="1" x14ac:dyDescent="0.25">
      <c r="A567" s="125">
        <f>A566+1</f>
        <v>3</v>
      </c>
      <c r="B567" s="125"/>
      <c r="C567" s="38" t="s">
        <v>169</v>
      </c>
      <c r="D567" s="38">
        <f t="shared" si="58"/>
        <v>412.68261059999986</v>
      </c>
      <c r="E567" s="38">
        <v>0</v>
      </c>
      <c r="F567" s="38">
        <f>D567*(($F$241)+1)+(IF(E567&lt;101,E567,IF(E567&lt;201,E567/2,IF(E567&lt;=301,E567/3,E567/4))))</f>
        <v>639.65804642999979</v>
      </c>
      <c r="G567" s="125"/>
      <c r="H567" s="125"/>
      <c r="I567" s="33"/>
      <c r="N567" s="33"/>
    </row>
    <row r="568" spans="1:14" s="41" customFormat="1" ht="15.75" customHeight="1" x14ac:dyDescent="0.25">
      <c r="A568" s="125">
        <f>A567+1</f>
        <v>4</v>
      </c>
      <c r="B568" s="125"/>
      <c r="C568" s="38" t="s">
        <v>169</v>
      </c>
      <c r="D568" s="38">
        <f t="shared" si="58"/>
        <v>412.68261059999986</v>
      </c>
      <c r="E568" s="38">
        <v>0</v>
      </c>
      <c r="F568" s="38">
        <f>D568*(($F$241)+1)+(IF(E568&lt;101,E568,IF(E568&lt;201,E568/2,IF(E568&lt;=301,E568/3,E568/4))))</f>
        <v>639.65804642999979</v>
      </c>
      <c r="G568" s="125"/>
      <c r="H568" s="125"/>
      <c r="I568" s="33"/>
      <c r="N568" s="33"/>
    </row>
    <row r="569" spans="1:14" s="32" customFormat="1" x14ac:dyDescent="0.25">
      <c r="A569" s="213" t="s">
        <v>65</v>
      </c>
      <c r="B569" s="213"/>
      <c r="C569" s="213"/>
      <c r="D569" s="213"/>
      <c r="E569" s="213"/>
      <c r="F569" s="213"/>
      <c r="G569" s="213"/>
      <c r="H569" s="213"/>
    </row>
    <row r="570" spans="1:14" s="32" customFormat="1" ht="32.65" customHeight="1" x14ac:dyDescent="0.25">
      <c r="A570" s="40" t="s">
        <v>148</v>
      </c>
      <c r="B570" s="87" t="s">
        <v>325</v>
      </c>
      <c r="C570" s="87"/>
      <c r="D570" s="87"/>
      <c r="E570" s="87" t="s">
        <v>321</v>
      </c>
      <c r="F570" s="87"/>
      <c r="G570" s="87"/>
      <c r="H570" s="87"/>
    </row>
    <row r="571" spans="1:14" s="32" customFormat="1" x14ac:dyDescent="0.25">
      <c r="A571" s="40" t="s">
        <v>148</v>
      </c>
      <c r="B571" s="88" t="str">
        <f>(IF(F240="Saleable area Loading :","We have considered Saleable area of Flats as per our Calculation.","We considered Saleable area of Flat as per Builder area Sheet."))</f>
        <v>We have considered Saleable area of Flats as per our Calculation.</v>
      </c>
      <c r="C571" s="89"/>
      <c r="D571" s="89"/>
      <c r="E571" s="89"/>
      <c r="F571" s="89"/>
      <c r="G571" s="89"/>
      <c r="H571" s="90"/>
    </row>
    <row r="572" spans="1:14" s="32" customFormat="1" hidden="1" x14ac:dyDescent="0.25">
      <c r="A572" s="40" t="s">
        <v>148</v>
      </c>
      <c r="B572" s="88" t="str">
        <f>(IF(F232="Saleable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572" s="89"/>
      <c r="D572" s="89"/>
      <c r="E572" s="89"/>
      <c r="F572" s="89"/>
      <c r="G572" s="89"/>
      <c r="H572" s="90"/>
    </row>
    <row r="573" spans="1:14" s="32" customFormat="1" x14ac:dyDescent="0.25">
      <c r="A573" s="40" t="s">
        <v>148</v>
      </c>
      <c r="B573" s="100" t="s">
        <v>118</v>
      </c>
      <c r="C573" s="101"/>
      <c r="D573" s="101"/>
      <c r="E573" s="101"/>
      <c r="F573" s="101"/>
      <c r="G573" s="101"/>
      <c r="H573" s="102"/>
    </row>
    <row r="574" spans="1:14" s="32" customFormat="1" x14ac:dyDescent="0.25">
      <c r="A574" s="40" t="s">
        <v>148</v>
      </c>
      <c r="B574" s="100" t="s">
        <v>170</v>
      </c>
      <c r="C574" s="101"/>
      <c r="D574" s="101"/>
      <c r="E574" s="101"/>
      <c r="F574" s="101"/>
      <c r="G574" s="101"/>
      <c r="H574" s="102"/>
    </row>
    <row r="575" spans="1:14" s="32" customFormat="1" x14ac:dyDescent="0.25">
      <c r="A575" s="40" t="s">
        <v>148</v>
      </c>
      <c r="B575" s="100" t="s">
        <v>147</v>
      </c>
      <c r="C575" s="101"/>
      <c r="D575" s="101"/>
      <c r="E575" s="101"/>
      <c r="F575" s="101"/>
      <c r="G575" s="101"/>
      <c r="H575" s="102"/>
    </row>
    <row r="576" spans="1:14" s="32" customFormat="1" x14ac:dyDescent="0.25">
      <c r="A576" s="40" t="s">
        <v>148</v>
      </c>
      <c r="B576" s="100" t="s">
        <v>119</v>
      </c>
      <c r="C576" s="101"/>
      <c r="D576" s="101"/>
      <c r="E576" s="101"/>
      <c r="F576" s="101"/>
      <c r="G576" s="101"/>
      <c r="H576" s="102"/>
    </row>
    <row r="577" spans="1:10" s="32" customFormat="1" ht="34.5" customHeight="1" x14ac:dyDescent="0.25">
      <c r="A577" s="40" t="s">
        <v>148</v>
      </c>
      <c r="B577" s="100" t="s">
        <v>149</v>
      </c>
      <c r="C577" s="101"/>
      <c r="D577" s="101"/>
      <c r="E577" s="101"/>
      <c r="F577" s="101"/>
      <c r="G577" s="101"/>
      <c r="H577" s="102"/>
    </row>
    <row r="578" spans="1:10" s="32" customFormat="1" x14ac:dyDescent="0.25">
      <c r="A578" s="40" t="s">
        <v>148</v>
      </c>
      <c r="B578" s="100" t="s">
        <v>120</v>
      </c>
      <c r="C578" s="101"/>
      <c r="D578" s="101"/>
      <c r="E578" s="101"/>
      <c r="F578" s="101"/>
      <c r="G578" s="101"/>
      <c r="H578" s="102"/>
    </row>
    <row r="579" spans="1:10" s="32" customFormat="1" ht="51" customHeight="1" x14ac:dyDescent="0.25">
      <c r="A579" s="40" t="s">
        <v>148</v>
      </c>
      <c r="B579" s="100" t="s">
        <v>188</v>
      </c>
      <c r="C579" s="101"/>
      <c r="D579" s="101"/>
      <c r="E579" s="101"/>
      <c r="F579" s="101"/>
      <c r="G579" s="101"/>
      <c r="H579" s="102"/>
    </row>
    <row r="580" spans="1:10" s="32" customFormat="1" hidden="1" x14ac:dyDescent="0.25">
      <c r="A580" s="65" t="s">
        <v>148</v>
      </c>
      <c r="B580" s="84" t="s">
        <v>260</v>
      </c>
      <c r="C580" s="85"/>
      <c r="D580" s="85"/>
      <c r="E580" s="85"/>
      <c r="F580" s="85"/>
      <c r="G580" s="85"/>
      <c r="H580" s="86"/>
    </row>
    <row r="581" spans="1:10" s="32" customFormat="1" hidden="1" x14ac:dyDescent="0.25">
      <c r="A581" s="65" t="s">
        <v>148</v>
      </c>
      <c r="B581" s="84" t="s">
        <v>199</v>
      </c>
      <c r="C581" s="85"/>
      <c r="D581" s="85"/>
      <c r="E581" s="85"/>
      <c r="F581" s="85"/>
      <c r="G581" s="85"/>
      <c r="H581" s="86"/>
    </row>
    <row r="582" spans="1:10" s="32" customFormat="1" hidden="1" x14ac:dyDescent="0.25">
      <c r="A582" s="65" t="s">
        <v>148</v>
      </c>
      <c r="B582" s="84" t="s">
        <v>211</v>
      </c>
      <c r="C582" s="85"/>
      <c r="D582" s="85"/>
      <c r="E582" s="85"/>
      <c r="F582" s="85"/>
      <c r="G582" s="85"/>
      <c r="H582" s="86"/>
    </row>
    <row r="583" spans="1:10" s="32" customFormat="1" hidden="1" x14ac:dyDescent="0.25">
      <c r="A583" s="65" t="s">
        <v>148</v>
      </c>
      <c r="B583" s="84" t="s">
        <v>225</v>
      </c>
      <c r="C583" s="85"/>
      <c r="D583" s="85"/>
      <c r="E583" s="85"/>
      <c r="F583" s="85"/>
      <c r="G583" s="85"/>
      <c r="H583" s="86"/>
    </row>
    <row r="584" spans="1:10" s="32" customFormat="1" hidden="1" x14ac:dyDescent="0.25">
      <c r="A584" s="65" t="s">
        <v>148</v>
      </c>
      <c r="B584" s="84" t="s">
        <v>315</v>
      </c>
      <c r="C584" s="85"/>
      <c r="D584" s="85"/>
      <c r="E584" s="85"/>
      <c r="F584" s="85"/>
      <c r="G584" s="85"/>
      <c r="H584" s="86"/>
    </row>
    <row r="585" spans="1:10" s="32" customFormat="1" hidden="1" x14ac:dyDescent="0.25">
      <c r="A585" s="65" t="s">
        <v>148</v>
      </c>
      <c r="B585" s="84" t="s">
        <v>314</v>
      </c>
      <c r="C585" s="85"/>
      <c r="D585" s="85"/>
      <c r="E585" s="85"/>
      <c r="F585" s="85"/>
      <c r="G585" s="85"/>
      <c r="H585" s="86"/>
    </row>
    <row r="586" spans="1:10" s="32" customFormat="1" ht="30.6" hidden="1" customHeight="1" x14ac:dyDescent="0.25">
      <c r="A586" s="65" t="s">
        <v>148</v>
      </c>
      <c r="B586" s="256" t="s">
        <v>261</v>
      </c>
      <c r="C586" s="256"/>
      <c r="D586" s="256" t="s">
        <v>263</v>
      </c>
      <c r="E586" s="256"/>
      <c r="F586" s="256"/>
      <c r="G586" s="256"/>
      <c r="H586" s="256"/>
    </row>
    <row r="587" spans="1:10" s="32" customFormat="1" ht="31.15" hidden="1" customHeight="1" x14ac:dyDescent="0.25">
      <c r="A587" s="65" t="s">
        <v>148</v>
      </c>
      <c r="B587" s="256" t="s">
        <v>262</v>
      </c>
      <c r="C587" s="256"/>
      <c r="D587" s="256" t="s">
        <v>264</v>
      </c>
      <c r="E587" s="256"/>
      <c r="F587" s="256"/>
      <c r="G587" s="256"/>
      <c r="H587" s="256"/>
    </row>
    <row r="588" spans="1:10" s="32" customFormat="1" ht="15.75" hidden="1" customHeight="1" x14ac:dyDescent="0.25">
      <c r="A588" s="65" t="s">
        <v>148</v>
      </c>
      <c r="B588" s="88" t="s">
        <v>291</v>
      </c>
      <c r="C588" s="89"/>
      <c r="D588" s="89"/>
      <c r="E588" s="89"/>
      <c r="F588" s="89"/>
      <c r="G588" s="89"/>
      <c r="H588" s="90"/>
    </row>
    <row r="589" spans="1:10" s="32" customFormat="1" ht="15.75" hidden="1" customHeight="1" x14ac:dyDescent="0.25">
      <c r="A589" s="65" t="s">
        <v>148</v>
      </c>
      <c r="B589" s="88" t="s">
        <v>280</v>
      </c>
      <c r="C589" s="89"/>
      <c r="D589" s="89"/>
      <c r="E589" s="89"/>
      <c r="F589" s="89"/>
      <c r="G589" s="89"/>
      <c r="H589" s="90"/>
    </row>
    <row r="590" spans="1:10" s="32" customFormat="1" x14ac:dyDescent="0.25">
      <c r="A590" s="65" t="s">
        <v>148</v>
      </c>
      <c r="B590" s="88" t="s">
        <v>289</v>
      </c>
      <c r="C590" s="89"/>
      <c r="D590" s="89"/>
      <c r="E590" s="89"/>
      <c r="F590" s="89"/>
      <c r="G590" s="89"/>
      <c r="H590" s="90"/>
      <c r="J590" s="75" t="s">
        <v>285</v>
      </c>
    </row>
    <row r="591" spans="1:10" s="32" customFormat="1" x14ac:dyDescent="0.25">
      <c r="A591" s="65" t="s">
        <v>148</v>
      </c>
      <c r="B591" s="88" t="s">
        <v>286</v>
      </c>
      <c r="C591" s="89"/>
      <c r="D591" s="89"/>
      <c r="E591" s="89"/>
      <c r="F591" s="89"/>
      <c r="G591" s="89"/>
      <c r="H591" s="90"/>
    </row>
    <row r="592" spans="1:10" s="32" customFormat="1" x14ac:dyDescent="0.25">
      <c r="A592" s="65" t="s">
        <v>148</v>
      </c>
      <c r="B592" s="88" t="s">
        <v>283</v>
      </c>
      <c r="C592" s="89"/>
      <c r="D592" s="89"/>
      <c r="E592" s="89"/>
      <c r="F592" s="89"/>
      <c r="G592" s="89"/>
      <c r="H592" s="90"/>
    </row>
    <row r="593" spans="1:8" s="32" customFormat="1" hidden="1" x14ac:dyDescent="0.25">
      <c r="A593" s="65" t="s">
        <v>148</v>
      </c>
      <c r="B593" s="84" t="s">
        <v>316</v>
      </c>
      <c r="C593" s="85"/>
      <c r="D593" s="85"/>
      <c r="E593" s="85"/>
      <c r="F593" s="85"/>
      <c r="G593" s="85"/>
      <c r="H593" s="86"/>
    </row>
    <row r="594" spans="1:8" s="32" customFormat="1" x14ac:dyDescent="0.25">
      <c r="A594" s="65" t="s">
        <v>148</v>
      </c>
      <c r="B594" s="84" t="s">
        <v>313</v>
      </c>
      <c r="C594" s="85"/>
      <c r="D594" s="85"/>
      <c r="E594" s="85"/>
      <c r="F594" s="85"/>
      <c r="G594" s="85"/>
      <c r="H594" s="86"/>
    </row>
    <row r="595" spans="1:8" s="32" customFormat="1" hidden="1" x14ac:dyDescent="0.25">
      <c r="A595" s="65" t="s">
        <v>148</v>
      </c>
      <c r="B595" s="84" t="s">
        <v>322</v>
      </c>
      <c r="C595" s="85"/>
      <c r="D595" s="85"/>
      <c r="E595" s="85"/>
      <c r="F595" s="85"/>
      <c r="G595" s="85"/>
      <c r="H595" s="86"/>
    </row>
    <row r="596" spans="1:8" s="32" customFormat="1" hidden="1" x14ac:dyDescent="0.25">
      <c r="A596" s="65" t="s">
        <v>148</v>
      </c>
      <c r="B596" s="84" t="s">
        <v>323</v>
      </c>
      <c r="C596" s="85"/>
      <c r="D596" s="85"/>
      <c r="E596" s="85"/>
      <c r="F596" s="85"/>
      <c r="G596" s="85"/>
      <c r="H596" s="86"/>
    </row>
    <row r="597" spans="1:8" s="32" customFormat="1" ht="31.9" customHeight="1" x14ac:dyDescent="0.25">
      <c r="A597" s="65" t="s">
        <v>148</v>
      </c>
      <c r="B597" s="84" t="s">
        <v>351</v>
      </c>
      <c r="C597" s="85"/>
      <c r="D597" s="85"/>
      <c r="E597" s="85"/>
      <c r="F597" s="85"/>
      <c r="G597" s="85"/>
      <c r="H597" s="86"/>
    </row>
    <row r="598" spans="1:8" s="32" customFormat="1" x14ac:dyDescent="0.25">
      <c r="A598" s="65" t="s">
        <v>148</v>
      </c>
      <c r="B598" s="84" t="s">
        <v>356</v>
      </c>
      <c r="C598" s="85"/>
      <c r="D598" s="85"/>
      <c r="E598" s="85"/>
      <c r="F598" s="85"/>
      <c r="G598" s="85"/>
      <c r="H598" s="86"/>
    </row>
    <row r="599" spans="1:8" s="32" customFormat="1" x14ac:dyDescent="0.25">
      <c r="A599" s="65" t="s">
        <v>148</v>
      </c>
      <c r="B599" s="84" t="s">
        <v>361</v>
      </c>
      <c r="C599" s="85"/>
      <c r="D599" s="85"/>
      <c r="E599" s="85"/>
      <c r="F599" s="85"/>
      <c r="G599" s="85"/>
      <c r="H599" s="86"/>
    </row>
    <row r="600" spans="1:8" s="32" customFormat="1" x14ac:dyDescent="0.25">
      <c r="A600" s="116" t="s">
        <v>309</v>
      </c>
      <c r="B600" s="117"/>
      <c r="C600" s="117"/>
      <c r="D600" s="117"/>
      <c r="E600" s="117"/>
      <c r="F600" s="117"/>
      <c r="G600" s="117"/>
      <c r="H600" s="118"/>
    </row>
    <row r="601" spans="1:8" x14ac:dyDescent="0.25">
      <c r="A601" s="142" t="s">
        <v>59</v>
      </c>
      <c r="B601" s="142"/>
      <c r="C601" s="142"/>
      <c r="D601" s="142"/>
      <c r="E601" s="142"/>
      <c r="F601" s="142"/>
      <c r="G601" s="142"/>
      <c r="H601" s="142"/>
    </row>
    <row r="602" spans="1:8" ht="15.75" customHeight="1" x14ac:dyDescent="0.25">
      <c r="A602" s="174" t="s">
        <v>60</v>
      </c>
      <c r="B602" s="174"/>
      <c r="C602" s="174"/>
      <c r="D602" s="174"/>
      <c r="E602" s="174"/>
      <c r="F602" s="174"/>
      <c r="G602" s="174"/>
      <c r="H602" s="174"/>
    </row>
    <row r="603" spans="1:8" x14ac:dyDescent="0.25">
      <c r="A603" s="142" t="s">
        <v>61</v>
      </c>
      <c r="B603" s="142"/>
      <c r="C603" s="142"/>
      <c r="D603" s="142"/>
      <c r="E603" s="142"/>
      <c r="F603" s="142"/>
      <c r="G603" s="142"/>
      <c r="H603" s="142"/>
    </row>
    <row r="604" spans="1:8" x14ac:dyDescent="0.25">
      <c r="A604" s="142" t="s">
        <v>62</v>
      </c>
      <c r="B604" s="142"/>
      <c r="C604" s="142"/>
      <c r="D604" s="142"/>
      <c r="E604" s="142"/>
      <c r="F604" s="142"/>
      <c r="G604" s="142"/>
      <c r="H604" s="142"/>
    </row>
    <row r="605" spans="1:8" x14ac:dyDescent="0.25">
      <c r="A605" s="142" t="s">
        <v>121</v>
      </c>
      <c r="B605" s="142"/>
      <c r="C605" s="142"/>
      <c r="D605" s="142"/>
      <c r="E605" s="142"/>
      <c r="F605" s="142"/>
      <c r="G605" s="142"/>
      <c r="H605" s="142"/>
    </row>
    <row r="606" spans="1:8" x14ac:dyDescent="0.25">
      <c r="A606" s="159" t="s">
        <v>122</v>
      </c>
      <c r="B606" s="159"/>
      <c r="C606" s="159"/>
      <c r="D606" s="159"/>
      <c r="E606" s="159"/>
      <c r="F606" s="159"/>
      <c r="G606" s="159"/>
      <c r="H606" s="159"/>
    </row>
    <row r="607" spans="1:8" x14ac:dyDescent="0.25">
      <c r="A607" s="204" t="s">
        <v>74</v>
      </c>
      <c r="B607" s="204"/>
      <c r="C607" s="204" t="s">
        <v>355</v>
      </c>
      <c r="D607" s="204"/>
      <c r="E607" s="204" t="s">
        <v>97</v>
      </c>
      <c r="F607" s="204"/>
      <c r="G607" s="205" t="s">
        <v>335</v>
      </c>
      <c r="H607" s="205"/>
    </row>
    <row r="608" spans="1:8" x14ac:dyDescent="0.25">
      <c r="A608" s="203" t="s">
        <v>76</v>
      </c>
      <c r="B608" s="203"/>
      <c r="C608" s="203"/>
      <c r="D608" s="203"/>
      <c r="E608" s="203"/>
      <c r="F608" s="203"/>
      <c r="G608" s="203"/>
      <c r="H608" s="203"/>
    </row>
    <row r="609" spans="1:8" x14ac:dyDescent="0.25">
      <c r="A609" s="203"/>
      <c r="B609" s="203"/>
      <c r="C609" s="203"/>
      <c r="D609" s="203"/>
      <c r="E609" s="203"/>
      <c r="F609" s="203"/>
      <c r="G609" s="203"/>
      <c r="H609" s="203"/>
    </row>
    <row r="610" spans="1:8" x14ac:dyDescent="0.25">
      <c r="A610" s="203"/>
      <c r="B610" s="203"/>
      <c r="C610" s="203"/>
      <c r="D610" s="203"/>
      <c r="E610" s="203"/>
      <c r="F610" s="203"/>
      <c r="G610" s="203"/>
      <c r="H610" s="203"/>
    </row>
    <row r="611" spans="1:8" x14ac:dyDescent="0.25">
      <c r="A611" s="34" t="s">
        <v>63</v>
      </c>
      <c r="B611" s="35"/>
      <c r="C611" s="35"/>
      <c r="D611" s="34" t="str">
        <f>E8</f>
        <v>Kalpataru Vivant (North &amp; South)</v>
      </c>
      <c r="F611" s="35"/>
      <c r="G611" s="35"/>
      <c r="H611" s="35"/>
    </row>
    <row r="612" spans="1:8" x14ac:dyDescent="0.25">
      <c r="A612" s="35"/>
      <c r="B612" s="35"/>
      <c r="C612" s="35"/>
      <c r="D612" s="35"/>
      <c r="E612" s="35"/>
      <c r="F612" s="35"/>
      <c r="G612" s="35"/>
      <c r="H612" s="35"/>
    </row>
    <row r="613" spans="1:8" x14ac:dyDescent="0.25">
      <c r="A613" s="35"/>
      <c r="B613" s="35"/>
      <c r="C613" s="35"/>
      <c r="D613" s="35"/>
      <c r="E613" s="35"/>
      <c r="F613" s="35"/>
      <c r="G613" s="35"/>
      <c r="H613" s="35"/>
    </row>
    <row r="614" spans="1:8" ht="15" customHeight="1" x14ac:dyDescent="0.25"/>
    <row r="655" spans="1:8" x14ac:dyDescent="0.25">
      <c r="A655" s="34" t="s">
        <v>63</v>
      </c>
      <c r="B655" s="35"/>
      <c r="C655" s="35"/>
      <c r="D655" s="34" t="str">
        <f>E8</f>
        <v>Kalpataru Vivant (North &amp; South)</v>
      </c>
      <c r="F655" s="35"/>
      <c r="G655" s="35"/>
      <c r="H655" s="35"/>
    </row>
    <row r="656" spans="1:8" x14ac:dyDescent="0.25">
      <c r="A656" s="35"/>
      <c r="B656" s="35"/>
      <c r="C656" s="35"/>
      <c r="D656" s="35"/>
      <c r="E656" s="35"/>
      <c r="F656" s="35"/>
      <c r="G656" s="35"/>
      <c r="H656" s="35"/>
    </row>
    <row r="657" spans="1:8" x14ac:dyDescent="0.25">
      <c r="A657" s="35"/>
      <c r="B657" s="35"/>
      <c r="C657" s="35"/>
      <c r="D657" s="35"/>
      <c r="E657" s="35"/>
      <c r="F657" s="35"/>
      <c r="G657" s="35"/>
      <c r="H657" s="35"/>
    </row>
    <row r="658" spans="1:8" ht="15" customHeight="1" x14ac:dyDescent="0.25"/>
    <row r="699" spans="1:1" x14ac:dyDescent="0.25">
      <c r="A699" s="37" t="s">
        <v>248</v>
      </c>
    </row>
    <row r="736" spans="1:1" x14ac:dyDescent="0.25">
      <c r="A736" s="37" t="s">
        <v>64</v>
      </c>
    </row>
  </sheetData>
  <mergeCells count="916">
    <mergeCell ref="B584:H584"/>
    <mergeCell ref="B585:H585"/>
    <mergeCell ref="B582:H582"/>
    <mergeCell ref="A537:B537"/>
    <mergeCell ref="B577:H577"/>
    <mergeCell ref="C561:F561"/>
    <mergeCell ref="A540:H540"/>
    <mergeCell ref="A541:H541"/>
    <mergeCell ref="E223:F223"/>
    <mergeCell ref="G223:H223"/>
    <mergeCell ref="A248:B248"/>
    <mergeCell ref="A215:B215"/>
    <mergeCell ref="A217:B217"/>
    <mergeCell ref="C217:D217"/>
    <mergeCell ref="E217:F217"/>
    <mergeCell ref="C229:D229"/>
    <mergeCell ref="B598:H598"/>
    <mergeCell ref="A510:B510"/>
    <mergeCell ref="A511:B511"/>
    <mergeCell ref="G508:H511"/>
    <mergeCell ref="C510:F511"/>
    <mergeCell ref="A528:B528"/>
    <mergeCell ref="C528:F529"/>
    <mergeCell ref="A529:B529"/>
    <mergeCell ref="G526:H529"/>
    <mergeCell ref="A544:H544"/>
    <mergeCell ref="A545:B545"/>
    <mergeCell ref="G545:H548"/>
    <mergeCell ref="A546:B546"/>
    <mergeCell ref="A547:B547"/>
    <mergeCell ref="A548:B548"/>
    <mergeCell ref="A543:H543"/>
    <mergeCell ref="A243:H243"/>
    <mergeCell ref="A250:B250"/>
    <mergeCell ref="A251:B251"/>
    <mergeCell ref="C249:F250"/>
    <mergeCell ref="G247:H251"/>
    <mergeCell ref="A246:H246"/>
    <mergeCell ref="A247:B247"/>
    <mergeCell ref="A244:H244"/>
    <mergeCell ref="A245:H245"/>
    <mergeCell ref="A249:B249"/>
    <mergeCell ref="A266:B266"/>
    <mergeCell ref="A268:B268"/>
    <mergeCell ref="A269:B269"/>
    <mergeCell ref="C261:F262"/>
    <mergeCell ref="A262:B262"/>
    <mergeCell ref="A263:B263"/>
    <mergeCell ref="A252:H252"/>
    <mergeCell ref="A253:B253"/>
    <mergeCell ref="A258:H258"/>
    <mergeCell ref="A255:B255"/>
    <mergeCell ref="A259:B259"/>
    <mergeCell ref="G259:H263"/>
    <mergeCell ref="A260:B260"/>
    <mergeCell ref="A261:B261"/>
    <mergeCell ref="B596:H596"/>
    <mergeCell ref="B597:H597"/>
    <mergeCell ref="B594:H594"/>
    <mergeCell ref="B588:H588"/>
    <mergeCell ref="B590:H590"/>
    <mergeCell ref="B591:H591"/>
    <mergeCell ref="C65:H65"/>
    <mergeCell ref="A472:B472"/>
    <mergeCell ref="G468:H472"/>
    <mergeCell ref="C472:F472"/>
    <mergeCell ref="A478:B478"/>
    <mergeCell ref="B593:H593"/>
    <mergeCell ref="B586:C586"/>
    <mergeCell ref="B587:C587"/>
    <mergeCell ref="D586:H586"/>
    <mergeCell ref="D587:H587"/>
    <mergeCell ref="A275:B275"/>
    <mergeCell ref="A552:B552"/>
    <mergeCell ref="A553:B553"/>
    <mergeCell ref="G550:H553"/>
    <mergeCell ref="A503:H503"/>
    <mergeCell ref="A504:H504"/>
    <mergeCell ref="A265:B265"/>
    <mergeCell ref="G265:H269"/>
    <mergeCell ref="A458:H458"/>
    <mergeCell ref="A459:B459"/>
    <mergeCell ref="G459:H463"/>
    <mergeCell ref="A460:B460"/>
    <mergeCell ref="A461:B461"/>
    <mergeCell ref="A520:B520"/>
    <mergeCell ref="A521:B521"/>
    <mergeCell ref="A508:B508"/>
    <mergeCell ref="A509:B509"/>
    <mergeCell ref="A512:H512"/>
    <mergeCell ref="A513:B513"/>
    <mergeCell ref="A463:B463"/>
    <mergeCell ref="A505:H505"/>
    <mergeCell ref="A506:H506"/>
    <mergeCell ref="A507:H507"/>
    <mergeCell ref="A473:H473"/>
    <mergeCell ref="A474:B474"/>
    <mergeCell ref="A495:B495"/>
    <mergeCell ref="A496:B496"/>
    <mergeCell ref="A464:H464"/>
    <mergeCell ref="A492:B492"/>
    <mergeCell ref="G492:H496"/>
    <mergeCell ref="A465:H465"/>
    <mergeCell ref="A466:H466"/>
    <mergeCell ref="A57:B58"/>
    <mergeCell ref="C57:E57"/>
    <mergeCell ref="G57:H57"/>
    <mergeCell ref="C58:E58"/>
    <mergeCell ref="A96:B96"/>
    <mergeCell ref="E184:F184"/>
    <mergeCell ref="G184:H184"/>
    <mergeCell ref="A185:B185"/>
    <mergeCell ref="E185:F194"/>
    <mergeCell ref="G185:H194"/>
    <mergeCell ref="A186:B186"/>
    <mergeCell ref="A193:B193"/>
    <mergeCell ref="A194:B194"/>
    <mergeCell ref="A184:B184"/>
    <mergeCell ref="A181:B181"/>
    <mergeCell ref="C181:H181"/>
    <mergeCell ref="A183:B183"/>
    <mergeCell ref="C183:H183"/>
    <mergeCell ref="A139:B139"/>
    <mergeCell ref="C139:H139"/>
    <mergeCell ref="A141:B141"/>
    <mergeCell ref="C141:H141"/>
    <mergeCell ref="A142:B142"/>
    <mergeCell ref="G58:H58"/>
    <mergeCell ref="A267:B267"/>
    <mergeCell ref="A542:H542"/>
    <mergeCell ref="A524:H524"/>
    <mergeCell ref="A53:B54"/>
    <mergeCell ref="C53:E53"/>
    <mergeCell ref="G53:H53"/>
    <mergeCell ref="C54:E54"/>
    <mergeCell ref="G54:H54"/>
    <mergeCell ref="C83:H83"/>
    <mergeCell ref="A85:B85"/>
    <mergeCell ref="C85:H85"/>
    <mergeCell ref="A72:C75"/>
    <mergeCell ref="A77:C77"/>
    <mergeCell ref="A71:C71"/>
    <mergeCell ref="G61:H61"/>
    <mergeCell ref="D70:H70"/>
    <mergeCell ref="A78:C78"/>
    <mergeCell ref="D78:H78"/>
    <mergeCell ref="A55:B56"/>
    <mergeCell ref="C55:E55"/>
    <mergeCell ref="G55:H55"/>
    <mergeCell ref="C56:E56"/>
    <mergeCell ref="A264:H264"/>
    <mergeCell ref="G56:H56"/>
    <mergeCell ref="A317:B317"/>
    <mergeCell ref="G360:H365"/>
    <mergeCell ref="A361:B361"/>
    <mergeCell ref="A347:B347"/>
    <mergeCell ref="A348:B348"/>
    <mergeCell ref="A349:B349"/>
    <mergeCell ref="A345:H345"/>
    <mergeCell ref="A346:B346"/>
    <mergeCell ref="A446:H446"/>
    <mergeCell ref="A276:H276"/>
    <mergeCell ref="A277:B277"/>
    <mergeCell ref="G277:H281"/>
    <mergeCell ref="A278:B278"/>
    <mergeCell ref="A279:B279"/>
    <mergeCell ref="A280:B280"/>
    <mergeCell ref="A281:B281"/>
    <mergeCell ref="A326:B326"/>
    <mergeCell ref="A331:H331"/>
    <mergeCell ref="G325:H330"/>
    <mergeCell ref="C325:F325"/>
    <mergeCell ref="A315:H315"/>
    <mergeCell ref="A287:B287"/>
    <mergeCell ref="A329:B329"/>
    <mergeCell ref="A288:B288"/>
    <mergeCell ref="A289:B289"/>
    <mergeCell ref="A290:B290"/>
    <mergeCell ref="G286:H290"/>
    <mergeCell ref="C288:F290"/>
    <mergeCell ref="A294:B294"/>
    <mergeCell ref="C294:F296"/>
    <mergeCell ref="A295:B295"/>
    <mergeCell ref="A296:B296"/>
    <mergeCell ref="G292:H296"/>
    <mergeCell ref="A319:B319"/>
    <mergeCell ref="A320:B320"/>
    <mergeCell ref="C429:F429"/>
    <mergeCell ref="A430:B430"/>
    <mergeCell ref="C430:F430"/>
    <mergeCell ref="A429:B429"/>
    <mergeCell ref="A325:B325"/>
    <mergeCell ref="A351:B351"/>
    <mergeCell ref="A366:H366"/>
    <mergeCell ref="A340:B340"/>
    <mergeCell ref="A338:H338"/>
    <mergeCell ref="A354:B354"/>
    <mergeCell ref="C340:F340"/>
    <mergeCell ref="A341:B341"/>
    <mergeCell ref="C228:D228"/>
    <mergeCell ref="E228:F228"/>
    <mergeCell ref="G238:H238"/>
    <mergeCell ref="F200:H200"/>
    <mergeCell ref="E214:F214"/>
    <mergeCell ref="A211:E211"/>
    <mergeCell ref="F211:H211"/>
    <mergeCell ref="A199:E199"/>
    <mergeCell ref="F203:H203"/>
    <mergeCell ref="A204:E204"/>
    <mergeCell ref="A214:B214"/>
    <mergeCell ref="F207:H207"/>
    <mergeCell ref="C214:D214"/>
    <mergeCell ref="F210:H210"/>
    <mergeCell ref="F208:H208"/>
    <mergeCell ref="G214:H214"/>
    <mergeCell ref="A209:E209"/>
    <mergeCell ref="F209:H209"/>
    <mergeCell ref="C215:D215"/>
    <mergeCell ref="E215:F215"/>
    <mergeCell ref="G228:H228"/>
    <mergeCell ref="A230:H230"/>
    <mergeCell ref="A231:H231"/>
    <mergeCell ref="C223:D223"/>
    <mergeCell ref="L535:M535"/>
    <mergeCell ref="A240:A241"/>
    <mergeCell ref="A293:B293"/>
    <mergeCell ref="C240:C241"/>
    <mergeCell ref="G339:H344"/>
    <mergeCell ref="A236:B236"/>
    <mergeCell ref="A237:B237"/>
    <mergeCell ref="A238:B238"/>
    <mergeCell ref="G235:H235"/>
    <mergeCell ref="G236:H236"/>
    <mergeCell ref="A271:B271"/>
    <mergeCell ref="G271:H275"/>
    <mergeCell ref="A272:B272"/>
    <mergeCell ref="A453:B453"/>
    <mergeCell ref="A452:H452"/>
    <mergeCell ref="G453:H457"/>
    <mergeCell ref="A298:B298"/>
    <mergeCell ref="A285:H285"/>
    <mergeCell ref="A286:B286"/>
    <mergeCell ref="A441:B441"/>
    <mergeCell ref="A291:H291"/>
    <mergeCell ref="A297:H297"/>
    <mergeCell ref="A301:B301"/>
    <mergeCell ref="A292:B292"/>
    <mergeCell ref="L564:M564"/>
    <mergeCell ref="A554:H554"/>
    <mergeCell ref="A555:B555"/>
    <mergeCell ref="G555:H558"/>
    <mergeCell ref="A556:B556"/>
    <mergeCell ref="A557:B557"/>
    <mergeCell ref="A558:B558"/>
    <mergeCell ref="A559:H559"/>
    <mergeCell ref="L559:M559"/>
    <mergeCell ref="A560:B560"/>
    <mergeCell ref="G560:H563"/>
    <mergeCell ref="A561:B561"/>
    <mergeCell ref="A562:B562"/>
    <mergeCell ref="A563:B563"/>
    <mergeCell ref="A564:H564"/>
    <mergeCell ref="C556:F556"/>
    <mergeCell ref="E114:F114"/>
    <mergeCell ref="G114:H114"/>
    <mergeCell ref="A115:B115"/>
    <mergeCell ref="E115:F124"/>
    <mergeCell ref="A134:B134"/>
    <mergeCell ref="G87:H96"/>
    <mergeCell ref="G115:H124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E87:F96"/>
    <mergeCell ref="A110:B110"/>
    <mergeCell ref="A107:B107"/>
    <mergeCell ref="A100:B100"/>
    <mergeCell ref="A103:B103"/>
    <mergeCell ref="A108:B108"/>
    <mergeCell ref="G101:H110"/>
    <mergeCell ref="A111:B111"/>
    <mergeCell ref="C111:H111"/>
    <mergeCell ref="A113:B113"/>
    <mergeCell ref="C113:H113"/>
    <mergeCell ref="A88:B88"/>
    <mergeCell ref="A89:B89"/>
    <mergeCell ref="B575:H575"/>
    <mergeCell ref="A534:B534"/>
    <mergeCell ref="G531:H534"/>
    <mergeCell ref="G536:H539"/>
    <mergeCell ref="A530:H530"/>
    <mergeCell ref="A531:B531"/>
    <mergeCell ref="A538:B538"/>
    <mergeCell ref="A539:B539"/>
    <mergeCell ref="A532:B532"/>
    <mergeCell ref="A533:B533"/>
    <mergeCell ref="A535:H535"/>
    <mergeCell ref="A550:B550"/>
    <mergeCell ref="A551:B551"/>
    <mergeCell ref="A565:B565"/>
    <mergeCell ref="G565:H568"/>
    <mergeCell ref="A566:B566"/>
    <mergeCell ref="A567:B567"/>
    <mergeCell ref="A568:B568"/>
    <mergeCell ref="A239:H239"/>
    <mergeCell ref="A42:D42"/>
    <mergeCell ref="A43:D43"/>
    <mergeCell ref="A44:H44"/>
    <mergeCell ref="D77:H77"/>
    <mergeCell ref="A282:H282"/>
    <mergeCell ref="A283:H283"/>
    <mergeCell ref="A284:H284"/>
    <mergeCell ref="A196:E196"/>
    <mergeCell ref="A234:H234"/>
    <mergeCell ref="E232:E233"/>
    <mergeCell ref="G232:H233"/>
    <mergeCell ref="G237:H237"/>
    <mergeCell ref="A195:E195"/>
    <mergeCell ref="F195:H195"/>
    <mergeCell ref="F204:H204"/>
    <mergeCell ref="F199:H199"/>
    <mergeCell ref="A205:E205"/>
    <mergeCell ref="F205:H205"/>
    <mergeCell ref="A206:E206"/>
    <mergeCell ref="A208:E208"/>
    <mergeCell ref="F198:H198"/>
    <mergeCell ref="A213:H213"/>
    <mergeCell ref="A105:B105"/>
    <mergeCell ref="A229:B229"/>
    <mergeCell ref="A216:B216"/>
    <mergeCell ref="A210:E210"/>
    <mergeCell ref="C216:D216"/>
    <mergeCell ref="E216:F216"/>
    <mergeCell ref="G216:H216"/>
    <mergeCell ref="L238:M238"/>
    <mergeCell ref="L237:M237"/>
    <mergeCell ref="L236:M236"/>
    <mergeCell ref="L235:M235"/>
    <mergeCell ref="C221:D221"/>
    <mergeCell ref="E221:F221"/>
    <mergeCell ref="G221:H221"/>
    <mergeCell ref="D232:D233"/>
    <mergeCell ref="G217:H217"/>
    <mergeCell ref="C219:D219"/>
    <mergeCell ref="G219:H219"/>
    <mergeCell ref="F212:H212"/>
    <mergeCell ref="A212:E212"/>
    <mergeCell ref="A232:A233"/>
    <mergeCell ref="A218:H218"/>
    <mergeCell ref="C220:D220"/>
    <mergeCell ref="E220:F220"/>
    <mergeCell ref="G220:H220"/>
    <mergeCell ref="E226:F226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E10:F10"/>
    <mergeCell ref="G10:H10"/>
    <mergeCell ref="A76:C76"/>
    <mergeCell ref="A64:B65"/>
    <mergeCell ref="C64:E64"/>
    <mergeCell ref="G64:H64"/>
    <mergeCell ref="D71:H71"/>
    <mergeCell ref="D75:H75"/>
    <mergeCell ref="A69:C69"/>
    <mergeCell ref="A70:C70"/>
    <mergeCell ref="A66:B67"/>
    <mergeCell ref="C66:E66"/>
    <mergeCell ref="G66:H66"/>
    <mergeCell ref="C67:H67"/>
    <mergeCell ref="D72:H72"/>
    <mergeCell ref="D73:H73"/>
    <mergeCell ref="D74:H74"/>
    <mergeCell ref="B240:B241"/>
    <mergeCell ref="A523:H523"/>
    <mergeCell ref="B576:H576"/>
    <mergeCell ref="B572:H572"/>
    <mergeCell ref="B574:H574"/>
    <mergeCell ref="B232:B233"/>
    <mergeCell ref="E219:F219"/>
    <mergeCell ref="A299:B299"/>
    <mergeCell ref="A302:B302"/>
    <mergeCell ref="G298:H302"/>
    <mergeCell ref="A303:H303"/>
    <mergeCell ref="A304:B304"/>
    <mergeCell ref="A305:B305"/>
    <mergeCell ref="A306:B306"/>
    <mergeCell ref="C226:D226"/>
    <mergeCell ref="C396:F396"/>
    <mergeCell ref="C391:F392"/>
    <mergeCell ref="A404:H404"/>
    <mergeCell ref="A321:H321"/>
    <mergeCell ref="A270:H270"/>
    <mergeCell ref="A242:H242"/>
    <mergeCell ref="C339:F339"/>
    <mergeCell ref="E229:F229"/>
    <mergeCell ref="G229:H229"/>
    <mergeCell ref="A61:B61"/>
    <mergeCell ref="D76:H76"/>
    <mergeCell ref="A62:B63"/>
    <mergeCell ref="A318:B318"/>
    <mergeCell ref="A608:H610"/>
    <mergeCell ref="A607:B607"/>
    <mergeCell ref="E607:F607"/>
    <mergeCell ref="C607:D607"/>
    <mergeCell ref="G607:H607"/>
    <mergeCell ref="A606:H606"/>
    <mergeCell ref="A604:H604"/>
    <mergeCell ref="A307:B307"/>
    <mergeCell ref="A308:B308"/>
    <mergeCell ref="G304:H308"/>
    <mergeCell ref="B578:H578"/>
    <mergeCell ref="A68:H68"/>
    <mergeCell ref="A328:B328"/>
    <mergeCell ref="A114:B114"/>
    <mergeCell ref="C169:H169"/>
    <mergeCell ref="A207:E207"/>
    <mergeCell ref="A166:B166"/>
    <mergeCell ref="A101:B101"/>
    <mergeCell ref="G100:H100"/>
    <mergeCell ref="E101:F110"/>
    <mergeCell ref="A167:B167"/>
    <mergeCell ref="C167:H167"/>
    <mergeCell ref="A170:B170"/>
    <mergeCell ref="E170:F170"/>
    <mergeCell ref="G170:H170"/>
    <mergeCell ref="C125:H125"/>
    <mergeCell ref="A127:B127"/>
    <mergeCell ref="C127:H127"/>
    <mergeCell ref="A128:B128"/>
    <mergeCell ref="E128:F128"/>
    <mergeCell ref="G128:H128"/>
    <mergeCell ref="E142:F142"/>
    <mergeCell ref="G142:H142"/>
    <mergeCell ref="A143:B143"/>
    <mergeCell ref="E143:F152"/>
    <mergeCell ref="A149:B149"/>
    <mergeCell ref="A150:B150"/>
    <mergeCell ref="G143:H152"/>
    <mergeCell ref="A159:B159"/>
    <mergeCell ref="A160:B160"/>
    <mergeCell ref="A161:B161"/>
    <mergeCell ref="A162:B162"/>
    <mergeCell ref="A163:B163"/>
    <mergeCell ref="A164:B164"/>
    <mergeCell ref="E39:H39"/>
    <mergeCell ref="A39:D39"/>
    <mergeCell ref="A48:B48"/>
    <mergeCell ref="C48:E48"/>
    <mergeCell ref="C52:E52"/>
    <mergeCell ref="G52:H52"/>
    <mergeCell ref="G48:H48"/>
    <mergeCell ref="G51:H51"/>
    <mergeCell ref="D69:H69"/>
    <mergeCell ref="C51:E51"/>
    <mergeCell ref="A51:B52"/>
    <mergeCell ref="A45:B45"/>
    <mergeCell ref="C45:H45"/>
    <mergeCell ref="C62:E62"/>
    <mergeCell ref="G62:H62"/>
    <mergeCell ref="C63:E63"/>
    <mergeCell ref="G63:H63"/>
    <mergeCell ref="A40:D40"/>
    <mergeCell ref="E40:H40"/>
    <mergeCell ref="E41:H41"/>
    <mergeCell ref="E42:H42"/>
    <mergeCell ref="E43:H43"/>
    <mergeCell ref="A41:D41"/>
    <mergeCell ref="C61:E61"/>
    <mergeCell ref="A106:B106"/>
    <mergeCell ref="F196:H196"/>
    <mergeCell ref="G215:H215"/>
    <mergeCell ref="A300:B300"/>
    <mergeCell ref="C326:F326"/>
    <mergeCell ref="A332:B332"/>
    <mergeCell ref="C332:F332"/>
    <mergeCell ref="A368:B368"/>
    <mergeCell ref="A322:H322"/>
    <mergeCell ref="A323:H323"/>
    <mergeCell ref="A324:H324"/>
    <mergeCell ref="A327:B327"/>
    <mergeCell ref="A343:B343"/>
    <mergeCell ref="A344:B344"/>
    <mergeCell ref="A334:B334"/>
    <mergeCell ref="G332:H337"/>
    <mergeCell ref="A353:B353"/>
    <mergeCell ref="A125:B125"/>
    <mergeCell ref="C300:F301"/>
    <mergeCell ref="A309:H309"/>
    <mergeCell ref="A310:B310"/>
    <mergeCell ref="G310:H314"/>
    <mergeCell ref="A311:B311"/>
    <mergeCell ref="A312:B312"/>
    <mergeCell ref="A605:H605"/>
    <mergeCell ref="A602:H602"/>
    <mergeCell ref="A536:B536"/>
    <mergeCell ref="A219:B219"/>
    <mergeCell ref="D240:D241"/>
    <mergeCell ref="E240:E241"/>
    <mergeCell ref="G240:H241"/>
    <mergeCell ref="A313:B313"/>
    <mergeCell ref="A314:B314"/>
    <mergeCell ref="C227:D227"/>
    <mergeCell ref="E227:F227"/>
    <mergeCell ref="G227:H227"/>
    <mergeCell ref="A235:B235"/>
    <mergeCell ref="A603:H603"/>
    <mergeCell ref="A601:H601"/>
    <mergeCell ref="C255:F256"/>
    <mergeCell ref="A256:B256"/>
    <mergeCell ref="A257:B257"/>
    <mergeCell ref="G253:H257"/>
    <mergeCell ref="A254:B254"/>
    <mergeCell ref="A438:B438"/>
    <mergeCell ref="A443:B443"/>
    <mergeCell ref="A569:H569"/>
    <mergeCell ref="C232:C233"/>
    <mergeCell ref="F197:H197"/>
    <mergeCell ref="A197:E197"/>
    <mergeCell ref="C222:D222"/>
    <mergeCell ref="E222:F222"/>
    <mergeCell ref="A444:B444"/>
    <mergeCell ref="A442:B442"/>
    <mergeCell ref="G226:H226"/>
    <mergeCell ref="A337:B337"/>
    <mergeCell ref="A203:E203"/>
    <mergeCell ref="A412:B412"/>
    <mergeCell ref="A393:B393"/>
    <mergeCell ref="A394:B394"/>
    <mergeCell ref="A395:B395"/>
    <mergeCell ref="A403:B403"/>
    <mergeCell ref="A390:H390"/>
    <mergeCell ref="G391:H396"/>
    <mergeCell ref="A392:B392"/>
    <mergeCell ref="A362:B362"/>
    <mergeCell ref="A363:B363"/>
    <mergeCell ref="A364:B364"/>
    <mergeCell ref="A355:B355"/>
    <mergeCell ref="G346:H351"/>
    <mergeCell ref="A357:B357"/>
    <mergeCell ref="A339:B339"/>
    <mergeCell ref="G398:H403"/>
    <mergeCell ref="A370:B370"/>
    <mergeCell ref="A371:B371"/>
    <mergeCell ref="A396:B396"/>
    <mergeCell ref="A367:B367"/>
    <mergeCell ref="G367:H372"/>
    <mergeCell ref="A369:B369"/>
    <mergeCell ref="A384:B384"/>
    <mergeCell ref="A402:B402"/>
    <mergeCell ref="A387:B387"/>
    <mergeCell ref="A388:B388"/>
    <mergeCell ref="C369:F370"/>
    <mergeCell ref="A398:B398"/>
    <mergeCell ref="A79:C79"/>
    <mergeCell ref="D79:H79"/>
    <mergeCell ref="A82:C82"/>
    <mergeCell ref="D82:H82"/>
    <mergeCell ref="A80:C80"/>
    <mergeCell ref="D80:H80"/>
    <mergeCell ref="A99:B99"/>
    <mergeCell ref="A97:B97"/>
    <mergeCell ref="C97:H97"/>
    <mergeCell ref="A83:B83"/>
    <mergeCell ref="A86:B86"/>
    <mergeCell ref="E86:F86"/>
    <mergeCell ref="G86:H86"/>
    <mergeCell ref="A87:B87"/>
    <mergeCell ref="A90:B90"/>
    <mergeCell ref="A91:B91"/>
    <mergeCell ref="A92:B92"/>
    <mergeCell ref="A93:B93"/>
    <mergeCell ref="A94:B94"/>
    <mergeCell ref="A95:B95"/>
    <mergeCell ref="C99:H99"/>
    <mergeCell ref="A102:B102"/>
    <mergeCell ref="A104:B104"/>
    <mergeCell ref="E100:F100"/>
    <mergeCell ref="A129:B129"/>
    <mergeCell ref="A169:B169"/>
    <mergeCell ref="A165:B165"/>
    <mergeCell ref="A135:B135"/>
    <mergeCell ref="A136:B136"/>
    <mergeCell ref="A137:B137"/>
    <mergeCell ref="A138:B138"/>
    <mergeCell ref="A153:B153"/>
    <mergeCell ref="C153:H153"/>
    <mergeCell ref="A155:B155"/>
    <mergeCell ref="C155:H155"/>
    <mergeCell ref="A156:B156"/>
    <mergeCell ref="E156:F156"/>
    <mergeCell ref="G156:H156"/>
    <mergeCell ref="A144:B144"/>
    <mergeCell ref="A145:B145"/>
    <mergeCell ref="A146:B146"/>
    <mergeCell ref="A147:B147"/>
    <mergeCell ref="A151:B151"/>
    <mergeCell ref="A152:B152"/>
    <mergeCell ref="A148:B148"/>
    <mergeCell ref="A179:B179"/>
    <mergeCell ref="A157:B157"/>
    <mergeCell ref="E157:F166"/>
    <mergeCell ref="G157:H166"/>
    <mergeCell ref="A158:B158"/>
    <mergeCell ref="A350:B350"/>
    <mergeCell ref="A109:B109"/>
    <mergeCell ref="A81:C81"/>
    <mergeCell ref="D81:H81"/>
    <mergeCell ref="A274:B274"/>
    <mergeCell ref="A330:B330"/>
    <mergeCell ref="A333:B333"/>
    <mergeCell ref="C333:F333"/>
    <mergeCell ref="A335:B335"/>
    <mergeCell ref="A336:B336"/>
    <mergeCell ref="E129:F138"/>
    <mergeCell ref="G129:H138"/>
    <mergeCell ref="A130:B130"/>
    <mergeCell ref="A131:B131"/>
    <mergeCell ref="A132:B132"/>
    <mergeCell ref="A133:B133"/>
    <mergeCell ref="A273:B273"/>
    <mergeCell ref="A316:B316"/>
    <mergeCell ref="G316:H320"/>
    <mergeCell ref="A174:B174"/>
    <mergeCell ref="A175:B175"/>
    <mergeCell ref="A176:B176"/>
    <mergeCell ref="A177:B177"/>
    <mergeCell ref="A178:B178"/>
    <mergeCell ref="A549:H549"/>
    <mergeCell ref="C421:F422"/>
    <mergeCell ref="A422:B422"/>
    <mergeCell ref="A423:B423"/>
    <mergeCell ref="A424:B424"/>
    <mergeCell ref="A457:B457"/>
    <mergeCell ref="A434:H434"/>
    <mergeCell ref="A445:B445"/>
    <mergeCell ref="C441:F441"/>
    <mergeCell ref="C439:F439"/>
    <mergeCell ref="G435:H439"/>
    <mergeCell ref="C445:F445"/>
    <mergeCell ref="G441:H445"/>
    <mergeCell ref="A440:H440"/>
    <mergeCell ref="C442:F442"/>
    <mergeCell ref="A439:B439"/>
    <mergeCell ref="A435:B435"/>
    <mergeCell ref="C435:F435"/>
    <mergeCell ref="A436:B436"/>
    <mergeCell ref="C436:F436"/>
    <mergeCell ref="A437:B437"/>
    <mergeCell ref="A431:B431"/>
    <mergeCell ref="C432:F432"/>
    <mergeCell ref="A428:H428"/>
    <mergeCell ref="B599:H599"/>
    <mergeCell ref="A376:H376"/>
    <mergeCell ref="A377:B377"/>
    <mergeCell ref="C377:F377"/>
    <mergeCell ref="G377:H382"/>
    <mergeCell ref="A378:B378"/>
    <mergeCell ref="C378:F378"/>
    <mergeCell ref="A379:B379"/>
    <mergeCell ref="A380:B380"/>
    <mergeCell ref="A381:B381"/>
    <mergeCell ref="A382:B382"/>
    <mergeCell ref="C381:F382"/>
    <mergeCell ref="A389:B389"/>
    <mergeCell ref="C389:F389"/>
    <mergeCell ref="G384:H389"/>
    <mergeCell ref="C384:F384"/>
    <mergeCell ref="C385:F385"/>
    <mergeCell ref="A397:H397"/>
    <mergeCell ref="B583:H583"/>
    <mergeCell ref="A418:H418"/>
    <mergeCell ref="A419:B419"/>
    <mergeCell ref="G419:H424"/>
    <mergeCell ref="A420:B420"/>
    <mergeCell ref="A421:B421"/>
    <mergeCell ref="A426:H426"/>
    <mergeCell ref="A427:H427"/>
    <mergeCell ref="A399:B399"/>
    <mergeCell ref="A400:B400"/>
    <mergeCell ref="A401:B401"/>
    <mergeCell ref="A405:B405"/>
    <mergeCell ref="G405:H410"/>
    <mergeCell ref="A406:B406"/>
    <mergeCell ref="A407:B407"/>
    <mergeCell ref="A408:B408"/>
    <mergeCell ref="A409:B409"/>
    <mergeCell ref="A410:B410"/>
    <mergeCell ref="C414:F415"/>
    <mergeCell ref="A415:B415"/>
    <mergeCell ref="A416:B416"/>
    <mergeCell ref="G412:H417"/>
    <mergeCell ref="A413:B413"/>
    <mergeCell ref="A411:H411"/>
    <mergeCell ref="A414:B414"/>
    <mergeCell ref="A455:B455"/>
    <mergeCell ref="A432:B432"/>
    <mergeCell ref="A433:B433"/>
    <mergeCell ref="A391:B391"/>
    <mergeCell ref="A385:B385"/>
    <mergeCell ref="A386:B386"/>
    <mergeCell ref="A356:B356"/>
    <mergeCell ref="A342:B342"/>
    <mergeCell ref="A358:B358"/>
    <mergeCell ref="A352:H352"/>
    <mergeCell ref="A365:B365"/>
    <mergeCell ref="C362:F363"/>
    <mergeCell ref="A374:H374"/>
    <mergeCell ref="A375:H375"/>
    <mergeCell ref="G353:H358"/>
    <mergeCell ref="A359:H359"/>
    <mergeCell ref="A360:B360"/>
    <mergeCell ref="A372:B372"/>
    <mergeCell ref="A373:H373"/>
    <mergeCell ref="C433:F433"/>
    <mergeCell ref="G429:H433"/>
    <mergeCell ref="A383:H383"/>
    <mergeCell ref="A425:H425"/>
    <mergeCell ref="A417:B417"/>
    <mergeCell ref="B581:H581"/>
    <mergeCell ref="A451:B451"/>
    <mergeCell ref="A456:B456"/>
    <mergeCell ref="A447:B447"/>
    <mergeCell ref="G447:H451"/>
    <mergeCell ref="A450:B450"/>
    <mergeCell ref="A449:B449"/>
    <mergeCell ref="B579:H579"/>
    <mergeCell ref="A525:H525"/>
    <mergeCell ref="A526:B526"/>
    <mergeCell ref="A527:B527"/>
    <mergeCell ref="A517:H517"/>
    <mergeCell ref="A454:B454"/>
    <mergeCell ref="A448:B448"/>
    <mergeCell ref="B580:H580"/>
    <mergeCell ref="A462:B462"/>
    <mergeCell ref="A514:B514"/>
    <mergeCell ref="A518:B518"/>
    <mergeCell ref="G518:H521"/>
    <mergeCell ref="A519:B519"/>
    <mergeCell ref="A489:B489"/>
    <mergeCell ref="A515:B515"/>
    <mergeCell ref="A516:B516"/>
    <mergeCell ref="G513:H516"/>
    <mergeCell ref="A467:H467"/>
    <mergeCell ref="A468:B468"/>
    <mergeCell ref="A469:B469"/>
    <mergeCell ref="A470:B470"/>
    <mergeCell ref="A471:B471"/>
    <mergeCell ref="A479:H479"/>
    <mergeCell ref="G480:H484"/>
    <mergeCell ref="A481:B481"/>
    <mergeCell ref="A482:B482"/>
    <mergeCell ref="A484:B484"/>
    <mergeCell ref="C468:F469"/>
    <mergeCell ref="A475:B475"/>
    <mergeCell ref="C480:F481"/>
    <mergeCell ref="C478:F478"/>
    <mergeCell ref="G474:H478"/>
    <mergeCell ref="C474:F475"/>
    <mergeCell ref="A188:B188"/>
    <mergeCell ref="A189:B189"/>
    <mergeCell ref="A190:B190"/>
    <mergeCell ref="A191:B191"/>
    <mergeCell ref="A192:B192"/>
    <mergeCell ref="G225:H225"/>
    <mergeCell ref="A200:E200"/>
    <mergeCell ref="A171:B171"/>
    <mergeCell ref="E171:F180"/>
    <mergeCell ref="G171:H180"/>
    <mergeCell ref="A172:B172"/>
    <mergeCell ref="A173:B173"/>
    <mergeCell ref="A180:B180"/>
    <mergeCell ref="A187:B187"/>
    <mergeCell ref="A201:E201"/>
    <mergeCell ref="F201:H201"/>
    <mergeCell ref="A202:E202"/>
    <mergeCell ref="F202:H202"/>
    <mergeCell ref="G222:H222"/>
    <mergeCell ref="C224:D224"/>
    <mergeCell ref="E224:F224"/>
    <mergeCell ref="G224:H224"/>
    <mergeCell ref="A198:E198"/>
    <mergeCell ref="F206:H206"/>
    <mergeCell ref="A46:H46"/>
    <mergeCell ref="A59:H59"/>
    <mergeCell ref="A49:B49"/>
    <mergeCell ref="C49:E49"/>
    <mergeCell ref="G49:H49"/>
    <mergeCell ref="A50:B50"/>
    <mergeCell ref="C50:E50"/>
    <mergeCell ref="G50:H50"/>
    <mergeCell ref="A600:H600"/>
    <mergeCell ref="A486:B486"/>
    <mergeCell ref="G486:H490"/>
    <mergeCell ref="A498:B498"/>
    <mergeCell ref="G498:H502"/>
    <mergeCell ref="A480:B480"/>
    <mergeCell ref="A60:B60"/>
    <mergeCell ref="C60:E60"/>
    <mergeCell ref="G60:H60"/>
    <mergeCell ref="A47:B47"/>
    <mergeCell ref="C47:E47"/>
    <mergeCell ref="G47:H47"/>
    <mergeCell ref="A476:B476"/>
    <mergeCell ref="A477:B477"/>
    <mergeCell ref="A483:B483"/>
    <mergeCell ref="C484:F484"/>
    <mergeCell ref="B595:H595"/>
    <mergeCell ref="B570:D570"/>
    <mergeCell ref="E570:H570"/>
    <mergeCell ref="B589:H589"/>
    <mergeCell ref="B592:H592"/>
    <mergeCell ref="A220:A225"/>
    <mergeCell ref="A226:A228"/>
    <mergeCell ref="A499:B499"/>
    <mergeCell ref="A500:B500"/>
    <mergeCell ref="A501:B501"/>
    <mergeCell ref="A502:B502"/>
    <mergeCell ref="C225:D225"/>
    <mergeCell ref="E225:F225"/>
    <mergeCell ref="A485:H485"/>
    <mergeCell ref="A487:B487"/>
    <mergeCell ref="A488:B488"/>
    <mergeCell ref="A490:B490"/>
    <mergeCell ref="A491:H491"/>
    <mergeCell ref="B571:H571"/>
    <mergeCell ref="B573:H573"/>
    <mergeCell ref="A522:H522"/>
    <mergeCell ref="A497:H497"/>
    <mergeCell ref="A493:B493"/>
    <mergeCell ref="A494:B494"/>
  </mergeCells>
  <hyperlinks>
    <hyperlink ref="C36" r:id="rId1"/>
    <hyperlink ref="I79" display="https://www.kalpataru.com/mumbai/vivant?&amp;&amp;utm_source=Google&amp;utm_medium=CPC&amp;utm_campaign=SB_Kalpataru_Virtus_Google_Leads_Search_Brand_May24&amp;utm_term=kalpataru%20vivant&amp;gad_source=1&amp;gclid=Cj0KCQjwjY64BhCaARIsAIfc7YYEuk5HpGLXBt3Bd6fewYm7sJ9DKaAvJ6tBgOOqwn0r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82" max="7" man="1"/>
    <brk id="124" max="7" man="1"/>
    <brk id="166" max="7" man="1"/>
    <brk id="610" max="16383" man="1"/>
    <brk id="654" max="16383" man="1"/>
    <brk id="698" max="16383" man="1"/>
    <brk id="73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65" t="s">
        <v>98</v>
      </c>
      <c r="C3" s="265"/>
      <c r="D3" s="265"/>
      <c r="E3" s="265"/>
      <c r="F3" s="265"/>
      <c r="G3" s="265"/>
      <c r="H3" s="265"/>
    </row>
    <row r="4" spans="1:9" x14ac:dyDescent="0.25">
      <c r="A4" s="2"/>
      <c r="B4" s="3" t="s">
        <v>99</v>
      </c>
      <c r="C4" s="3" t="s">
        <v>100</v>
      </c>
      <c r="D4" s="3" t="s">
        <v>66</v>
      </c>
      <c r="E4" s="3" t="s">
        <v>101</v>
      </c>
      <c r="F4" s="3" t="s">
        <v>107</v>
      </c>
      <c r="G4" s="3" t="s">
        <v>108</v>
      </c>
      <c r="H4" s="3" t="s">
        <v>102</v>
      </c>
    </row>
    <row r="5" spans="1:9" ht="15" customHeight="1" x14ac:dyDescent="0.25">
      <c r="A5" s="2"/>
      <c r="B5" s="5" t="s">
        <v>103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105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106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2025-08-20T09:42:24Z</cp:lastPrinted>
  <dcterms:created xsi:type="dcterms:W3CDTF">2019-07-16T09:29:46Z</dcterms:created>
  <dcterms:modified xsi:type="dcterms:W3CDTF">2025-08-20T09:47:23Z</dcterms:modified>
</cp:coreProperties>
</file>