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
    </mc:Choice>
  </mc:AlternateContent>
  <bookViews>
    <workbookView showHorizontalScroll="0" showVerticalScroll="0" showSheetTabs="0" xWindow="0" yWindow="0" windowWidth="11280" windowHeight="59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Report!$A$1:$H$403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8" i="1" l="1"/>
  <c r="C97" i="1" l="1"/>
  <c r="C98" i="1" s="1"/>
  <c r="E185" i="1"/>
  <c r="D185" i="1"/>
  <c r="E184" i="1"/>
  <c r="D184" i="1"/>
  <c r="E182" i="1"/>
  <c r="D182" i="1"/>
  <c r="E181" i="1"/>
  <c r="D181" i="1"/>
  <c r="E180" i="1"/>
  <c r="D180" i="1"/>
  <c r="E179" i="1"/>
  <c r="D179" i="1"/>
  <c r="E178" i="1"/>
  <c r="D178" i="1"/>
  <c r="E177" i="1"/>
  <c r="D177" i="1"/>
  <c r="E171" i="1"/>
  <c r="D171" i="1"/>
  <c r="E170" i="1"/>
  <c r="E168" i="1"/>
  <c r="D168" i="1"/>
  <c r="E166" i="1"/>
  <c r="D166" i="1"/>
  <c r="E165" i="1"/>
  <c r="D165" i="1"/>
  <c r="E175" i="1" l="1"/>
  <c r="D175" i="1"/>
  <c r="E174" i="1"/>
  <c r="D174" i="1"/>
  <c r="E173" i="1"/>
  <c r="D173" i="1"/>
  <c r="F173" i="1" s="1"/>
  <c r="H173" i="1" s="1"/>
  <c r="J172" i="1"/>
  <c r="E172" i="1"/>
  <c r="D172" i="1"/>
  <c r="J171" i="1"/>
  <c r="F171" i="1"/>
  <c r="H171" i="1" s="1"/>
  <c r="A171" i="1"/>
  <c r="A172" i="1" s="1"/>
  <c r="A173" i="1" s="1"/>
  <c r="A174" i="1" s="1"/>
  <c r="A175" i="1" s="1"/>
  <c r="D170" i="1"/>
  <c r="F170" i="1" s="1"/>
  <c r="H170" i="1" s="1"/>
  <c r="F178" i="1"/>
  <c r="H178" i="1" s="1"/>
  <c r="F177" i="1"/>
  <c r="H177" i="1" s="1"/>
  <c r="J178" i="1"/>
  <c r="J179" i="1"/>
  <c r="E189" i="1"/>
  <c r="D189" i="1"/>
  <c r="E188" i="1"/>
  <c r="D188" i="1"/>
  <c r="F188" i="1" s="1"/>
  <c r="H188" i="1" s="1"/>
  <c r="E186" i="1"/>
  <c r="D186" i="1"/>
  <c r="F180" i="1"/>
  <c r="H180" i="1" s="1"/>
  <c r="F168" i="1"/>
  <c r="H168" i="1" s="1"/>
  <c r="E167" i="1"/>
  <c r="D167" i="1"/>
  <c r="E164" i="1"/>
  <c r="D164" i="1"/>
  <c r="E163" i="1"/>
  <c r="D163" i="1"/>
  <c r="E161" i="1"/>
  <c r="D161" i="1"/>
  <c r="E160" i="1"/>
  <c r="D160" i="1"/>
  <c r="F160" i="1" s="1"/>
  <c r="H160" i="1" s="1"/>
  <c r="E159" i="1"/>
  <c r="D159" i="1"/>
  <c r="E158" i="1"/>
  <c r="D158" i="1"/>
  <c r="E157" i="1"/>
  <c r="D157" i="1"/>
  <c r="A185" i="1"/>
  <c r="A186" i="1" s="1"/>
  <c r="A187" i="1" s="1"/>
  <c r="A188" i="1" s="1"/>
  <c r="A189" i="1" s="1"/>
  <c r="F184" i="1"/>
  <c r="H184" i="1" s="1"/>
  <c r="F182" i="1"/>
  <c r="H182" i="1" s="1"/>
  <c r="A178" i="1"/>
  <c r="A179" i="1" s="1"/>
  <c r="A180" i="1" s="1"/>
  <c r="A181" i="1" s="1"/>
  <c r="A182" i="1" s="1"/>
  <c r="F181" i="1"/>
  <c r="H181" i="1" s="1"/>
  <c r="F179" i="1"/>
  <c r="H179" i="1" s="1"/>
  <c r="J167" i="1"/>
  <c r="I165" i="1"/>
  <c r="I163" i="1"/>
  <c r="A164" i="1"/>
  <c r="A165" i="1" s="1"/>
  <c r="A166" i="1" s="1"/>
  <c r="A167" i="1" s="1"/>
  <c r="A168" i="1" s="1"/>
  <c r="F166" i="1"/>
  <c r="H166" i="1" s="1"/>
  <c r="F165" i="1"/>
  <c r="H165" i="1" s="1"/>
  <c r="I157" i="1"/>
  <c r="A158" i="1"/>
  <c r="A159" i="1" s="1"/>
  <c r="A160" i="1" s="1"/>
  <c r="A161" i="1" s="1"/>
  <c r="D65" i="1"/>
  <c r="G52" i="1"/>
  <c r="C16" i="1"/>
  <c r="H77" i="1"/>
  <c r="F158" i="1" l="1"/>
  <c r="H158" i="1" s="1"/>
  <c r="F186" i="1"/>
  <c r="H186" i="1" s="1"/>
  <c r="F172" i="1"/>
  <c r="H172" i="1" s="1"/>
  <c r="F167" i="1"/>
  <c r="H167" i="1" s="1"/>
  <c r="F189" i="1"/>
  <c r="H189" i="1" s="1"/>
  <c r="F161" i="1"/>
  <c r="H161" i="1" s="1"/>
  <c r="F175" i="1"/>
  <c r="H175" i="1" s="1"/>
  <c r="C138" i="1"/>
  <c r="F174" i="1"/>
  <c r="H174" i="1" s="1"/>
  <c r="F159" i="1"/>
  <c r="H159" i="1" s="1"/>
  <c r="F164" i="1"/>
  <c r="H164" i="1" s="1"/>
  <c r="F157" i="1"/>
  <c r="H157" i="1" s="1"/>
  <c r="J80" i="1"/>
  <c r="D88" i="1"/>
  <c r="D84" i="1"/>
  <c r="D87" i="1"/>
  <c r="D83" i="1"/>
  <c r="D86" i="1"/>
  <c r="D82" i="1"/>
  <c r="J79" i="1"/>
  <c r="J76" i="1"/>
  <c r="J78" i="1" s="1"/>
  <c r="J81" i="1"/>
  <c r="C80" i="1" s="1"/>
  <c r="D89" i="1"/>
  <c r="D85" i="1"/>
  <c r="B77" i="1"/>
  <c r="F185" i="1"/>
  <c r="H185" i="1" s="1"/>
  <c r="F163" i="1"/>
  <c r="H163" i="1" s="1"/>
  <c r="E214" i="1"/>
  <c r="D214" i="1"/>
  <c r="E213" i="1"/>
  <c r="D213" i="1"/>
  <c r="F213" i="1" s="1"/>
  <c r="H213" i="1" s="1"/>
  <c r="E212" i="1"/>
  <c r="D212" i="1"/>
  <c r="E211" i="1"/>
  <c r="D211" i="1"/>
  <c r="F211" i="1" s="1"/>
  <c r="H211" i="1" s="1"/>
  <c r="E210" i="1"/>
  <c r="D210" i="1"/>
  <c r="E209" i="1"/>
  <c r="D209" i="1"/>
  <c r="F209" i="1" s="1"/>
  <c r="H209" i="1" s="1"/>
  <c r="A209" i="1"/>
  <c r="A210" i="1" s="1"/>
  <c r="A211" i="1" s="1"/>
  <c r="A212" i="1" s="1"/>
  <c r="A213" i="1" s="1"/>
  <c r="A214" i="1" s="1"/>
  <c r="E208" i="1"/>
  <c r="D208" i="1"/>
  <c r="F214" i="1" l="1"/>
  <c r="H214" i="1" s="1"/>
  <c r="G138" i="1"/>
  <c r="D80" i="1"/>
  <c r="F208" i="1"/>
  <c r="H208" i="1" s="1"/>
  <c r="E138" i="1"/>
  <c r="J84" i="1"/>
  <c r="J86" i="1"/>
  <c r="J87" i="1"/>
  <c r="J82" i="1"/>
  <c r="J83" i="1" s="1"/>
  <c r="J88" i="1" s="1"/>
  <c r="J89" i="1" s="1"/>
  <c r="C81" i="1" s="1"/>
  <c r="J85" i="1"/>
  <c r="F212" i="1"/>
  <c r="H212" i="1" s="1"/>
  <c r="F210" i="1"/>
  <c r="H210" i="1" s="1"/>
  <c r="E221" i="1"/>
  <c r="D221" i="1"/>
  <c r="E220" i="1"/>
  <c r="D220" i="1"/>
  <c r="E219" i="1"/>
  <c r="D219" i="1"/>
  <c r="E218" i="1"/>
  <c r="D218" i="1"/>
  <c r="E216" i="1"/>
  <c r="D216" i="1"/>
  <c r="D200" i="1"/>
  <c r="D206" i="1"/>
  <c r="D205" i="1"/>
  <c r="D204" i="1"/>
  <c r="D203" i="1"/>
  <c r="D202" i="1"/>
  <c r="D201" i="1"/>
  <c r="E206" i="1"/>
  <c r="E205" i="1"/>
  <c r="E204" i="1"/>
  <c r="E203" i="1"/>
  <c r="E202" i="1"/>
  <c r="E201" i="1"/>
  <c r="E200" i="1"/>
  <c r="E198" i="1"/>
  <c r="D198" i="1"/>
  <c r="E197" i="1"/>
  <c r="D197" i="1"/>
  <c r="E196" i="1"/>
  <c r="D196" i="1"/>
  <c r="E195" i="1"/>
  <c r="D195" i="1"/>
  <c r="E193" i="1"/>
  <c r="D193" i="1"/>
  <c r="E192" i="1"/>
  <c r="D192" i="1"/>
  <c r="J194" i="1"/>
  <c r="A201" i="1"/>
  <c r="A202" i="1" s="1"/>
  <c r="A203" i="1" s="1"/>
  <c r="A204" i="1" s="1"/>
  <c r="A205" i="1" s="1"/>
  <c r="A206" i="1" s="1"/>
  <c r="A218" i="1"/>
  <c r="A219" i="1" s="1"/>
  <c r="A220" i="1" s="1"/>
  <c r="A221" i="1" s="1"/>
  <c r="A193" i="1"/>
  <c r="A194" i="1" s="1"/>
  <c r="A195" i="1" s="1"/>
  <c r="A196" i="1" s="1"/>
  <c r="A197" i="1" s="1"/>
  <c r="A198" i="1" s="1"/>
  <c r="F205" i="1" l="1"/>
  <c r="H205" i="1" s="1"/>
  <c r="D81" i="1"/>
  <c r="I77" i="1" s="1"/>
  <c r="I78" i="1" s="1"/>
  <c r="E80" i="1"/>
  <c r="J77" i="1"/>
  <c r="G80" i="1"/>
  <c r="C139" i="1"/>
  <c r="C140" i="1" s="1"/>
  <c r="F220" i="1"/>
  <c r="H220" i="1" s="1"/>
  <c r="F203" i="1"/>
  <c r="H203" i="1" s="1"/>
  <c r="F192" i="1"/>
  <c r="F221" i="1"/>
  <c r="H221" i="1" s="1"/>
  <c r="F200" i="1"/>
  <c r="H200" i="1" s="1"/>
  <c r="F202" i="1"/>
  <c r="H202" i="1" s="1"/>
  <c r="F193" i="1"/>
  <c r="H193" i="1" s="1"/>
  <c r="F201" i="1"/>
  <c r="H201" i="1" s="1"/>
  <c r="F219" i="1"/>
  <c r="H219" i="1" s="1"/>
  <c r="F216" i="1"/>
  <c r="H216" i="1" s="1"/>
  <c r="F204" i="1"/>
  <c r="H204" i="1" s="1"/>
  <c r="F218" i="1"/>
  <c r="H218" i="1" s="1"/>
  <c r="F206" i="1"/>
  <c r="H206" i="1" s="1"/>
  <c r="F198" i="1"/>
  <c r="H198" i="1" s="1"/>
  <c r="F197" i="1"/>
  <c r="H197" i="1" s="1"/>
  <c r="F196" i="1"/>
  <c r="H196" i="1" s="1"/>
  <c r="F195" i="1"/>
  <c r="H195" i="1" s="1"/>
  <c r="I76" i="1" l="1"/>
  <c r="C78" i="1" s="1"/>
  <c r="E139" i="1"/>
  <c r="E140" i="1" s="1"/>
  <c r="H192" i="1"/>
  <c r="G139" i="1" s="1"/>
  <c r="G140" i="1" s="1"/>
  <c r="F146" i="1"/>
  <c r="F223" i="1"/>
  <c r="H223"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D44" i="7" s="1"/>
  <c r="E44" i="7"/>
  <c r="E31" i="1" l="1"/>
  <c r="B253" i="1" l="1"/>
  <c r="F147" i="1" l="1"/>
  <c r="H147" i="1" s="1"/>
  <c r="F148" i="1"/>
  <c r="H148" i="1" s="1"/>
  <c r="F149" i="1"/>
  <c r="H149" i="1" s="1"/>
  <c r="H146" i="1"/>
  <c r="G61" i="1" l="1"/>
  <c r="C61" i="1"/>
  <c r="S33" i="1" l="1"/>
  <c r="F11" i="5" l="1"/>
  <c r="G11" i="5" s="1"/>
  <c r="F10" i="5"/>
  <c r="G10" i="5" s="1"/>
  <c r="F9" i="5"/>
  <c r="G9" i="5" s="1"/>
  <c r="F8" i="5"/>
  <c r="G8" i="5" s="1"/>
  <c r="G7" i="5"/>
  <c r="F7" i="5"/>
  <c r="F6" i="5"/>
  <c r="G6" i="5" s="1"/>
  <c r="F5" i="5"/>
  <c r="G5" i="5" s="1"/>
  <c r="G12" i="5" s="1"/>
  <c r="D280" i="1"/>
  <c r="B254" i="1"/>
  <c r="F250" i="1"/>
  <c r="H250" i="1" s="1"/>
  <c r="F249" i="1"/>
  <c r="H249" i="1" s="1"/>
  <c r="F248" i="1"/>
  <c r="H248" i="1" s="1"/>
  <c r="F247" i="1"/>
  <c r="H247" i="1" s="1"/>
  <c r="F246" i="1"/>
  <c r="H246" i="1" s="1"/>
  <c r="F244" i="1"/>
  <c r="H244" i="1" s="1"/>
  <c r="F243" i="1"/>
  <c r="H243" i="1" s="1"/>
  <c r="F242" i="1"/>
  <c r="H242" i="1" s="1"/>
  <c r="F241" i="1"/>
  <c r="H241" i="1" s="1"/>
  <c r="F240" i="1"/>
  <c r="H240" i="1" s="1"/>
  <c r="F238" i="1"/>
  <c r="H238" i="1" s="1"/>
  <c r="F237" i="1"/>
  <c r="H237" i="1" s="1"/>
  <c r="F236" i="1"/>
  <c r="H236" i="1" s="1"/>
  <c r="F235" i="1"/>
  <c r="H235" i="1" s="1"/>
  <c r="F234" i="1"/>
  <c r="H234" i="1" s="1"/>
  <c r="F232" i="1"/>
  <c r="H232" i="1" s="1"/>
  <c r="F231" i="1"/>
  <c r="H231" i="1" s="1"/>
  <c r="F230" i="1"/>
  <c r="H230" i="1" s="1"/>
  <c r="F229" i="1"/>
  <c r="H229" i="1" s="1"/>
  <c r="F228" i="1"/>
  <c r="H228" i="1" s="1"/>
  <c r="A228" i="1"/>
  <c r="A229" i="1" s="1"/>
  <c r="A230" i="1" s="1"/>
  <c r="A231" i="1" s="1"/>
  <c r="A232" i="1" s="1"/>
  <c r="F226" i="1"/>
  <c r="H226" i="1" s="1"/>
  <c r="F225" i="1"/>
  <c r="H225" i="1" s="1"/>
  <c r="F224" i="1"/>
  <c r="H224" i="1" s="1"/>
  <c r="A224" i="1"/>
  <c r="A225" i="1" s="1"/>
  <c r="A226" i="1" s="1"/>
  <c r="A147" i="1"/>
  <c r="A148" i="1" s="1"/>
  <c r="A149" i="1" s="1"/>
  <c r="F130" i="1"/>
  <c r="C104" i="1"/>
  <c r="D70" i="1"/>
  <c r="E44" i="1"/>
  <c r="E45" i="1" s="1"/>
  <c r="E28" i="1"/>
  <c r="E26" i="1"/>
  <c r="I15" i="1"/>
  <c r="Z13" i="1"/>
  <c r="E8" i="1"/>
  <c r="E3" i="1"/>
  <c r="A246" i="1"/>
  <c r="A234" i="1"/>
  <c r="H91" i="1"/>
  <c r="H105" i="1"/>
  <c r="A240" i="1"/>
  <c r="J90" i="1" l="1"/>
  <c r="J92" i="1" s="1"/>
  <c r="J93" i="1"/>
  <c r="J94" i="1"/>
  <c r="J95" i="1"/>
  <c r="C94" i="1" s="1"/>
  <c r="J109" i="1"/>
  <c r="E108" i="1"/>
  <c r="D113" i="1"/>
  <c r="D115" i="1"/>
  <c r="D109" i="1"/>
  <c r="J108" i="1"/>
  <c r="D114" i="1"/>
  <c r="J104" i="1"/>
  <c r="J106" i="1" s="1"/>
  <c r="D112" i="1"/>
  <c r="J107" i="1"/>
  <c r="D111" i="1"/>
  <c r="D117" i="1"/>
  <c r="D116" i="1"/>
  <c r="D110" i="1"/>
  <c r="D98" i="1"/>
  <c r="D100" i="1"/>
  <c r="D99" i="1"/>
  <c r="D103" i="1"/>
  <c r="D97" i="1"/>
  <c r="D102" i="1"/>
  <c r="D96" i="1"/>
  <c r="D101" i="1"/>
  <c r="B105" i="1"/>
  <c r="B91" i="1"/>
  <c r="J96" i="1" s="1"/>
  <c r="A235" i="1"/>
  <c r="A241" i="1"/>
  <c r="A247" i="1"/>
  <c r="C108" i="1" l="1"/>
  <c r="D108" i="1" s="1"/>
  <c r="I105" i="1" s="1"/>
  <c r="I106" i="1" s="1"/>
  <c r="D94" i="1"/>
  <c r="J115" i="1"/>
  <c r="J112" i="1"/>
  <c r="J114" i="1"/>
  <c r="J113" i="1"/>
  <c r="J110" i="1"/>
  <c r="J111" i="1" s="1"/>
  <c r="J100" i="1"/>
  <c r="J98" i="1"/>
  <c r="J99" i="1"/>
  <c r="J97" i="1"/>
  <c r="J102" i="1" s="1"/>
  <c r="J103" i="1" s="1"/>
  <c r="C95" i="1" s="1"/>
  <c r="J101" i="1"/>
  <c r="A242" i="1"/>
  <c r="A236" i="1"/>
  <c r="A248" i="1"/>
  <c r="G108" i="1" l="1"/>
  <c r="J91" i="1"/>
  <c r="J116" i="1"/>
  <c r="J117" i="1" s="1"/>
  <c r="J105" i="1" s="1"/>
  <c r="I104" i="1" s="1"/>
  <c r="C106" i="1" s="1"/>
  <c r="E94" i="1"/>
  <c r="D95" i="1"/>
  <c r="I91" i="1" s="1"/>
  <c r="G94" i="1"/>
  <c r="D74" i="1" s="1"/>
  <c r="A249" i="1"/>
  <c r="A237" i="1"/>
  <c r="A243" i="1"/>
  <c r="F75" i="1" l="1"/>
  <c r="D75" i="1"/>
  <c r="I92" i="1"/>
  <c r="I90" i="1" s="1"/>
  <c r="C92" i="1" s="1"/>
  <c r="A250" i="1"/>
  <c r="A238" i="1"/>
  <c r="A244"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8" authorId="1" shapeId="0">
      <text>
        <r>
          <rPr>
            <b/>
            <sz val="9"/>
            <color indexed="81"/>
            <rFont val="Tahoma"/>
            <family val="2"/>
          </rPr>
          <t>SACHIN:</t>
        </r>
        <r>
          <rPr>
            <sz val="9"/>
            <color indexed="81"/>
            <rFont val="Tahoma"/>
            <family val="2"/>
          </rPr>
          <t xml:space="preserve">
Floor with height</t>
        </r>
      </text>
    </comment>
    <comment ref="I58" authorId="1" shapeId="0">
      <text>
        <r>
          <rPr>
            <b/>
            <sz val="9"/>
            <color indexed="81"/>
            <rFont val="Tahoma"/>
            <family val="2"/>
          </rPr>
          <t>SACHIN:</t>
        </r>
        <r>
          <rPr>
            <sz val="9"/>
            <color indexed="81"/>
            <rFont val="Tahoma"/>
            <family val="2"/>
          </rPr>
          <t xml:space="preserve">
Floor with height</t>
        </r>
      </text>
    </comment>
    <comment ref="C60" authorId="1" shapeId="0">
      <text>
        <r>
          <rPr>
            <b/>
            <sz val="9"/>
            <color indexed="81"/>
            <rFont val="Tahoma"/>
            <family val="2"/>
          </rPr>
          <t>SACHIN:</t>
        </r>
        <r>
          <rPr>
            <sz val="9"/>
            <color indexed="81"/>
            <rFont val="Tahoma"/>
            <family val="2"/>
          </rPr>
          <t xml:space="preserve">
Survey Nos.</t>
        </r>
      </text>
    </comment>
    <comment ref="C62" authorId="1" shapeId="0">
      <text>
        <r>
          <rPr>
            <b/>
            <sz val="9"/>
            <color indexed="81"/>
            <rFont val="Tahoma"/>
            <family val="2"/>
          </rPr>
          <t>SACHIN:</t>
        </r>
        <r>
          <rPr>
            <sz val="9"/>
            <color indexed="81"/>
            <rFont val="Tahoma"/>
            <family val="2"/>
          </rPr>
          <t xml:space="preserve">
Height from AMSL</t>
        </r>
      </text>
    </comment>
    <comment ref="D6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<sst xmlns="http://schemas.openxmlformats.org/spreadsheetml/2006/main" count="760" uniqueCount="409">
  <si>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</si>
  <si>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</si>
  <si>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</si>
  <si>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</si>
  <si>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</si>
  <si>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</si>
  <si>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</si>
  <si>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</si>
  <si>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</si>
  <si>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</si>
  <si>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</si>
  <si>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</si>
  <si>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</si>
  <si>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</si>
  <si>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</si>
  <si>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</si>
  <si>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</si>
  <si>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</si>
  <si>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</si>
  <si>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</si>
  <si>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</si>
  <si>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</si>
  <si>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</si>
  <si>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</si>
  <si>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</si>
  <si>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</si>
  <si>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</si>
  <si>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</si>
  <si>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</si>
  <si>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</si>
  <si>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</si>
  <si>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</si>
  <si>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</si>
  <si>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</si>
  <si>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</si>
  <si>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</si>
  <si>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</si>
  <si>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</si>
  <si>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</si>
  <si>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</si>
  <si>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</si>
  <si>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</si>
  <si>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</si>
  <si>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</si>
  <si>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</si>
  <si>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</si>
  <si>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</si>
  <si>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</si>
  <si>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</si>
  <si>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</si>
  <si>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</si>
  <si>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</si>
  <si>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</si>
  <si>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</si>
  <si>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</si>
  <si>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</si>
  <si>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</si>
  <si>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</si>
  <si>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</si>
  <si>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</si>
  <si>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</si>
  <si>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</si>
  <si>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</si>
  <si>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</si>
  <si>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</si>
  <si>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</si>
  <si>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</si>
  <si>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</si>
  <si>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</si>
  <si>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</si>
  <si>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</si>
  <si>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</si>
  <si>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</si>
  <si>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</si>
  <si>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</si>
  <si>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</si>
  <si>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</si>
  <si>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</si>
  <si>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</si>
  <si>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</si>
  <si>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</si>
  <si>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</si>
  <si>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</si>
  <si>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</si>
  <si>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</si>
  <si>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</si>
  <si>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</si>
  <si>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</si>
  <si>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</si>
  <si>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</si>
  <si>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</si>
  <si>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</si>
  <si>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</si>
  <si>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</si>
  <si>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</si>
  <si>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</si>
  <si>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</si>
  <si>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</si>
  <si>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</si>
  <si>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</si>
  <si>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</si>
  <si>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</si>
  <si>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</si>
  <si>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</si>
  <si>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</si>
  <si>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</si>
  <si>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</si>
  <si>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</si>
  <si>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</si>
  <si>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</si>
  <si>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</si>
  <si>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</si>
  <si>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</si>
  <si>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</si>
  <si>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</si>
  <si>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</si>
  <si>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</si>
  <si>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</si>
  <si>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</si>
  <si>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</si>
  <si>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</si>
  <si>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</si>
  <si>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</si>
  <si>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</si>
  <si>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</si>
  <si>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</si>
  <si>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</si>
  <si>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</si>
  <si>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</si>
  <si>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</si>
  <si>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</si>
  <si>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</si>
  <si>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</si>
  <si>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</si>
  <si>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</si>
  <si>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</si>
  <si>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</si>
  <si>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</si>
  <si>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</si>
  <si>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</si>
  <si>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</si>
  <si>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</si>
  <si>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</si>
  <si>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</si>
  <si>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</si>
  <si>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</si>
  <si>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</si>
  <si>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</si>
  <si>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</si>
  <si>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</si>
  <si>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</si>
  <si>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</si>
  <si>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</si>
  <si>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Flat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</si>
  <si>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</si>
  <si>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</si>
  <si>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</si>
  <si>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</si>
  <si>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</si>
  <si>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</si>
  <si>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</si>
  <si>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</si>
  <si>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</si>
  <si>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</si>
  <si>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</si>
  <si>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</si>
  <si>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</si>
  <si>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</si>
  <si>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</si>
  <si>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</si>
  <si>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</si>
  <si>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</si>
  <si>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</si>
  <si>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</si>
  <si>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</si>
  <si>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</si>
  <si>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</si>
  <si>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</si>
  <si>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</si>
  <si>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</si>
  <si>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</si>
  <si>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</si>
  <si>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</si>
  <si>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</si>
  <si>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</si>
  <si>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</si>
  <si>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</si>
  <si>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</si>
  <si>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</si>
  <si>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</si>
  <si>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</si>
  <si>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</si>
  <si>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</si>
  <si>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</si>
  <si>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</si>
  <si>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</si>
  <si>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</si>
  <si>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</si>
  <si>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</si>
  <si>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</si>
  <si>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</si>
  <si>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</si>
  <si>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</si>
  <si>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</si>
  <si>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</si>
  <si>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</si>
  <si>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</si>
  <si>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</si>
  <si>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</si>
  <si>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</si>
  <si>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</si>
  <si>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</si>
  <si>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</si>
  <si>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</si>
  <si>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</si>
  <si>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</si>
  <si>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</si>
  <si>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</si>
  <si>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</si>
  <si>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</si>
  <si>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</si>
  <si>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</si>
  <si>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</si>
  <si>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</si>
  <si>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</si>
  <si>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</si>
  <si>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</si>
  <si>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</si>
  <si>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</si>
  <si>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</si>
  <si>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</si>
  <si>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</si>
  <si>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</si>
  <si>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</si>
  <si>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</si>
  <si>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</si>
  <si>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</si>
  <si>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</si>
  <si>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</si>
  <si>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</si>
  <si>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</si>
  <si>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</si>
  <si>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</si>
  <si>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</si>
  <si>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</si>
  <si>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</si>
  <si>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</si>
  <si>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</si>
  <si>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</si>
  <si>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</si>
  <si>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</si>
  <si>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</si>
  <si>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</si>
  <si>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</si>
  <si>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</si>
  <si>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</si>
  <si>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</si>
  <si>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</si>
  <si>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</si>
  <si>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</si>
  <si>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</si>
  <si>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</si>
  <si>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</si>
  <si>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</si>
  <si>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</si>
  <si>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</si>
  <si>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</si>
  <si>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</si>
  <si>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</si>
  <si>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</si>
  <si>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</si>
  <si>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</si>
  <si>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</si>
  <si>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</si>
  <si>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</si>
  <si>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</si>
  <si>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</si>
  <si>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</si>
  <si>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</si>
  <si>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</si>
  <si>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</si>
  <si>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</si>
  <si>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</si>
  <si>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</si>
  <si>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</si>
  <si>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</si>
  <si>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</si>
  <si>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</si>
  <si>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</si>
  <si>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</si>
  <si>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</si>
  <si>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</si>
  <si>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</si>
  <si>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</si>
  <si>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</si>
  <si>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</si>
  <si>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</si>
  <si>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</si>
  <si>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</si>
  <si>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</si>
  <si>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</si>
  <si>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</si>
  <si>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</si>
  <si>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</si>
  <si>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</si>
  <si>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</si>
  <si>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</si>
  <si>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</si>
  <si>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</si>
  <si>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</si>
  <si>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</si>
  <si>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</si>
  <si>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</si>
  <si>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</si>
  <si>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</si>
  <si>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</si>
  <si>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</si>
  <si>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</si>
  <si>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</si>
  <si>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</si>
  <si>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</si>
  <si>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</si>
  <si>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</si>
  <si>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</si>
  <si>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</si>
  <si>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</si>
  <si>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M/s. Macrotech Developers Limited</t>
  </si>
  <si>
    <t xml:space="preserve">Mr. Rajendra Giri 9820248856
</t>
  </si>
  <si>
    <t>Sector</t>
  </si>
  <si>
    <t>O &amp; R, Survey No. 24/1A (Pt), 24/1B (Pt),260/1A &amp; 260/1B</t>
  </si>
  <si>
    <t>Hedutane</t>
  </si>
  <si>
    <t>Central Ave Road</t>
  </si>
  <si>
    <t>Sonar Pada</t>
  </si>
  <si>
    <t>19.1804516,73.0946081</t>
  </si>
  <si>
    <t>https://maps.app.goo.gl/vqkLjAAxatVJ7PC26</t>
  </si>
  <si>
    <t>Other Plot</t>
  </si>
  <si>
    <t>Ekatmikrut Nagarvasahat /M. Antarli, Khoni, Hedutane, Kole, Gharivali, Katai &amp; Mangaon T. Kalyan &amp; M. Umbroli, T. Ambernath SSTHANE/1188</t>
  </si>
  <si>
    <t>Ekatmikrut Nagarvasahat /M. Antarli, Khoni &amp; Other/ Sector "B,D,I2,O,P,Q &amp; R" SSTHANE/1188</t>
  </si>
  <si>
    <t>Sector O</t>
  </si>
  <si>
    <t>Cluster 15.04 (Fiora)</t>
  </si>
  <si>
    <t>Wing K</t>
  </si>
  <si>
    <t>Ground Floor For Residential, Meter Room &amp; Entrance Lobby</t>
  </si>
  <si>
    <t>1BHK</t>
  </si>
  <si>
    <t>3BHK</t>
  </si>
  <si>
    <t>Refuge Area</t>
  </si>
  <si>
    <t>Entrance Lobby / Meter Room</t>
  </si>
  <si>
    <t xml:space="preserve">Details of Residential in Building   </t>
  </si>
  <si>
    <t>5.5 KM from Dombivli Railway Station</t>
  </si>
  <si>
    <t>Dombivali East</t>
  </si>
  <si>
    <t>Codename Premier Casa Fiora-A</t>
  </si>
  <si>
    <t>Internal Rd/Garden Casa Fiora</t>
  </si>
  <si>
    <t>Codename Premier Casa Fiora A</t>
  </si>
  <si>
    <t>6M Wide Rd/Other Plot</t>
  </si>
  <si>
    <t>Garden Casa Fiora</t>
  </si>
  <si>
    <r>
      <t xml:space="preserve">Proposed Amenities :                                                                                                                                                                                                                         </t>
    </r>
    <r>
      <rPr>
        <b/>
        <sz val="12"/>
        <color theme="1"/>
        <rFont val="Times New Roman"/>
        <family val="1"/>
      </rPr>
      <t xml:space="preserve">                                               </t>
    </r>
  </si>
  <si>
    <t>Community Spaces, Sports Ground, Kids Play Area, Swimming Pool, Banquet Hall, Ganesh Temple, Gymnasium, Café, etc.</t>
  </si>
  <si>
    <r>
      <t xml:space="preserve">Shop No.
</t>
    </r>
    <r>
      <rPr>
        <b/>
        <sz val="11"/>
        <color theme="1"/>
        <rFont val="Times New Roman"/>
        <family val="1"/>
      </rPr>
      <t>(Approved Plan)</t>
    </r>
  </si>
  <si>
    <r>
      <t xml:space="preserve">Flat No.
</t>
    </r>
    <r>
      <rPr>
        <b/>
        <sz val="11"/>
        <color theme="1"/>
        <rFont val="Times New Roman"/>
        <family val="1"/>
      </rPr>
      <t>(Approved Plan)</t>
    </r>
  </si>
  <si>
    <t>1st to 7th, 9th to 12th Floor For Residential</t>
  </si>
  <si>
    <t>14th to 17th Floor (15th to 18th Floor as per Builder)
19th to 23rd Floor (20th to 24th Floor as per Builder)</t>
  </si>
  <si>
    <t>8th Floor
13th Floor (14th Floor as per Builder)
18th Floor (19th Floor as per Builder)
 (Part Refuge Area)</t>
  </si>
  <si>
    <t>Provisional Building Common Area Maintenance (CAM) Charges</t>
  </si>
  <si>
    <t>Provisional Federation Common Area Maintenance (CAM) Charges</t>
  </si>
  <si>
    <t>Utility Connection &amp;amp. Related Expenses*</t>
  </si>
  <si>
    <t>Electricity Deposit Reimbursement*</t>
  </si>
  <si>
    <t>SIA/MH/MIS/63043/2021</t>
  </si>
  <si>
    <t>MFS/51/2022/810</t>
  </si>
  <si>
    <t>Sector O, Cluster 15.04 Wing K = Gr + 1st to 23rd Floor (69.90M Height)</t>
  </si>
  <si>
    <t>Plot Area = 5539590.50sq.mt
Total Builtup Area = 17168486.98sq.mt</t>
  </si>
  <si>
    <t>We have referred EC from the Pragati portal, the EC does not consist of particular survey numbers, only village Hedutane, Kole, Gharivali, Katai, and Mangaon are mentioned.</t>
  </si>
  <si>
    <t xml:space="preserve">Please check for Fire NOC.
</t>
  </si>
  <si>
    <t>Construction details collected from Mr. Rajendra Giri.</t>
  </si>
  <si>
    <t>Fiora K = P51700052406
Fiora J = P51700052421</t>
  </si>
  <si>
    <t>Cluster 15.04 - Fiora (Wing J &amp; K)</t>
  </si>
  <si>
    <t>Open Plot</t>
  </si>
  <si>
    <t>Lodha Codename Premier - Fiora J &amp; K</t>
  </si>
  <si>
    <t>02 Wings</t>
  </si>
  <si>
    <t>Ekatmikrut Nagarvasahat /M. Antarli, Khoni, Hedutane, Kole, Gharivali, Katai &amp; Mangaon T. Kalyan &amp; M. Umbroli, T. Ambernath SSTHANE/4770</t>
  </si>
  <si>
    <t>Commencement-CC No
Valid Up to: 
(Wing K)</t>
  </si>
  <si>
    <t xml:space="preserve">Approved Floor plan No. 
(Wing K) </t>
  </si>
  <si>
    <t xml:space="preserve">Approved Floor plan No.
(Wing J)  </t>
  </si>
  <si>
    <t xml:space="preserve">Commencement-CC No
Valid Up to: 
(Wing J)  </t>
  </si>
  <si>
    <t>Ekatmikrut Nagarvasahat /M. Antarli, Khoni &amp; Other/ Sector "C,D,E,F,I1,I2,O &amp; P" SSTHANE/4770</t>
  </si>
  <si>
    <t>Approved area of building (Sq.Mt)
Cluster 15.04 - Fiora (Wing J &amp; K)</t>
  </si>
  <si>
    <t>Wing J</t>
  </si>
  <si>
    <t>2BHK</t>
  </si>
  <si>
    <t>chajja</t>
  </si>
  <si>
    <t>1st &amp; 2nd Floor For Residential</t>
  </si>
  <si>
    <t>Fungible area</t>
  </si>
  <si>
    <t>We considered Gross carpet area = Net carpet + Balcony + Dry Balcony + Otla.</t>
  </si>
  <si>
    <t>Residential Area Details : Flats</t>
  </si>
  <si>
    <t xml:space="preserve">3rd to 7th &amp; 9th to 12th Floor
</t>
  </si>
  <si>
    <t>14th to 17th (15th to 18th Floor as per Builder) &amp;
19th to 23rd Floor (20th to 24th Floor as per Builder)</t>
  </si>
  <si>
    <t>Flats - 301</t>
  </si>
  <si>
    <t>We have added Wing J on 04/04/2023.</t>
  </si>
  <si>
    <t>Cluster 15.04 Fiora (Wing J) = G + 23rd Floor</t>
  </si>
  <si>
    <t>Cluster 15.04 Fiora (Wing K) = G + 23rd Floor</t>
  </si>
  <si>
    <t xml:space="preserve">Cluster 15.04 Fiora (Wing J &amp; K) = G + 23rd Floor
</t>
  </si>
  <si>
    <t>Office No. 1031, Wing J, Akshar Business Park, Plot No. 03 Sector 25, Near APMC Market, Vashi, Navi Mumbai, Maharashtra 400703 TEL: 022-46090378/79/80
E mail : vsjcapf@gmail.com. Web site : www.vsjadon.com</t>
  </si>
  <si>
    <t>7200 to 7800 by sanjay on 30/04/2025</t>
  </si>
  <si>
    <t>Recommended Rates/Other Charges of the Property have been revised on 30/04/2025.</t>
  </si>
  <si>
    <t>Wing J &amp; K = Construction work is in process at the time of Visit. Internal Photographs was not allowed.</t>
  </si>
  <si>
    <t>Pooja Kawale</t>
  </si>
  <si>
    <t>Gangaram parshuram Lambore</t>
  </si>
  <si>
    <t>As per RERA - Wing J = 31/01/2029
Wing K = 31/01/2028</t>
  </si>
  <si>
    <t>page No.52</t>
  </si>
  <si>
    <t>MFS/51/2024/75</t>
  </si>
  <si>
    <t>Sector O, Cluster 15.04 Wing J &amp; K = Gr + 1st to 23rd Floor (69.90M Height)</t>
  </si>
  <si>
    <t>We have updated Fire Noc on 16/09/2025.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</si>
</sst>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6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4"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 fontId="5" fillId="0" borderId="1" xfId="0" applyNumberFormat="1" applyFont="1" applyFill="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2" fontId="6" fillId="0" borderId="0" xfId="1" applyNumberFormat="1" applyFont="1" applyAlignment="1">
      <alignment horizontal="center" vertical="center"/>
    </xf>
    <xf numFmtId="1" fontId="6"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23" fillId="2" borderId="15" xfId="0" applyFont="1" applyFill="1" applyBorder="1"/>
    <xf numFmtId="0" fontId="24" fillId="0" borderId="9" xfId="0" applyFont="1" applyBorder="1"/>
    <xf numFmtId="0" fontId="6" fillId="0" borderId="0" xfId="1" applyFont="1" applyAlignment="1">
      <alignment horizontal="center" vertical="center"/>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6" fillId="0" borderId="24"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11"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5" fillId="0" borderId="21" xfId="1" applyNumberFormat="1" applyFont="1" applyBorder="1" applyAlignment="1" applyProtection="1">
      <alignment horizontal="center" vertical="center"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9" fillId="0" borderId="32" xfId="0" applyNumberFormat="1"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Fill="1" applyBorder="1" applyAlignment="1" applyProtection="1">
      <alignment horizontal="left" vertical="top" wrapText="1"/>
      <protection locked="0"/>
    </xf>
    <xf numFmtId="0" fontId="9" fillId="0" borderId="14" xfId="1" applyFont="1" applyFill="1" applyBorder="1" applyAlignment="1" applyProtection="1">
      <alignment horizontal="left" vertical="top" wrapText="1"/>
      <protection locked="0"/>
    </xf>
    <xf numFmtId="0" fontId="9" fillId="0" borderId="23" xfId="1" applyFont="1" applyFill="1" applyBorder="1" applyAlignment="1" applyProtection="1">
      <alignment horizontal="left" vertical="top" wrapText="1"/>
      <protection locked="0"/>
    </xf>
    <xf numFmtId="9" fontId="6" fillId="0" borderId="1" xfId="8" applyFont="1" applyFill="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Fill="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1" fillId="0" borderId="1" xfId="1" applyFont="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Fill="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1" xfId="1" applyFont="1" applyFill="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9" fillId="0" borderId="1" xfId="1" applyFont="1" applyFill="1" applyBorder="1" applyAlignment="1" applyProtection="1">
      <alignment horizontal="left"/>
      <protection locked="0"/>
    </xf>
    <xf numFmtId="0" fontId="6" fillId="0" borderId="0" xfId="1" applyFont="1" applyAlignment="1">
      <alignment horizontal="center" vertical="center"/>
    </xf>
    <xf numFmtId="1" fontId="6" fillId="0" borderId="1" xfId="0" applyNumberFormat="1" applyFont="1" applyBorder="1" applyAlignment="1" applyProtection="1">
      <alignment horizontal="center" vertical="center"/>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25" fillId="0" borderId="1" xfId="10" applyFill="1" applyBorder="1" applyAlignment="1" applyProtection="1">
      <alignment horizontal="left"/>
      <protection locked="0"/>
    </xf>
    <xf numFmtId="0" fontId="6" fillId="0" borderId="1" xfId="1" applyFont="1" applyFill="1" applyBorder="1" applyAlignment="1" applyProtection="1">
      <alignment horizontal="left"/>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1" fontId="9" fillId="0" borderId="8" xfId="1" applyNumberFormat="1" applyFont="1" applyBorder="1" applyAlignment="1" applyProtection="1">
      <alignment horizontal="center" vertical="top" wrapText="1"/>
      <protection locked="0"/>
    </xf>
    <xf numFmtId="1" fontId="9" fillId="0" borderId="21" xfId="1" applyNumberFormat="1" applyFont="1" applyBorder="1" applyAlignment="1" applyProtection="1">
      <alignment horizontal="center" vertical="top" wrapText="1"/>
      <protection locked="0"/>
    </xf>
    <xf numFmtId="1" fontId="9" fillId="0" borderId="9" xfId="1"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top" wrapText="1"/>
      <protection locked="0"/>
    </xf>
    <xf numFmtId="1" fontId="7" fillId="0" borderId="21" xfId="1" applyNumberFormat="1" applyFont="1" applyBorder="1" applyAlignment="1" applyProtection="1">
      <alignment horizontal="center" vertical="top" wrapText="1"/>
      <protection locked="0"/>
    </xf>
    <xf numFmtId="1" fontId="7" fillId="0" borderId="9" xfId="1" applyNumberFormat="1" applyFont="1" applyBorder="1" applyAlignment="1" applyProtection="1">
      <alignment horizontal="center" vertical="top" wrapText="1"/>
      <protection locked="0"/>
    </xf>
    <xf numFmtId="1" fontId="6" fillId="0" borderId="2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1" fontId="5" fillId="0" borderId="8" xfId="1" applyNumberFormat="1" applyFont="1" applyFill="1" applyBorder="1" applyAlignment="1" applyProtection="1">
      <alignment horizontal="center" vertical="center" wrapText="1"/>
      <protection locked="0"/>
    </xf>
    <xf numFmtId="1" fontId="5" fillId="0" borderId="21" xfId="1" applyNumberFormat="1" applyFont="1" applyFill="1" applyBorder="1" applyAlignment="1" applyProtection="1">
      <alignment horizontal="center" vertical="center" wrapText="1"/>
      <protection locked="0"/>
    </xf>
    <xf numFmtId="1" fontId="5" fillId="0" borderId="9" xfId="1" applyNumberFormat="1"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C511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2</xdr:col>
      <xdr:colOff>46280</xdr:colOff>
      <xdr:row>361</xdr:row>
      <xdr:rowOff>19050</xdr:rowOff>
    </xdr:from>
    <xdr:to>
      <xdr:col>5</xdr:col>
      <xdr:colOff>676274</xdr:colOff>
      <xdr:row>378</xdr:row>
      <xdr:rowOff>161475</xdr:rowOff>
    </xdr:to>
    <xdr:pic>
      <xdr:nvPicPr>
        <xdr:cNvPr id="2" name="Picture 1"/>
        <xdr:cNvPicPr>
          <a:picLocks noChangeAspect="1"/>
        </xdr:cNvPicPr>
      </xdr:nvPicPr>
      <xdr:blipFill rotWithShape="1">
        <a:blip xmlns:r="http://schemas.openxmlformats.org/officeDocument/2006/relationships" r:embed="rId1"/>
        <a:srcRect t="1588" b="-1"/>
        <a:stretch/>
      </xdr:blipFill>
      <xdr:spPr>
        <a:xfrm>
          <a:off x="1608380" y="55425975"/>
          <a:ext cx="3173169" cy="3542850"/>
        </a:xfrm>
        <a:prstGeom prst="rect">
          <a:avLst/>
        </a:prstGeom>
        <a:ln>
          <a:solidFill>
            <a:schemeClr val="tx1"/>
          </a:solidFill>
        </a:ln>
      </xdr:spPr>
    </xdr:pic>
    <xdr:clientData/>
  </xdr:twoCellAnchor>
  <xdr:twoCellAnchor>
    <xdr:from>
      <xdr:col>1</xdr:col>
      <xdr:colOff>167054</xdr:colOff>
      <xdr:row>322</xdr:row>
      <xdr:rowOff>189033</xdr:rowOff>
    </xdr:from>
    <xdr:to>
      <xdr:col>7</xdr:col>
      <xdr:colOff>224204</xdr:colOff>
      <xdr:row>351</xdr:row>
      <xdr:rowOff>148308</xdr:rowOff>
    </xdr:to>
    <xdr:grpSp>
      <xdr:nvGrpSpPr>
        <xdr:cNvPr id="15" name="Group 14"/>
        <xdr:cNvGrpSpPr/>
      </xdr:nvGrpSpPr>
      <xdr:grpSpPr>
        <a:xfrm>
          <a:off x="929054" y="60082233"/>
          <a:ext cx="4876800" cy="5760000"/>
          <a:chOff x="914400" y="46758224"/>
          <a:chExt cx="4876800" cy="5760000"/>
        </a:xfrm>
      </xdr:grpSpPr>
      <xdr:pic>
        <xdr:nvPicPr>
          <xdr:cNvPr id="10" name="Picture 9"/>
          <xdr:cNvPicPr>
            <a:picLocks noChangeAspect="1"/>
          </xdr:cNvPicPr>
        </xdr:nvPicPr>
        <xdr:blipFill>
          <a:blip xmlns:r="http://schemas.openxmlformats.org/officeDocument/2006/relationships" r:embed="rId2"/>
          <a:stretch>
            <a:fillRect/>
          </a:stretch>
        </xdr:blipFill>
        <xdr:spPr>
          <a:xfrm>
            <a:off x="914400" y="46758224"/>
            <a:ext cx="4876800" cy="5760000"/>
          </a:xfrm>
          <a:prstGeom prst="rect">
            <a:avLst/>
          </a:prstGeom>
          <a:ln>
            <a:solidFill>
              <a:schemeClr val="tx1"/>
            </a:solidFill>
          </a:ln>
        </xdr:spPr>
      </xdr:pic>
      <xdr:sp macro="" textlink="">
        <xdr:nvSpPr>
          <xdr:cNvPr id="11" name="Rectangle 10"/>
          <xdr:cNvSpPr/>
        </xdr:nvSpPr>
        <xdr:spPr>
          <a:xfrm rot="2207326">
            <a:off x="1526233" y="48681539"/>
            <a:ext cx="1118038" cy="1085821"/>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2" name="TextBox 11"/>
          <xdr:cNvSpPr txBox="1"/>
        </xdr:nvSpPr>
        <xdr:spPr>
          <a:xfrm>
            <a:off x="2043445" y="48201787"/>
            <a:ext cx="1152525" cy="58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002060"/>
                </a:solidFill>
              </a:rPr>
              <a:t>Cluster</a:t>
            </a:r>
            <a:r>
              <a:rPr lang="en-IN" sz="1200" b="1" baseline="0">
                <a:solidFill>
                  <a:srgbClr val="002060"/>
                </a:solidFill>
              </a:rPr>
              <a:t> 15.04</a:t>
            </a:r>
          </a:p>
          <a:p>
            <a:r>
              <a:rPr lang="en-IN" sz="1200" b="1" baseline="0">
                <a:solidFill>
                  <a:srgbClr val="002060"/>
                </a:solidFill>
              </a:rPr>
              <a:t>  (Fiora)</a:t>
            </a:r>
            <a:endParaRPr lang="en-IN" sz="1200" b="1">
              <a:solidFill>
                <a:srgbClr val="002060"/>
              </a:solidFill>
            </a:endParaRPr>
          </a:p>
        </xdr:txBody>
      </xdr:sp>
      <xdr:sp macro="" textlink="">
        <xdr:nvSpPr>
          <xdr:cNvPr id="13" name="TextBox 12"/>
          <xdr:cNvSpPr txBox="1"/>
        </xdr:nvSpPr>
        <xdr:spPr>
          <a:xfrm>
            <a:off x="1001105" y="49248498"/>
            <a:ext cx="636259" cy="322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C5119E"/>
                </a:solidFill>
              </a:rPr>
              <a:t>Wing</a:t>
            </a:r>
            <a:r>
              <a:rPr lang="en-IN" sz="1200" b="1" baseline="0">
                <a:solidFill>
                  <a:srgbClr val="C5119E"/>
                </a:solidFill>
              </a:rPr>
              <a:t> K</a:t>
            </a:r>
            <a:endParaRPr lang="en-IN" sz="1200" b="1">
              <a:solidFill>
                <a:srgbClr val="C5119E"/>
              </a:solidFill>
            </a:endParaRPr>
          </a:p>
        </xdr:txBody>
      </xdr:sp>
      <xdr:sp macro="" textlink="">
        <xdr:nvSpPr>
          <xdr:cNvPr id="14" name="Rectangle 13"/>
          <xdr:cNvSpPr/>
        </xdr:nvSpPr>
        <xdr:spPr>
          <a:xfrm rot="3451035">
            <a:off x="1606582" y="49159326"/>
            <a:ext cx="222082" cy="292426"/>
          </a:xfrm>
          <a:prstGeom prst="rect">
            <a:avLst/>
          </a:prstGeom>
          <a:noFill/>
          <a:ln w="38100">
            <a:solidFill>
              <a:srgbClr val="C5119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2</xdr:col>
      <xdr:colOff>740384</xdr:colOff>
      <xdr:row>334</xdr:row>
      <xdr:rowOff>58982</xdr:rowOff>
    </xdr:from>
    <xdr:to>
      <xdr:col>3</xdr:col>
      <xdr:colOff>146839</xdr:colOff>
      <xdr:row>337</xdr:row>
      <xdr:rowOff>92129</xdr:rowOff>
    </xdr:to>
    <xdr:sp macro="" textlink="">
      <xdr:nvSpPr>
        <xdr:cNvPr id="19" name="Rectangle 18"/>
        <xdr:cNvSpPr/>
      </xdr:nvSpPr>
      <xdr:spPr>
        <a:xfrm rot="7723806">
          <a:off x="2115894" y="46147280"/>
          <a:ext cx="626628" cy="256378"/>
        </a:xfrm>
        <a:prstGeom prst="rect">
          <a:avLst/>
        </a:prstGeom>
        <a:noFill/>
        <a:ln w="381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578828</xdr:colOff>
      <xdr:row>335</xdr:row>
      <xdr:rowOff>166322</xdr:rowOff>
    </xdr:from>
    <xdr:to>
      <xdr:col>3</xdr:col>
      <xdr:colOff>45428</xdr:colOff>
      <xdr:row>337</xdr:row>
      <xdr:rowOff>21980</xdr:rowOff>
    </xdr:to>
    <xdr:sp macro="" textlink="">
      <xdr:nvSpPr>
        <xdr:cNvPr id="20" name="TextBox 19"/>
        <xdr:cNvSpPr txBox="1"/>
      </xdr:nvSpPr>
      <xdr:spPr>
        <a:xfrm>
          <a:off x="2139463" y="46267322"/>
          <a:ext cx="316523" cy="251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 D</a:t>
          </a:r>
          <a:endParaRPr lang="en-IN" sz="1200" b="1">
            <a:solidFill>
              <a:schemeClr val="tx1"/>
            </a:solidFill>
          </a:endParaRPr>
        </a:p>
      </xdr:txBody>
    </xdr:sp>
    <xdr:clientData/>
  </xdr:twoCellAnchor>
  <xdr:twoCellAnchor>
    <xdr:from>
      <xdr:col>2</xdr:col>
      <xdr:colOff>695325</xdr:colOff>
      <xdr:row>335</xdr:row>
      <xdr:rowOff>9525</xdr:rowOff>
    </xdr:from>
    <xdr:to>
      <xdr:col>3</xdr:col>
      <xdr:colOff>161925</xdr:colOff>
      <xdr:row>336</xdr:row>
      <xdr:rowOff>171450</xdr:rowOff>
    </xdr:to>
    <xdr:sp macro="" textlink="">
      <xdr:nvSpPr>
        <xdr:cNvPr id="24" name="TextBox 23"/>
        <xdr:cNvSpPr txBox="1"/>
      </xdr:nvSpPr>
      <xdr:spPr>
        <a:xfrm>
          <a:off x="2257425" y="46472475"/>
          <a:ext cx="3143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 E</a:t>
          </a:r>
          <a:endParaRPr lang="en-IN" sz="1200" b="1">
            <a:solidFill>
              <a:schemeClr val="tx1"/>
            </a:solidFill>
          </a:endParaRPr>
        </a:p>
      </xdr:txBody>
    </xdr:sp>
    <xdr:clientData/>
  </xdr:twoCellAnchor>
  <xdr:twoCellAnchor>
    <xdr:from>
      <xdr:col>2</xdr:col>
      <xdr:colOff>809625</xdr:colOff>
      <xdr:row>334</xdr:row>
      <xdr:rowOff>95250</xdr:rowOff>
    </xdr:from>
    <xdr:to>
      <xdr:col>3</xdr:col>
      <xdr:colOff>276225</xdr:colOff>
      <xdr:row>336</xdr:row>
      <xdr:rowOff>57150</xdr:rowOff>
    </xdr:to>
    <xdr:sp macro="" textlink="">
      <xdr:nvSpPr>
        <xdr:cNvPr id="25" name="TextBox 24"/>
        <xdr:cNvSpPr txBox="1"/>
      </xdr:nvSpPr>
      <xdr:spPr>
        <a:xfrm>
          <a:off x="2371725" y="46358175"/>
          <a:ext cx="3143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 F</a:t>
          </a:r>
          <a:endParaRPr lang="en-IN" sz="1200" b="1">
            <a:solidFill>
              <a:schemeClr val="tx1"/>
            </a:solidFill>
          </a:endParaRPr>
        </a:p>
      </xdr:txBody>
    </xdr:sp>
    <xdr:clientData/>
  </xdr:twoCellAnchor>
  <xdr:twoCellAnchor>
    <xdr:from>
      <xdr:col>2</xdr:col>
      <xdr:colOff>304402</xdr:colOff>
      <xdr:row>333</xdr:row>
      <xdr:rowOff>116937</xdr:rowOff>
    </xdr:from>
    <xdr:to>
      <xdr:col>3</xdr:col>
      <xdr:colOff>34936</xdr:colOff>
      <xdr:row>334</xdr:row>
      <xdr:rowOff>139344</xdr:rowOff>
    </xdr:to>
    <xdr:sp macro="" textlink="">
      <xdr:nvSpPr>
        <xdr:cNvPr id="26" name="Rectangle 25"/>
        <xdr:cNvSpPr/>
      </xdr:nvSpPr>
      <xdr:spPr>
        <a:xfrm rot="468360">
          <a:off x="1865037" y="45822283"/>
          <a:ext cx="580457" cy="220234"/>
        </a:xfrm>
        <a:prstGeom prst="rect">
          <a:avLst/>
        </a:prstGeom>
        <a:noFill/>
        <a:ln w="381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632314</xdr:colOff>
      <xdr:row>333</xdr:row>
      <xdr:rowOff>95250</xdr:rowOff>
    </xdr:from>
    <xdr:to>
      <xdr:col>3</xdr:col>
      <xdr:colOff>98914</xdr:colOff>
      <xdr:row>334</xdr:row>
      <xdr:rowOff>171450</xdr:rowOff>
    </xdr:to>
    <xdr:sp macro="" textlink="">
      <xdr:nvSpPr>
        <xdr:cNvPr id="27" name="TextBox 26"/>
        <xdr:cNvSpPr txBox="1"/>
      </xdr:nvSpPr>
      <xdr:spPr>
        <a:xfrm>
          <a:off x="2194414" y="46158150"/>
          <a:ext cx="3143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G</a:t>
          </a:r>
          <a:endParaRPr lang="en-IN" sz="1200" b="1">
            <a:solidFill>
              <a:schemeClr val="tx1"/>
            </a:solidFill>
          </a:endParaRPr>
        </a:p>
      </xdr:txBody>
    </xdr:sp>
    <xdr:clientData/>
  </xdr:twoCellAnchor>
  <xdr:twoCellAnchor>
    <xdr:from>
      <xdr:col>2</xdr:col>
      <xdr:colOff>439614</xdr:colOff>
      <xdr:row>333</xdr:row>
      <xdr:rowOff>87923</xdr:rowOff>
    </xdr:from>
    <xdr:to>
      <xdr:col>2</xdr:col>
      <xdr:colOff>756137</xdr:colOff>
      <xdr:row>335</xdr:row>
      <xdr:rowOff>49823</xdr:rowOff>
    </xdr:to>
    <xdr:sp macro="" textlink="">
      <xdr:nvSpPr>
        <xdr:cNvPr id="28" name="TextBox 27"/>
        <xdr:cNvSpPr txBox="1"/>
      </xdr:nvSpPr>
      <xdr:spPr>
        <a:xfrm>
          <a:off x="2000249" y="45793269"/>
          <a:ext cx="316523" cy="357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 H</a:t>
          </a:r>
          <a:endParaRPr lang="en-IN" sz="1200" b="1">
            <a:solidFill>
              <a:schemeClr val="tx1"/>
            </a:solidFill>
          </a:endParaRPr>
        </a:p>
      </xdr:txBody>
    </xdr:sp>
    <xdr:clientData/>
  </xdr:twoCellAnchor>
  <xdr:twoCellAnchor>
    <xdr:from>
      <xdr:col>2</xdr:col>
      <xdr:colOff>284283</xdr:colOff>
      <xdr:row>333</xdr:row>
      <xdr:rowOff>79130</xdr:rowOff>
    </xdr:from>
    <xdr:to>
      <xdr:col>2</xdr:col>
      <xdr:colOff>600806</xdr:colOff>
      <xdr:row>335</xdr:row>
      <xdr:rowOff>41030</xdr:rowOff>
    </xdr:to>
    <xdr:sp macro="" textlink="">
      <xdr:nvSpPr>
        <xdr:cNvPr id="29" name="TextBox 28"/>
        <xdr:cNvSpPr txBox="1"/>
      </xdr:nvSpPr>
      <xdr:spPr>
        <a:xfrm>
          <a:off x="1844918" y="45784476"/>
          <a:ext cx="316523" cy="357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 I</a:t>
          </a:r>
          <a:endParaRPr lang="en-IN" sz="1200" b="1">
            <a:solidFill>
              <a:schemeClr val="tx1"/>
            </a:solidFill>
          </a:endParaRPr>
        </a:p>
      </xdr:txBody>
    </xdr:sp>
    <xdr:clientData/>
  </xdr:twoCellAnchor>
  <xdr:twoCellAnchor>
    <xdr:from>
      <xdr:col>1</xdr:col>
      <xdr:colOff>792750</xdr:colOff>
      <xdr:row>334</xdr:row>
      <xdr:rowOff>20079</xdr:rowOff>
    </xdr:from>
    <xdr:to>
      <xdr:col>2</xdr:col>
      <xdr:colOff>214349</xdr:colOff>
      <xdr:row>335</xdr:row>
      <xdr:rowOff>28984</xdr:rowOff>
    </xdr:to>
    <xdr:sp macro="" textlink="">
      <xdr:nvSpPr>
        <xdr:cNvPr id="30" name="Rectangle 29"/>
        <xdr:cNvSpPr/>
      </xdr:nvSpPr>
      <xdr:spPr>
        <a:xfrm rot="3602015">
          <a:off x="1561501" y="45916501"/>
          <a:ext cx="206732" cy="220234"/>
        </a:xfrm>
        <a:prstGeom prst="rect">
          <a:avLst/>
        </a:prstGeom>
        <a:noFill/>
        <a:ln w="381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319054</xdr:colOff>
      <xdr:row>335</xdr:row>
      <xdr:rowOff>163723</xdr:rowOff>
    </xdr:from>
    <xdr:to>
      <xdr:col>2</xdr:col>
      <xdr:colOff>562990</xdr:colOff>
      <xdr:row>338</xdr:row>
      <xdr:rowOff>90141</xdr:rowOff>
    </xdr:to>
    <xdr:sp macro="" textlink="">
      <xdr:nvSpPr>
        <xdr:cNvPr id="31" name="Rectangle 30"/>
        <xdr:cNvSpPr/>
      </xdr:nvSpPr>
      <xdr:spPr>
        <a:xfrm rot="2998478">
          <a:off x="1741707" y="46402705"/>
          <a:ext cx="519899" cy="243936"/>
        </a:xfrm>
        <a:prstGeom prst="rect">
          <a:avLst/>
        </a:prstGeom>
        <a:noFill/>
        <a:ln w="381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131884</xdr:colOff>
      <xdr:row>335</xdr:row>
      <xdr:rowOff>146539</xdr:rowOff>
    </xdr:from>
    <xdr:to>
      <xdr:col>2</xdr:col>
      <xdr:colOff>448407</xdr:colOff>
      <xdr:row>337</xdr:row>
      <xdr:rowOff>108439</xdr:rowOff>
    </xdr:to>
    <xdr:sp macro="" textlink="">
      <xdr:nvSpPr>
        <xdr:cNvPr id="32" name="TextBox 31"/>
        <xdr:cNvSpPr txBox="1"/>
      </xdr:nvSpPr>
      <xdr:spPr>
        <a:xfrm>
          <a:off x="1692519" y="46247539"/>
          <a:ext cx="316523" cy="357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 A</a:t>
          </a:r>
          <a:endParaRPr lang="en-IN" sz="1200" b="1">
            <a:solidFill>
              <a:schemeClr val="tx1"/>
            </a:solidFill>
          </a:endParaRPr>
        </a:p>
      </xdr:txBody>
    </xdr:sp>
    <xdr:clientData/>
  </xdr:twoCellAnchor>
  <xdr:twoCellAnchor>
    <xdr:from>
      <xdr:col>1</xdr:col>
      <xdr:colOff>775188</xdr:colOff>
      <xdr:row>333</xdr:row>
      <xdr:rowOff>181707</xdr:rowOff>
    </xdr:from>
    <xdr:to>
      <xdr:col>2</xdr:col>
      <xdr:colOff>293076</xdr:colOff>
      <xdr:row>335</xdr:row>
      <xdr:rowOff>143607</xdr:rowOff>
    </xdr:to>
    <xdr:sp macro="" textlink="">
      <xdr:nvSpPr>
        <xdr:cNvPr id="33" name="TextBox 32"/>
        <xdr:cNvSpPr txBox="1"/>
      </xdr:nvSpPr>
      <xdr:spPr>
        <a:xfrm>
          <a:off x="1537188" y="46663707"/>
          <a:ext cx="315607" cy="366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 J</a:t>
          </a:r>
          <a:endParaRPr lang="en-IN" sz="1200" b="1">
            <a:solidFill>
              <a:schemeClr val="tx1"/>
            </a:solidFill>
          </a:endParaRPr>
        </a:p>
      </xdr:txBody>
    </xdr:sp>
    <xdr:clientData/>
  </xdr:twoCellAnchor>
  <xdr:twoCellAnchor>
    <xdr:from>
      <xdr:col>2</xdr:col>
      <xdr:colOff>373672</xdr:colOff>
      <xdr:row>337</xdr:row>
      <xdr:rowOff>7327</xdr:rowOff>
    </xdr:from>
    <xdr:to>
      <xdr:col>2</xdr:col>
      <xdr:colOff>690195</xdr:colOff>
      <xdr:row>338</xdr:row>
      <xdr:rowOff>87923</xdr:rowOff>
    </xdr:to>
    <xdr:sp macro="" textlink="">
      <xdr:nvSpPr>
        <xdr:cNvPr id="34" name="TextBox 33"/>
        <xdr:cNvSpPr txBox="1"/>
      </xdr:nvSpPr>
      <xdr:spPr>
        <a:xfrm>
          <a:off x="1934307" y="46503981"/>
          <a:ext cx="316523"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C</a:t>
          </a:r>
          <a:endParaRPr lang="en-IN" sz="1200" b="1">
            <a:solidFill>
              <a:schemeClr val="tx1"/>
            </a:solidFill>
          </a:endParaRPr>
        </a:p>
      </xdr:txBody>
    </xdr:sp>
    <xdr:clientData/>
  </xdr:twoCellAnchor>
  <xdr:twoCellAnchor>
    <xdr:from>
      <xdr:col>2</xdr:col>
      <xdr:colOff>269630</xdr:colOff>
      <xdr:row>336</xdr:row>
      <xdr:rowOff>57150</xdr:rowOff>
    </xdr:from>
    <xdr:to>
      <xdr:col>2</xdr:col>
      <xdr:colOff>586153</xdr:colOff>
      <xdr:row>337</xdr:row>
      <xdr:rowOff>139211</xdr:rowOff>
    </xdr:to>
    <xdr:sp macro="" textlink="">
      <xdr:nvSpPr>
        <xdr:cNvPr id="35" name="TextBox 34"/>
        <xdr:cNvSpPr txBox="1"/>
      </xdr:nvSpPr>
      <xdr:spPr>
        <a:xfrm>
          <a:off x="1830265" y="46355977"/>
          <a:ext cx="316523" cy="279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chemeClr val="tx1"/>
              </a:solidFill>
            </a:rPr>
            <a:t>B</a:t>
          </a:r>
          <a:endParaRPr lang="en-IN" sz="1200" b="1">
            <a:solidFill>
              <a:schemeClr val="tx1"/>
            </a:solidFill>
          </a:endParaRPr>
        </a:p>
      </xdr:txBody>
    </xdr:sp>
    <xdr:clientData/>
  </xdr:twoCellAnchor>
  <xdr:twoCellAnchor editAs="oneCell">
    <xdr:from>
      <xdr:col>9</xdr:col>
      <xdr:colOff>666750</xdr:colOff>
      <xdr:row>58</xdr:row>
      <xdr:rowOff>412042</xdr:rowOff>
    </xdr:from>
    <xdr:to>
      <xdr:col>16</xdr:col>
      <xdr:colOff>275434</xdr:colOff>
      <xdr:row>77</xdr:row>
      <xdr:rowOff>27919</xdr:rowOff>
    </xdr:to>
    <xdr:pic>
      <xdr:nvPicPr>
        <xdr:cNvPr id="4" name="Picture 3"/>
        <xdr:cNvPicPr>
          <a:picLocks noChangeAspect="1"/>
        </xdr:cNvPicPr>
      </xdr:nvPicPr>
      <xdr:blipFill>
        <a:blip xmlns:r="http://schemas.openxmlformats.org/officeDocument/2006/relationships" r:embed="rId3"/>
        <a:stretch>
          <a:fillRect/>
        </a:stretch>
      </xdr:blipFill>
      <xdr:spPr>
        <a:xfrm>
          <a:off x="8143875" y="15794917"/>
          <a:ext cx="5218909" cy="4330752"/>
        </a:xfrm>
        <a:prstGeom prst="rect">
          <a:avLst/>
        </a:prstGeom>
      </xdr:spPr>
    </xdr:pic>
    <xdr:clientData/>
  </xdr:twoCellAnchor>
  <xdr:twoCellAnchor>
    <xdr:from>
      <xdr:col>8</xdr:col>
      <xdr:colOff>590551</xdr:colOff>
      <xdr:row>280</xdr:row>
      <xdr:rowOff>190499</xdr:rowOff>
    </xdr:from>
    <xdr:to>
      <xdr:col>15</xdr:col>
      <xdr:colOff>771605</xdr:colOff>
      <xdr:row>308</xdr:row>
      <xdr:rowOff>95249</xdr:rowOff>
    </xdr:to>
    <xdr:grpSp>
      <xdr:nvGrpSpPr>
        <xdr:cNvPr id="21" name="Group 20"/>
        <xdr:cNvGrpSpPr/>
      </xdr:nvGrpSpPr>
      <xdr:grpSpPr>
        <a:xfrm>
          <a:off x="6905626" y="51692174"/>
          <a:ext cx="6172279" cy="5495925"/>
          <a:chOff x="85726" y="50730149"/>
          <a:chExt cx="6172279" cy="5495925"/>
        </a:xfrm>
      </xdr:grpSpPr>
      <xdr:pic>
        <xdr:nvPicPr>
          <xdr:cNvPr id="36" name="Picture 35" descr="https://vsjcllp.vsjadon.com/upload/insp-225621-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171825" y="53740049"/>
            <a:ext cx="1862577" cy="2486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25621-871.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85726" y="50731737"/>
            <a:ext cx="2190848" cy="29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25621-85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362200" y="50730149"/>
            <a:ext cx="3895805" cy="29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25621-84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219200" y="53740049"/>
            <a:ext cx="1870346" cy="2486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609600</xdr:colOff>
      <xdr:row>379</xdr:row>
      <xdr:rowOff>98208</xdr:rowOff>
    </xdr:from>
    <xdr:to>
      <xdr:col>7</xdr:col>
      <xdr:colOff>267100</xdr:colOff>
      <xdr:row>401</xdr:row>
      <xdr:rowOff>17658</xdr:rowOff>
    </xdr:to>
    <xdr:grpSp>
      <xdr:nvGrpSpPr>
        <xdr:cNvPr id="22" name="Group 21"/>
        <xdr:cNvGrpSpPr/>
      </xdr:nvGrpSpPr>
      <xdr:grpSpPr>
        <a:xfrm>
          <a:off x="609600" y="71392833"/>
          <a:ext cx="5239150" cy="4320000"/>
          <a:chOff x="609600" y="72354858"/>
          <a:chExt cx="5239150" cy="4320000"/>
        </a:xfrm>
      </xdr:grpSpPr>
      <xdr:grpSp>
        <xdr:nvGrpSpPr>
          <xdr:cNvPr id="9" name="Group 8"/>
          <xdr:cNvGrpSpPr/>
        </xdr:nvGrpSpPr>
        <xdr:grpSpPr>
          <a:xfrm>
            <a:off x="609600" y="72354858"/>
            <a:ext cx="5239150" cy="4320000"/>
            <a:chOff x="504825" y="59086533"/>
            <a:chExt cx="5239150" cy="4320000"/>
          </a:xfrm>
        </xdr:grpSpPr>
        <xdr:pic>
          <xdr:nvPicPr>
            <xdr:cNvPr id="3" name="Picture 2"/>
            <xdr:cNvPicPr>
              <a:picLocks noChangeAspect="1"/>
            </xdr:cNvPicPr>
          </xdr:nvPicPr>
          <xdr:blipFill>
            <a:blip xmlns:r="http://schemas.openxmlformats.org/officeDocument/2006/relationships" r:embed="rId8"/>
            <a:stretch>
              <a:fillRect/>
            </a:stretch>
          </xdr:blipFill>
          <xdr:spPr>
            <a:xfrm>
              <a:off x="504825" y="59086533"/>
              <a:ext cx="5239150" cy="4320000"/>
            </a:xfrm>
            <a:prstGeom prst="rect">
              <a:avLst/>
            </a:prstGeom>
            <a:ln>
              <a:solidFill>
                <a:schemeClr val="tx1"/>
              </a:solidFill>
            </a:ln>
          </xdr:spPr>
        </xdr:pic>
        <xdr:sp macro="" textlink="">
          <xdr:nvSpPr>
            <xdr:cNvPr id="5" name="Freeform 4"/>
            <xdr:cNvSpPr/>
          </xdr:nvSpPr>
          <xdr:spPr>
            <a:xfrm>
              <a:off x="1771650" y="59902725"/>
              <a:ext cx="3105150" cy="2895600"/>
            </a:xfrm>
            <a:custGeom>
              <a:avLst/>
              <a:gdLst>
                <a:gd name="connsiteX0" fmla="*/ 0 w 3105150"/>
                <a:gd name="connsiteY0" fmla="*/ 304800 h 2895600"/>
                <a:gd name="connsiteX1" fmla="*/ 285750 w 3105150"/>
                <a:gd name="connsiteY1" fmla="*/ 1619250 h 2895600"/>
                <a:gd name="connsiteX2" fmla="*/ 1457325 w 3105150"/>
                <a:gd name="connsiteY2" fmla="*/ 2895600 h 2895600"/>
                <a:gd name="connsiteX3" fmla="*/ 3105150 w 3105150"/>
                <a:gd name="connsiteY3" fmla="*/ 923925 h 2895600"/>
                <a:gd name="connsiteX4" fmla="*/ 1857375 w 3105150"/>
                <a:gd name="connsiteY4" fmla="*/ 66675 h 2895600"/>
                <a:gd name="connsiteX5" fmla="*/ 552450 w 3105150"/>
                <a:gd name="connsiteY5" fmla="*/ 0 h 2895600"/>
                <a:gd name="connsiteX6" fmla="*/ 0 w 3105150"/>
                <a:gd name="connsiteY6" fmla="*/ 304800 h 2895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105150" h="2895600">
                  <a:moveTo>
                    <a:pt x="0" y="304800"/>
                  </a:moveTo>
                  <a:lnTo>
                    <a:pt x="285750" y="1619250"/>
                  </a:lnTo>
                  <a:lnTo>
                    <a:pt x="1457325" y="2895600"/>
                  </a:lnTo>
                  <a:lnTo>
                    <a:pt x="3105150" y="923925"/>
                  </a:lnTo>
                  <a:lnTo>
                    <a:pt x="1857375" y="66675"/>
                  </a:lnTo>
                  <a:lnTo>
                    <a:pt x="552450" y="0"/>
                  </a:lnTo>
                  <a:lnTo>
                    <a:pt x="0" y="3048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 name="Rectangle 5"/>
            <xdr:cNvSpPr/>
          </xdr:nvSpPr>
          <xdr:spPr>
            <a:xfrm rot="20471768">
              <a:off x="1948982" y="60129219"/>
              <a:ext cx="547321" cy="112307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 name="TextBox 6"/>
            <xdr:cNvSpPr txBox="1"/>
          </xdr:nvSpPr>
          <xdr:spPr>
            <a:xfrm>
              <a:off x="2943225" y="60274199"/>
              <a:ext cx="1152525" cy="58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FF00"/>
                  </a:solidFill>
                </a:rPr>
                <a:t>Cluster</a:t>
              </a:r>
              <a:r>
                <a:rPr lang="en-IN" sz="1400" b="1" baseline="0">
                  <a:solidFill>
                    <a:srgbClr val="FFFF00"/>
                  </a:solidFill>
                </a:rPr>
                <a:t> 15.04</a:t>
              </a:r>
            </a:p>
            <a:p>
              <a:r>
                <a:rPr lang="en-IN" sz="1400" b="1" baseline="0">
                  <a:solidFill>
                    <a:srgbClr val="FFFF00"/>
                  </a:solidFill>
                </a:rPr>
                <a:t>  (Fiora)</a:t>
              </a:r>
              <a:endParaRPr lang="en-IN" sz="1400" b="1">
                <a:solidFill>
                  <a:srgbClr val="FFFF00"/>
                </a:solidFill>
              </a:endParaRPr>
            </a:p>
          </xdr:txBody>
        </xdr:sp>
        <xdr:sp macro="" textlink="">
          <xdr:nvSpPr>
            <xdr:cNvPr id="8" name="TextBox 7"/>
            <xdr:cNvSpPr txBox="1"/>
          </xdr:nvSpPr>
          <xdr:spPr>
            <a:xfrm>
              <a:off x="2562226" y="60731400"/>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Wing</a:t>
              </a:r>
              <a:r>
                <a:rPr lang="en-IN" sz="1200" b="1" baseline="0">
                  <a:solidFill>
                    <a:srgbClr val="FFFF00"/>
                  </a:solidFill>
                </a:rPr>
                <a:t> K</a:t>
              </a:r>
              <a:endParaRPr lang="en-IN" sz="1200" b="1">
                <a:solidFill>
                  <a:srgbClr val="FFFF00"/>
                </a:solidFill>
              </a:endParaRPr>
            </a:p>
          </xdr:txBody>
        </xdr:sp>
      </xdr:grpSp>
      <xdr:sp macro="" textlink="">
        <xdr:nvSpPr>
          <xdr:cNvPr id="40" name="TextBox 39"/>
          <xdr:cNvSpPr txBox="1"/>
        </xdr:nvSpPr>
        <xdr:spPr>
          <a:xfrm>
            <a:off x="2438400" y="73450233"/>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Wing</a:t>
            </a:r>
            <a:r>
              <a:rPr lang="en-IN" sz="1200" b="1" baseline="0">
                <a:solidFill>
                  <a:srgbClr val="FFFF00"/>
                </a:solidFill>
              </a:rPr>
              <a:t> J</a:t>
            </a:r>
            <a:endParaRPr lang="en-IN" sz="1200" b="1">
              <a:solidFill>
                <a:srgbClr val="FFFF00"/>
              </a:solidFill>
            </a:endParaRPr>
          </a:p>
        </xdr:txBody>
      </xdr:sp>
    </xdr:grpSp>
    <xdr:clientData/>
  </xdr:twoCellAnchor>
  <xdr:oneCellAnchor>
    <xdr:from>
      <xdr:col>9</xdr:col>
      <xdr:colOff>88900</xdr:colOff>
      <xdr:row>276</xdr:row>
      <xdr:rowOff>177800</xdr:rowOff>
    </xdr:from>
    <xdr:ext cx="685572" cy="311496"/>
    <xdr:sp macro="" textlink="">
      <xdr:nvSpPr>
        <xdr:cNvPr id="16" name="TextBox 15"/>
        <xdr:cNvSpPr txBox="1"/>
      </xdr:nvSpPr>
      <xdr:spPr>
        <a:xfrm>
          <a:off x="7931150" y="49885600"/>
          <a:ext cx="68557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Fiora K</a:t>
          </a:r>
        </a:p>
      </xdr:txBody>
    </xdr:sp>
    <xdr:clientData/>
  </xdr:oneCellAnchor>
  <xdr:twoCellAnchor>
    <xdr:from>
      <xdr:col>0</xdr:col>
      <xdr:colOff>254000</xdr:colOff>
      <xdr:row>280</xdr:row>
      <xdr:rowOff>101600</xdr:rowOff>
    </xdr:from>
    <xdr:to>
      <xdr:col>7</xdr:col>
      <xdr:colOff>487276</xdr:colOff>
      <xdr:row>314</xdr:row>
      <xdr:rowOff>29581</xdr:rowOff>
    </xdr:to>
    <xdr:grpSp>
      <xdr:nvGrpSpPr>
        <xdr:cNvPr id="17" name="Group 16"/>
        <xdr:cNvGrpSpPr/>
      </xdr:nvGrpSpPr>
      <xdr:grpSpPr>
        <a:xfrm>
          <a:off x="254000" y="51603275"/>
          <a:ext cx="5814926" cy="6719306"/>
          <a:chOff x="254000" y="50596800"/>
          <a:chExt cx="6087976" cy="6614531"/>
        </a:xfrm>
      </xdr:grpSpPr>
      <xdr:pic>
        <xdr:nvPicPr>
          <xdr:cNvPr id="45" name="Picture 4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375069" y="54691331"/>
            <a:ext cx="1888032" cy="252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54000" y="50596800"/>
            <a:ext cx="2966907" cy="39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325000" y="54691331"/>
            <a:ext cx="1895907" cy="252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375069" y="50596800"/>
            <a:ext cx="2966907" cy="3960000"/>
          </a:xfrm>
          <a:prstGeom prst="rect">
            <a:avLst/>
          </a:prstGeom>
          <a:ln>
            <a:solidFill>
              <a:schemeClr val="tx1"/>
            </a:solidFill>
          </a:ln>
        </xdr:spPr>
      </xdr:pic>
      <xdr:sp macro="" textlink="">
        <xdr:nvSpPr>
          <xdr:cNvPr id="49" name="TextBox 48"/>
          <xdr:cNvSpPr txBox="1"/>
        </xdr:nvSpPr>
        <xdr:spPr>
          <a:xfrm>
            <a:off x="1339850" y="50730150"/>
            <a:ext cx="68557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Fiora K</a:t>
            </a:r>
          </a:p>
        </xdr:txBody>
      </xdr:sp>
      <xdr:sp macro="" textlink="">
        <xdr:nvSpPr>
          <xdr:cNvPr id="50" name="TextBox 49"/>
          <xdr:cNvSpPr txBox="1"/>
        </xdr:nvSpPr>
        <xdr:spPr>
          <a:xfrm>
            <a:off x="4111669" y="50660300"/>
            <a:ext cx="68557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Fiora K</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qkLjAAxatVJ7PC2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61"/>
  <sheetViews>
    <sheetView tabSelected="1" view="pageBreakPreview" zoomScaleNormal="100" zoomScaleSheetLayoutView="100" zoomScalePageLayoutView="85" workbookViewId="0">
      <selection activeCell="J7" sqref="J7"/>
    </sheetView>
  </sheetViews>
  <sheetFormatPr defaultColWidth="9.140625" defaultRowHeight="15.75" x14ac:dyDescent="0.25"/>
  <cols>
    <col min="1" max="1" width="11.42578125" style="38" customWidth="1"/>
    <col min="2" max="2" width="12" style="38" customWidth="1"/>
    <col min="3" max="3" width="12.7109375" style="38" customWidth="1"/>
    <col min="4" max="4" width="13.7109375" style="38" customWidth="1"/>
    <col min="5" max="5" width="11.7109375" style="38" customWidth="1"/>
    <col min="6" max="6" width="11.140625" style="38" customWidth="1"/>
    <col min="7" max="8" width="11" style="38" customWidth="1"/>
    <col min="9" max="9" width="17.42578125" style="19" customWidth="1"/>
    <col min="10" max="10" width="11.42578125" style="19" customWidth="1"/>
    <col min="11" max="11" width="10.5703125" style="19" bestFit="1" customWidth="1"/>
    <col min="12" max="12" width="13.85546875" style="19" bestFit="1" customWidth="1"/>
    <col min="13" max="13" width="11.85546875" style="19" customWidth="1"/>
    <col min="14" max="14" width="12.5703125" style="19" customWidth="1"/>
    <col min="15" max="15" width="12.140625" style="19" customWidth="1"/>
    <col min="16" max="16" width="11.7109375" style="19" customWidth="1"/>
    <col min="17" max="18" width="9.140625" style="19"/>
    <col min="19" max="19" width="10.85546875" style="19" bestFit="1" customWidth="1"/>
    <col min="20" max="20" width="10.7109375" style="19" customWidth="1"/>
    <col min="21"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200" t="s">
        <v>398</v>
      </c>
      <c r="B1" s="200"/>
      <c r="C1" s="200"/>
      <c r="D1" s="200"/>
      <c r="E1" s="200"/>
      <c r="F1" s="200"/>
      <c r="G1" s="200"/>
      <c r="H1" s="200"/>
    </row>
    <row r="2" spans="1:26" ht="16.5" customHeight="1" x14ac:dyDescent="0.25">
      <c r="A2" s="201" t="s">
        <v>0</v>
      </c>
      <c r="B2" s="201"/>
      <c r="C2" s="201"/>
      <c r="D2" s="201"/>
      <c r="E2" s="201"/>
      <c r="F2" s="201"/>
      <c r="G2" s="201"/>
      <c r="H2" s="201"/>
    </row>
    <row r="3" spans="1:26" x14ac:dyDescent="0.25">
      <c r="A3" s="202" t="s">
        <v>1</v>
      </c>
      <c r="B3" s="202"/>
      <c r="C3" s="202"/>
      <c r="D3" s="202"/>
      <c r="E3" s="202" t="str">
        <f ca="1">TEXT(TODAY(),"DD/MM/YYYY")</f>
        <v>16/09/2025</v>
      </c>
      <c r="F3" s="202"/>
      <c r="G3" s="202"/>
      <c r="H3" s="202"/>
      <c r="K3" s="54" t="s">
        <v>227</v>
      </c>
      <c r="L3" s="51" t="s">
        <v>225</v>
      </c>
      <c r="M3" s="51" t="s">
        <v>230</v>
      </c>
      <c r="N3" s="51" t="s">
        <v>228</v>
      </c>
      <c r="O3" s="51" t="s">
        <v>229</v>
      </c>
      <c r="P3" s="51" t="s">
        <v>231</v>
      </c>
    </row>
    <row r="4" spans="1:26" ht="15" customHeight="1" x14ac:dyDescent="0.25">
      <c r="A4" s="202" t="s">
        <v>224</v>
      </c>
      <c r="B4" s="202"/>
      <c r="C4" s="202"/>
      <c r="D4" s="202"/>
      <c r="E4" s="171" t="s">
        <v>225</v>
      </c>
      <c r="F4" s="171"/>
      <c r="G4" s="171"/>
      <c r="H4" s="171"/>
      <c r="K4" s="50" t="s">
        <v>226</v>
      </c>
      <c r="L4" s="51" t="s">
        <v>163</v>
      </c>
      <c r="M4" s="51" t="s">
        <v>235</v>
      </c>
      <c r="N4" s="51" t="s">
        <v>237</v>
      </c>
      <c r="O4" s="51" t="s">
        <v>239</v>
      </c>
      <c r="P4" s="51"/>
    </row>
    <row r="5" spans="1:26" ht="15" customHeight="1" x14ac:dyDescent="0.25">
      <c r="A5" s="202" t="s">
        <v>2</v>
      </c>
      <c r="B5" s="202"/>
      <c r="C5" s="202"/>
      <c r="D5" s="202"/>
      <c r="E5" s="171" t="s">
        <v>232</v>
      </c>
      <c r="F5" s="171"/>
      <c r="G5" s="171"/>
      <c r="H5" s="171"/>
      <c r="K5" s="50"/>
      <c r="L5" s="51" t="s">
        <v>232</v>
      </c>
      <c r="M5" s="51" t="s">
        <v>236</v>
      </c>
      <c r="N5" s="51" t="s">
        <v>238</v>
      </c>
      <c r="O5" s="51" t="s">
        <v>240</v>
      </c>
      <c r="P5" s="51"/>
    </row>
    <row r="6" spans="1:26" x14ac:dyDescent="0.25">
      <c r="A6" s="203" t="s">
        <v>3</v>
      </c>
      <c r="B6" s="203"/>
      <c r="C6" s="203"/>
      <c r="D6" s="203"/>
      <c r="E6" s="204">
        <v>45870</v>
      </c>
      <c r="F6" s="202"/>
      <c r="G6" s="202"/>
      <c r="H6" s="202"/>
      <c r="K6" s="50"/>
      <c r="L6" s="51" t="s">
        <v>233</v>
      </c>
      <c r="M6" s="51"/>
      <c r="N6" s="51"/>
      <c r="O6" s="51" t="s">
        <v>241</v>
      </c>
      <c r="P6" s="51"/>
    </row>
    <row r="7" spans="1:26" ht="16.5" customHeight="1" x14ac:dyDescent="0.25">
      <c r="A7" s="202" t="s">
        <v>4</v>
      </c>
      <c r="B7" s="202"/>
      <c r="C7" s="202"/>
      <c r="D7" s="202"/>
      <c r="E7" s="202" t="s">
        <v>326</v>
      </c>
      <c r="F7" s="202"/>
      <c r="G7" s="202"/>
      <c r="H7" s="202"/>
      <c r="K7" s="50"/>
      <c r="L7" s="51" t="s">
        <v>234</v>
      </c>
      <c r="M7" s="51"/>
      <c r="N7" s="51"/>
      <c r="O7" s="51" t="s">
        <v>241</v>
      </c>
      <c r="P7" s="51"/>
    </row>
    <row r="8" spans="1:26" ht="15" customHeight="1" x14ac:dyDescent="0.25">
      <c r="A8" s="202" t="s">
        <v>5</v>
      </c>
      <c r="B8" s="202"/>
      <c r="C8" s="202"/>
      <c r="D8" s="202"/>
      <c r="E8" s="202" t="str">
        <f>E7</f>
        <v>M/s. Macrotech Developers Limited</v>
      </c>
      <c r="F8" s="202"/>
      <c r="G8" s="202"/>
      <c r="H8" s="202"/>
      <c r="K8" s="50"/>
      <c r="L8" s="51"/>
      <c r="M8" s="51"/>
      <c r="N8" s="51"/>
      <c r="O8" s="51" t="s">
        <v>242</v>
      </c>
      <c r="P8" s="51"/>
    </row>
    <row r="9" spans="1:26" x14ac:dyDescent="0.25">
      <c r="A9" s="202" t="s">
        <v>6</v>
      </c>
      <c r="B9" s="202"/>
      <c r="C9" s="202"/>
      <c r="D9" s="202"/>
      <c r="E9" s="180" t="s">
        <v>375</v>
      </c>
      <c r="F9" s="180"/>
      <c r="G9" s="180"/>
      <c r="H9" s="180"/>
      <c r="K9" s="50"/>
      <c r="L9" s="51"/>
      <c r="M9" s="51"/>
      <c r="N9" s="51"/>
      <c r="O9" s="51" t="s">
        <v>243</v>
      </c>
      <c r="P9" s="51"/>
    </row>
    <row r="10" spans="1:26" x14ac:dyDescent="0.25">
      <c r="A10" s="202" t="s">
        <v>160</v>
      </c>
      <c r="B10" s="202"/>
      <c r="C10" s="202"/>
      <c r="D10" s="202"/>
      <c r="E10" s="169" t="s">
        <v>327</v>
      </c>
      <c r="F10" s="202"/>
      <c r="G10" s="202"/>
      <c r="H10" s="202"/>
      <c r="K10" s="50"/>
      <c r="L10" s="51"/>
      <c r="M10" s="51"/>
      <c r="N10" s="51"/>
      <c r="O10" s="51"/>
      <c r="P10" s="51"/>
    </row>
    <row r="11" spans="1:26" x14ac:dyDescent="0.25">
      <c r="A11" s="203" t="s">
        <v>161</v>
      </c>
      <c r="B11" s="203"/>
      <c r="C11" s="203"/>
      <c r="D11" s="203"/>
      <c r="E11" s="169" t="s">
        <v>327</v>
      </c>
      <c r="F11" s="202"/>
      <c r="G11" s="202"/>
      <c r="H11" s="202"/>
    </row>
    <row r="12" spans="1:26" x14ac:dyDescent="0.25">
      <c r="A12" s="202" t="s">
        <v>7</v>
      </c>
      <c r="B12" s="202"/>
      <c r="C12" s="202"/>
      <c r="D12" s="202"/>
      <c r="E12" s="203" t="s">
        <v>373</v>
      </c>
      <c r="F12" s="203"/>
      <c r="G12" s="203"/>
      <c r="H12" s="203"/>
    </row>
    <row r="13" spans="1:26" x14ac:dyDescent="0.25">
      <c r="A13" s="202" t="s">
        <v>164</v>
      </c>
      <c r="B13" s="202"/>
      <c r="C13" s="202"/>
      <c r="D13" s="202"/>
      <c r="E13" s="202" t="s">
        <v>28</v>
      </c>
      <c r="F13" s="202"/>
      <c r="G13" s="202"/>
      <c r="H13" s="202"/>
      <c r="S13" s="51" t="s">
        <v>171</v>
      </c>
      <c r="T13" s="51" t="s">
        <v>180</v>
      </c>
      <c r="U13" s="51" t="s">
        <v>165</v>
      </c>
      <c r="V13" s="51" t="s">
        <v>185</v>
      </c>
      <c r="W13" s="51" t="s">
        <v>203</v>
      </c>
      <c r="X13"/>
      <c r="Y13" t="s">
        <v>185</v>
      </c>
      <c r="Z13" t="e">
        <f ca="1">OFFSET($S$13,1,MATCH($G20,$S$13:$W$13,0)-1,15,1)</f>
        <v>#VALUE!</v>
      </c>
    </row>
    <row r="14" spans="1:26" x14ac:dyDescent="0.25">
      <c r="A14" s="205" t="s">
        <v>270</v>
      </c>
      <c r="B14" s="205"/>
      <c r="C14" s="205"/>
      <c r="D14" s="205"/>
      <c r="E14" s="170" t="s">
        <v>218</v>
      </c>
      <c r="F14" s="170"/>
      <c r="G14" s="170"/>
      <c r="H14" s="170"/>
      <c r="S14" s="51" t="s">
        <v>171</v>
      </c>
      <c r="T14" s="51" t="s">
        <v>178</v>
      </c>
      <c r="U14" s="51" t="s">
        <v>200</v>
      </c>
      <c r="V14" s="51" t="s">
        <v>186</v>
      </c>
      <c r="W14" s="51" t="s">
        <v>204</v>
      </c>
      <c r="X14"/>
      <c r="Y14"/>
      <c r="Z14"/>
    </row>
    <row r="15" spans="1:26" ht="33" customHeight="1" x14ac:dyDescent="0.25">
      <c r="A15" s="119" t="s">
        <v>8</v>
      </c>
      <c r="B15" s="119"/>
      <c r="C15" s="119"/>
      <c r="D15" s="119"/>
      <c r="E15" s="170" t="s">
        <v>372</v>
      </c>
      <c r="F15" s="171"/>
      <c r="G15" s="171"/>
      <c r="H15" s="171"/>
      <c r="I15" s="112" t="e">
        <f ca="1">OFFSET($D$5,1,MATCH($J13,$D$5:$H$5,0)-1,15,1)</f>
        <v>#N/A</v>
      </c>
      <c r="J15" s="113"/>
      <c r="K15" s="113"/>
      <c r="L15" s="113"/>
      <c r="M15" s="113"/>
      <c r="N15" s="113"/>
      <c r="O15" s="113"/>
      <c r="P15" s="113"/>
      <c r="S15" s="51" t="s">
        <v>172</v>
      </c>
      <c r="T15" s="51" t="s">
        <v>179</v>
      </c>
      <c r="U15" s="51" t="s">
        <v>201</v>
      </c>
      <c r="V15" s="51" t="s">
        <v>187</v>
      </c>
      <c r="W15" s="51" t="s">
        <v>217</v>
      </c>
      <c r="X15"/>
      <c r="Y15"/>
      <c r="Z15"/>
    </row>
    <row r="16" spans="1:26" ht="48.75" customHeight="1" x14ac:dyDescent="0.25">
      <c r="A16" s="128" t="s">
        <v>9</v>
      </c>
      <c r="B16" s="128"/>
      <c r="C16" s="128" t="str">
        <f>CONCATENATE((IF(OR(E9="",E9="NA"),"",E9)),", ",(IF(OR(A17="",A17="NA"),"",A17)),".",(IF(OR(C17="",C17="NA"),"",C17)),", near ",(IF(OR(C22="",C22="NA"),"",C22)),", ",(IF(OR(C19="",C19="NA"),"",C19)),", ",(IF(OR(C18="",C18="NA"),"",C18)),", ",(IF(OR(G19="",G19="NA"),"",G19)),", ",(IF(OR(C20="",C20="NA"),"",C20)),", ",(IF(OR(C21="",C21="NA"),"",C21)),", ",(IF(OR(G20="",G20="NA"),"",G20))," - ",(IF(OR(G21="",G21="NA"),"",G21)),".")</f>
        <v>Lodha Codename Premier - Fiora J &amp; K, Sector.O &amp; R, Survey No. 24/1A (Pt), 24/1B (Pt),260/1A &amp; 260/1B, near Codename Premier Casa Fiora-A, Central Ave Road, Sonar Pada, Hedutane, Dombivali East, Kalyan, Thane - 421203.</v>
      </c>
      <c r="D16" s="128"/>
      <c r="E16" s="128"/>
      <c r="F16" s="128"/>
      <c r="G16" s="128"/>
      <c r="H16" s="128"/>
      <c r="S16" s="51" t="s">
        <v>173</v>
      </c>
      <c r="T16" s="51" t="s">
        <v>181</v>
      </c>
      <c r="U16" s="51" t="s">
        <v>202</v>
      </c>
      <c r="V16" s="51" t="s">
        <v>188</v>
      </c>
      <c r="W16" s="51" t="s">
        <v>205</v>
      </c>
      <c r="X16"/>
      <c r="Y16"/>
      <c r="Z16"/>
    </row>
    <row r="17" spans="1:26" x14ac:dyDescent="0.25">
      <c r="A17" s="170" t="s">
        <v>328</v>
      </c>
      <c r="B17" s="170"/>
      <c r="C17" s="170" t="s">
        <v>329</v>
      </c>
      <c r="D17" s="170"/>
      <c r="E17" s="170"/>
      <c r="F17" s="170"/>
      <c r="G17" s="170"/>
      <c r="H17" s="170"/>
      <c r="S17" s="51" t="s">
        <v>174</v>
      </c>
      <c r="T17" s="51" t="s">
        <v>182</v>
      </c>
      <c r="U17" s="51" t="s">
        <v>165</v>
      </c>
      <c r="V17" s="51" t="s">
        <v>189</v>
      </c>
      <c r="W17" s="51" t="s">
        <v>206</v>
      </c>
      <c r="X17"/>
      <c r="Y17"/>
      <c r="Z17"/>
    </row>
    <row r="18" spans="1:26" ht="15.75" customHeight="1" x14ac:dyDescent="0.25">
      <c r="A18" s="170" t="s">
        <v>156</v>
      </c>
      <c r="B18" s="170"/>
      <c r="C18" s="170" t="s">
        <v>332</v>
      </c>
      <c r="D18" s="170"/>
      <c r="E18" s="170"/>
      <c r="F18" s="170"/>
      <c r="G18" s="170"/>
      <c r="H18" s="170"/>
      <c r="S18" s="51" t="s">
        <v>175</v>
      </c>
      <c r="T18" s="51" t="s">
        <v>180</v>
      </c>
      <c r="U18" s="51"/>
      <c r="V18" s="51" t="s">
        <v>190</v>
      </c>
      <c r="W18" s="51" t="s">
        <v>207</v>
      </c>
      <c r="X18"/>
      <c r="Y18"/>
      <c r="Z18"/>
    </row>
    <row r="19" spans="1:26" ht="15.75" customHeight="1" x14ac:dyDescent="0.25">
      <c r="A19" s="170" t="s">
        <v>10</v>
      </c>
      <c r="B19" s="170"/>
      <c r="C19" s="171" t="s">
        <v>331</v>
      </c>
      <c r="D19" s="171"/>
      <c r="E19" s="170" t="s">
        <v>68</v>
      </c>
      <c r="F19" s="170"/>
      <c r="G19" s="170" t="s">
        <v>330</v>
      </c>
      <c r="H19" s="170"/>
      <c r="S19" s="51" t="s">
        <v>176</v>
      </c>
      <c r="T19" s="51" t="s">
        <v>183</v>
      </c>
      <c r="U19" s="51"/>
      <c r="V19" s="51" t="s">
        <v>191</v>
      </c>
      <c r="W19" s="51" t="s">
        <v>208</v>
      </c>
      <c r="X19"/>
      <c r="Y19"/>
      <c r="Z19"/>
    </row>
    <row r="20" spans="1:26" x14ac:dyDescent="0.25">
      <c r="A20" s="171" t="s">
        <v>12</v>
      </c>
      <c r="B20" s="171"/>
      <c r="C20" s="170" t="s">
        <v>348</v>
      </c>
      <c r="D20" s="170"/>
      <c r="E20" s="170" t="s">
        <v>11</v>
      </c>
      <c r="F20" s="170"/>
      <c r="G20" s="206" t="s">
        <v>171</v>
      </c>
      <c r="H20" s="206"/>
      <c r="S20" s="51" t="s">
        <v>177</v>
      </c>
      <c r="T20" s="51" t="s">
        <v>184</v>
      </c>
      <c r="U20" s="51"/>
      <c r="V20" s="51" t="s">
        <v>192</v>
      </c>
      <c r="W20" s="51" t="s">
        <v>209</v>
      </c>
      <c r="X20"/>
      <c r="Y20"/>
      <c r="Z20"/>
    </row>
    <row r="21" spans="1:26" x14ac:dyDescent="0.25">
      <c r="A21" s="171" t="s">
        <v>69</v>
      </c>
      <c r="B21" s="171"/>
      <c r="C21" s="170" t="s">
        <v>173</v>
      </c>
      <c r="D21" s="170"/>
      <c r="E21" s="170" t="s">
        <v>13</v>
      </c>
      <c r="F21" s="170"/>
      <c r="G21" s="170">
        <v>421203</v>
      </c>
      <c r="H21" s="170"/>
      <c r="S21" s="51"/>
      <c r="T21" s="51"/>
      <c r="U21" s="51"/>
      <c r="V21" s="51" t="s">
        <v>193</v>
      </c>
      <c r="W21" s="51" t="s">
        <v>210</v>
      </c>
      <c r="X21"/>
      <c r="Y21"/>
      <c r="Z21"/>
    </row>
    <row r="22" spans="1:26" ht="32.25" customHeight="1" x14ac:dyDescent="0.25">
      <c r="A22" s="171" t="s">
        <v>115</v>
      </c>
      <c r="B22" s="171"/>
      <c r="C22" s="170" t="s">
        <v>349</v>
      </c>
      <c r="D22" s="170"/>
      <c r="E22" s="170" t="s">
        <v>14</v>
      </c>
      <c r="F22" s="170"/>
      <c r="G22" s="170" t="s">
        <v>347</v>
      </c>
      <c r="H22" s="170"/>
      <c r="S22" s="51"/>
      <c r="T22" s="51"/>
      <c r="U22" s="51"/>
      <c r="V22" s="51" t="s">
        <v>194</v>
      </c>
      <c r="W22" s="51" t="s">
        <v>211</v>
      </c>
      <c r="X22"/>
      <c r="Y22"/>
      <c r="Z22"/>
    </row>
    <row r="23" spans="1:26" ht="15" customHeight="1" x14ac:dyDescent="0.25">
      <c r="A23" s="128" t="s">
        <v>71</v>
      </c>
      <c r="B23" s="128"/>
      <c r="C23" s="128"/>
      <c r="D23" s="128"/>
      <c r="E23" s="202" t="s">
        <v>15</v>
      </c>
      <c r="F23" s="202"/>
      <c r="G23" s="202"/>
      <c r="H23" s="202"/>
      <c r="S23" s="51"/>
      <c r="T23" s="51"/>
      <c r="U23" s="51"/>
      <c r="V23" s="51" t="s">
        <v>195</v>
      </c>
      <c r="W23" s="51" t="s">
        <v>212</v>
      </c>
      <c r="X23"/>
      <c r="Y23"/>
      <c r="Z23"/>
    </row>
    <row r="24" spans="1:26" ht="18.75" customHeight="1" x14ac:dyDescent="0.25">
      <c r="A24" s="128"/>
      <c r="B24" s="128"/>
      <c r="C24" s="128"/>
      <c r="D24" s="128"/>
      <c r="E24" s="202"/>
      <c r="F24" s="202"/>
      <c r="G24" s="202"/>
      <c r="H24" s="202"/>
      <c r="S24" s="51"/>
      <c r="T24" s="51"/>
      <c r="U24" s="51"/>
      <c r="V24" s="51" t="s">
        <v>196</v>
      </c>
      <c r="W24" s="51" t="s">
        <v>213</v>
      </c>
      <c r="X24"/>
      <c r="Y24"/>
      <c r="Z24"/>
    </row>
    <row r="25" spans="1:26" ht="15" customHeight="1" x14ac:dyDescent="0.25">
      <c r="A25" s="128" t="s">
        <v>16</v>
      </c>
      <c r="B25" s="128"/>
      <c r="C25" s="128"/>
      <c r="D25" s="128"/>
      <c r="E25" s="169" t="s">
        <v>17</v>
      </c>
      <c r="F25" s="169"/>
      <c r="G25" s="169"/>
      <c r="H25" s="169"/>
      <c r="S25" s="51"/>
      <c r="T25" s="51"/>
      <c r="U25" s="51"/>
      <c r="V25" s="51" t="s">
        <v>197</v>
      </c>
      <c r="W25" s="51" t="s">
        <v>214</v>
      </c>
      <c r="X25"/>
      <c r="Y25"/>
      <c r="Z25"/>
    </row>
    <row r="26" spans="1:26" ht="15" customHeight="1" x14ac:dyDescent="0.25">
      <c r="A26" s="119" t="s">
        <v>18</v>
      </c>
      <c r="B26" s="119"/>
      <c r="C26" s="119"/>
      <c r="D26" s="119"/>
      <c r="E26" s="169" t="str">
        <f>IF(AND(G20="Mumbai"),"Upper Class","Middle Class")</f>
        <v>Middle Class</v>
      </c>
      <c r="F26" s="169"/>
      <c r="G26" s="169"/>
      <c r="H26" s="169"/>
      <c r="S26" s="51"/>
      <c r="T26" s="51"/>
      <c r="U26" s="51"/>
      <c r="V26" s="51" t="s">
        <v>198</v>
      </c>
      <c r="W26" s="51" t="s">
        <v>215</v>
      </c>
      <c r="X26"/>
      <c r="Y26"/>
      <c r="Z26"/>
    </row>
    <row r="27" spans="1:26" x14ac:dyDescent="0.25">
      <c r="A27" s="119" t="s">
        <v>19</v>
      </c>
      <c r="B27" s="119"/>
      <c r="C27" s="119"/>
      <c r="D27" s="119"/>
      <c r="E27" s="169" t="s">
        <v>20</v>
      </c>
      <c r="F27" s="169"/>
      <c r="G27" s="169"/>
      <c r="H27" s="169"/>
      <c r="S27" s="51"/>
      <c r="T27" s="51"/>
      <c r="U27" s="51"/>
      <c r="V27" s="51" t="s">
        <v>199</v>
      </c>
      <c r="W27" s="51" t="s">
        <v>216</v>
      </c>
      <c r="X27"/>
      <c r="Y27"/>
      <c r="Z27"/>
    </row>
    <row r="28" spans="1:26" ht="15.75" customHeight="1" x14ac:dyDescent="0.25">
      <c r="A28" s="119" t="s">
        <v>21</v>
      </c>
      <c r="B28" s="119"/>
      <c r="C28" s="119"/>
      <c r="D28" s="119"/>
      <c r="E28" s="169" t="str">
        <f>IF(AND(G20="Mumbai"),"Developed","Developing")</f>
        <v>Developing</v>
      </c>
      <c r="F28" s="169"/>
      <c r="G28" s="169"/>
      <c r="H28" s="169"/>
    </row>
    <row r="29" spans="1:26" x14ac:dyDescent="0.25">
      <c r="A29" s="119" t="s">
        <v>22</v>
      </c>
      <c r="B29" s="119"/>
      <c r="C29" s="119"/>
      <c r="D29" s="119"/>
      <c r="E29" s="169" t="s">
        <v>23</v>
      </c>
      <c r="F29" s="169"/>
      <c r="G29" s="169"/>
      <c r="H29" s="169"/>
    </row>
    <row r="30" spans="1:26" ht="15.75" customHeight="1" x14ac:dyDescent="0.25">
      <c r="A30" s="119" t="s">
        <v>76</v>
      </c>
      <c r="B30" s="119"/>
      <c r="C30" s="119"/>
      <c r="D30" s="119"/>
      <c r="E30" s="169" t="s">
        <v>77</v>
      </c>
      <c r="F30" s="169"/>
      <c r="G30" s="169"/>
      <c r="H30" s="169"/>
    </row>
    <row r="31" spans="1:26" ht="15" customHeight="1" x14ac:dyDescent="0.25">
      <c r="A31" s="119" t="s">
        <v>30</v>
      </c>
      <c r="B31" s="119"/>
      <c r="C31" s="119"/>
      <c r="D31" s="119"/>
      <c r="E31" s="169"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1" s="169"/>
      <c r="G31" s="169"/>
      <c r="H31" s="169"/>
    </row>
    <row r="32" spans="1:26" ht="15.75" customHeight="1" x14ac:dyDescent="0.25">
      <c r="A32" s="119" t="s">
        <v>87</v>
      </c>
      <c r="B32" s="119"/>
      <c r="C32" s="119"/>
      <c r="D32" s="119"/>
      <c r="E32" s="169" t="s">
        <v>31</v>
      </c>
      <c r="F32" s="169"/>
      <c r="G32" s="169"/>
      <c r="H32" s="169"/>
    </row>
    <row r="33" spans="1:19" s="20" customFormat="1" x14ac:dyDescent="0.25">
      <c r="A33" s="210" t="s">
        <v>88</v>
      </c>
      <c r="B33" s="210"/>
      <c r="C33" s="209" t="s">
        <v>166</v>
      </c>
      <c r="D33" s="209"/>
      <c r="E33" s="209"/>
      <c r="F33" s="209" t="s">
        <v>29</v>
      </c>
      <c r="G33" s="209"/>
      <c r="H33" s="209"/>
      <c r="S33" s="20" t="e">
        <f ca="1">OFFSET($S$13,1,MATCH($G20,$S$13:$W$13,0)-1,15,1)</f>
        <v>#VALUE!</v>
      </c>
    </row>
    <row r="34" spans="1:19" s="20" customFormat="1" x14ac:dyDescent="0.25">
      <c r="A34" s="207" t="s">
        <v>24</v>
      </c>
      <c r="B34" s="207" t="s">
        <v>28</v>
      </c>
      <c r="C34" s="208" t="s">
        <v>353</v>
      </c>
      <c r="D34" s="208"/>
      <c r="E34" s="208"/>
      <c r="F34" s="211" t="s">
        <v>350</v>
      </c>
      <c r="G34" s="211"/>
      <c r="H34" s="211"/>
    </row>
    <row r="35" spans="1:19" ht="15.75" customHeight="1" x14ac:dyDescent="0.25">
      <c r="A35" s="207" t="s">
        <v>25</v>
      </c>
      <c r="B35" s="207" t="s">
        <v>28</v>
      </c>
      <c r="C35" s="208" t="s">
        <v>352</v>
      </c>
      <c r="D35" s="208"/>
      <c r="E35" s="208"/>
      <c r="F35" s="208" t="s">
        <v>335</v>
      </c>
      <c r="G35" s="208"/>
      <c r="H35" s="208"/>
    </row>
    <row r="36" spans="1:19" s="20" customFormat="1" x14ac:dyDescent="0.25">
      <c r="A36" s="207" t="s">
        <v>27</v>
      </c>
      <c r="B36" s="207" t="s">
        <v>28</v>
      </c>
      <c r="C36" s="208" t="s">
        <v>335</v>
      </c>
      <c r="D36" s="208"/>
      <c r="E36" s="208"/>
      <c r="F36" s="208" t="s">
        <v>374</v>
      </c>
      <c r="G36" s="208"/>
      <c r="H36" s="208"/>
    </row>
    <row r="37" spans="1:19" x14ac:dyDescent="0.25">
      <c r="A37" s="207" t="s">
        <v>26</v>
      </c>
      <c r="B37" s="207" t="s">
        <v>28</v>
      </c>
      <c r="C37" s="211" t="s">
        <v>351</v>
      </c>
      <c r="D37" s="211"/>
      <c r="E37" s="211"/>
      <c r="F37" s="211" t="s">
        <v>351</v>
      </c>
      <c r="G37" s="211"/>
      <c r="H37" s="211"/>
    </row>
    <row r="38" spans="1:19" x14ac:dyDescent="0.25">
      <c r="A38" s="119" t="s">
        <v>271</v>
      </c>
      <c r="B38" s="119"/>
      <c r="C38" s="119"/>
      <c r="D38" s="119"/>
      <c r="E38" s="119"/>
      <c r="F38" s="119"/>
      <c r="G38" s="119"/>
      <c r="H38" s="119"/>
    </row>
    <row r="39" spans="1:19" ht="15.75" customHeight="1" x14ac:dyDescent="0.25">
      <c r="A39" s="119" t="s">
        <v>158</v>
      </c>
      <c r="B39" s="119"/>
      <c r="C39" s="218" t="s">
        <v>333</v>
      </c>
      <c r="D39" s="218"/>
      <c r="E39" s="218"/>
      <c r="F39" s="218"/>
      <c r="G39" s="218"/>
      <c r="H39" s="218"/>
    </row>
    <row r="40" spans="1:19" x14ac:dyDescent="0.25">
      <c r="A40" s="119" t="s">
        <v>155</v>
      </c>
      <c r="B40" s="119"/>
      <c r="C40" s="227" t="s">
        <v>334</v>
      </c>
      <c r="D40" s="228"/>
      <c r="E40" s="228"/>
      <c r="F40" s="228"/>
      <c r="G40" s="228"/>
      <c r="H40" s="228"/>
    </row>
    <row r="41" spans="1:19" x14ac:dyDescent="0.25">
      <c r="A41" s="197" t="s">
        <v>32</v>
      </c>
      <c r="B41" s="197"/>
      <c r="C41" s="197"/>
      <c r="D41" s="197"/>
      <c r="E41" s="197"/>
      <c r="F41" s="197"/>
      <c r="G41" s="197"/>
      <c r="H41" s="197"/>
    </row>
    <row r="42" spans="1:19" x14ac:dyDescent="0.25">
      <c r="A42" s="119" t="s">
        <v>33</v>
      </c>
      <c r="B42" s="119"/>
      <c r="C42" s="119"/>
      <c r="D42" s="119"/>
      <c r="E42" s="212">
        <v>184911</v>
      </c>
      <c r="F42" s="212"/>
      <c r="G42" s="212"/>
      <c r="H42" s="212"/>
    </row>
    <row r="43" spans="1:19" x14ac:dyDescent="0.25">
      <c r="A43" s="119" t="s">
        <v>34</v>
      </c>
      <c r="B43" s="119"/>
      <c r="C43" s="119"/>
      <c r="D43" s="119"/>
      <c r="E43" s="130">
        <v>1.8</v>
      </c>
      <c r="F43" s="130"/>
      <c r="G43" s="130"/>
      <c r="H43" s="130"/>
    </row>
    <row r="44" spans="1:19" x14ac:dyDescent="0.25">
      <c r="A44" s="119" t="s">
        <v>35</v>
      </c>
      <c r="B44" s="119"/>
      <c r="C44" s="119"/>
      <c r="D44" s="119"/>
      <c r="E44" s="130">
        <f>E46/E42-E43</f>
        <v>1.3803312404345871</v>
      </c>
      <c r="F44" s="130"/>
      <c r="G44" s="130"/>
      <c r="H44" s="130"/>
    </row>
    <row r="45" spans="1:19" x14ac:dyDescent="0.25">
      <c r="A45" s="119" t="s">
        <v>36</v>
      </c>
      <c r="B45" s="119"/>
      <c r="C45" s="119"/>
      <c r="D45" s="119"/>
      <c r="E45" s="130">
        <f>E43+E44</f>
        <v>3.1803312404345871</v>
      </c>
      <c r="F45" s="130"/>
      <c r="G45" s="130"/>
      <c r="H45" s="130"/>
    </row>
    <row r="46" spans="1:19" x14ac:dyDescent="0.25">
      <c r="A46" s="119" t="s">
        <v>86</v>
      </c>
      <c r="B46" s="119"/>
      <c r="C46" s="119"/>
      <c r="D46" s="119"/>
      <c r="E46" s="214">
        <v>588078.23</v>
      </c>
      <c r="F46" s="214"/>
      <c r="G46" s="214"/>
      <c r="H46" s="214"/>
    </row>
    <row r="47" spans="1:19" x14ac:dyDescent="0.25">
      <c r="A47" s="202" t="s">
        <v>37</v>
      </c>
      <c r="B47" s="202"/>
      <c r="C47" s="202"/>
      <c r="D47" s="202"/>
      <c r="E47" s="171" t="s">
        <v>376</v>
      </c>
      <c r="F47" s="171"/>
      <c r="G47" s="171"/>
      <c r="H47" s="171"/>
    </row>
    <row r="48" spans="1:19" x14ac:dyDescent="0.25">
      <c r="A48" s="197" t="s">
        <v>38</v>
      </c>
      <c r="B48" s="197"/>
      <c r="C48" s="197"/>
      <c r="D48" s="197"/>
      <c r="E48" s="197"/>
      <c r="F48" s="197"/>
      <c r="G48" s="197"/>
      <c r="H48" s="197"/>
    </row>
    <row r="49" spans="1:24" ht="33.75" customHeight="1" x14ac:dyDescent="0.25">
      <c r="A49" s="133" t="s">
        <v>147</v>
      </c>
      <c r="B49" s="134"/>
      <c r="C49" s="243" t="s">
        <v>254</v>
      </c>
      <c r="D49" s="244"/>
      <c r="E49" s="244"/>
      <c r="F49" s="244"/>
      <c r="G49" s="244"/>
      <c r="H49" s="245"/>
      <c r="R49" t="s">
        <v>244</v>
      </c>
      <c r="S49" t="s">
        <v>165</v>
      </c>
      <c r="T49" t="s">
        <v>171</v>
      </c>
      <c r="U49" t="s">
        <v>185</v>
      </c>
      <c r="V49" t="s">
        <v>180</v>
      </c>
    </row>
    <row r="50" spans="1:24" ht="62.25" customHeight="1" x14ac:dyDescent="0.25">
      <c r="A50" s="133" t="s">
        <v>39</v>
      </c>
      <c r="B50" s="134"/>
      <c r="C50" s="133" t="s">
        <v>377</v>
      </c>
      <c r="D50" s="143"/>
      <c r="E50" s="134"/>
      <c r="F50" s="16" t="s">
        <v>40</v>
      </c>
      <c r="G50" s="144">
        <v>45656</v>
      </c>
      <c r="H50" s="134"/>
      <c r="R50"/>
      <c r="S50" t="s">
        <v>245</v>
      </c>
      <c r="T50" t="s">
        <v>250</v>
      </c>
      <c r="U50" t="s">
        <v>261</v>
      </c>
      <c r="V50" t="s">
        <v>266</v>
      </c>
    </row>
    <row r="51" spans="1:24" ht="65.25" customHeight="1" x14ac:dyDescent="0.25">
      <c r="A51" s="133" t="s">
        <v>379</v>
      </c>
      <c r="B51" s="134"/>
      <c r="C51" s="133" t="s">
        <v>336</v>
      </c>
      <c r="D51" s="143"/>
      <c r="E51" s="134"/>
      <c r="F51" s="16" t="s">
        <v>40</v>
      </c>
      <c r="G51" s="144">
        <v>45366</v>
      </c>
      <c r="H51" s="145"/>
      <c r="R51"/>
      <c r="S51" t="s">
        <v>246</v>
      </c>
      <c r="T51" t="s">
        <v>251</v>
      </c>
      <c r="U51" t="s">
        <v>259</v>
      </c>
      <c r="V51" t="s">
        <v>267</v>
      </c>
    </row>
    <row r="52" spans="1:24" s="21" customFormat="1" ht="50.25" customHeight="1" x14ac:dyDescent="0.25">
      <c r="A52" s="146" t="s">
        <v>378</v>
      </c>
      <c r="B52" s="147"/>
      <c r="C52" s="133" t="s">
        <v>337</v>
      </c>
      <c r="D52" s="143"/>
      <c r="E52" s="134"/>
      <c r="F52" s="16" t="s">
        <v>40</v>
      </c>
      <c r="G52" s="144">
        <f>G51</f>
        <v>45366</v>
      </c>
      <c r="H52" s="145"/>
      <c r="R52"/>
      <c r="S52" t="s">
        <v>247</v>
      </c>
      <c r="T52" t="s">
        <v>252</v>
      </c>
      <c r="U52" t="s">
        <v>249</v>
      </c>
      <c r="V52" t="s">
        <v>268</v>
      </c>
    </row>
    <row r="53" spans="1:24" s="21" customFormat="1" x14ac:dyDescent="0.25">
      <c r="A53" s="148"/>
      <c r="B53" s="149"/>
      <c r="C53" s="133" t="s">
        <v>396</v>
      </c>
      <c r="D53" s="143"/>
      <c r="E53" s="143"/>
      <c r="F53" s="143"/>
      <c r="G53" s="143"/>
      <c r="H53" s="134"/>
      <c r="R53"/>
      <c r="S53" t="s">
        <v>248</v>
      </c>
      <c r="T53" t="s">
        <v>255</v>
      </c>
      <c r="U53" t="s">
        <v>262</v>
      </c>
    </row>
    <row r="54" spans="1:24" ht="65.25" customHeight="1" x14ac:dyDescent="0.25">
      <c r="A54" s="133" t="s">
        <v>380</v>
      </c>
      <c r="B54" s="134"/>
      <c r="C54" s="133" t="s">
        <v>377</v>
      </c>
      <c r="D54" s="143"/>
      <c r="E54" s="134"/>
      <c r="F54" s="16" t="s">
        <v>40</v>
      </c>
      <c r="G54" s="144">
        <v>45656</v>
      </c>
      <c r="H54" s="145"/>
      <c r="R54"/>
      <c r="S54" t="s">
        <v>246</v>
      </c>
      <c r="T54" t="s">
        <v>251</v>
      </c>
      <c r="U54" t="s">
        <v>259</v>
      </c>
      <c r="V54" t="s">
        <v>267</v>
      </c>
    </row>
    <row r="55" spans="1:24" s="21" customFormat="1" ht="50.25" customHeight="1" x14ac:dyDescent="0.25">
      <c r="A55" s="146" t="s">
        <v>381</v>
      </c>
      <c r="B55" s="147"/>
      <c r="C55" s="133" t="s">
        <v>382</v>
      </c>
      <c r="D55" s="143"/>
      <c r="E55" s="134"/>
      <c r="F55" s="16" t="s">
        <v>40</v>
      </c>
      <c r="G55" s="144">
        <v>45656</v>
      </c>
      <c r="H55" s="145"/>
      <c r="R55"/>
      <c r="S55" t="s">
        <v>247</v>
      </c>
      <c r="T55" t="s">
        <v>252</v>
      </c>
      <c r="U55" t="s">
        <v>249</v>
      </c>
      <c r="V55" t="s">
        <v>268</v>
      </c>
    </row>
    <row r="56" spans="1:24" s="21" customFormat="1" x14ac:dyDescent="0.25">
      <c r="A56" s="148"/>
      <c r="B56" s="149"/>
      <c r="C56" s="133" t="s">
        <v>395</v>
      </c>
      <c r="D56" s="143"/>
      <c r="E56" s="143"/>
      <c r="F56" s="143"/>
      <c r="G56" s="143"/>
      <c r="H56" s="134"/>
      <c r="I56" s="21" t="s">
        <v>405</v>
      </c>
      <c r="R56"/>
      <c r="S56" t="s">
        <v>248</v>
      </c>
      <c r="T56" t="s">
        <v>255</v>
      </c>
      <c r="U56" t="s">
        <v>262</v>
      </c>
    </row>
    <row r="57" spans="1:24" s="21" customFormat="1" x14ac:dyDescent="0.25">
      <c r="A57" s="135" t="s">
        <v>272</v>
      </c>
      <c r="B57" s="136"/>
      <c r="C57" s="102" t="s">
        <v>406</v>
      </c>
      <c r="D57" s="103"/>
      <c r="E57" s="104"/>
      <c r="F57" s="90" t="s">
        <v>40</v>
      </c>
      <c r="G57" s="105">
        <v>45337</v>
      </c>
      <c r="H57" s="104"/>
      <c r="I57" s="102" t="s">
        <v>366</v>
      </c>
      <c r="J57" s="103"/>
      <c r="K57" s="104"/>
      <c r="L57" s="90" t="s">
        <v>40</v>
      </c>
      <c r="M57" s="105">
        <v>44883</v>
      </c>
      <c r="N57" s="104"/>
      <c r="R57"/>
      <c r="S57" t="s">
        <v>247</v>
      </c>
      <c r="T57" t="s">
        <v>252</v>
      </c>
      <c r="U57" t="s">
        <v>249</v>
      </c>
      <c r="V57" t="s">
        <v>268</v>
      </c>
    </row>
    <row r="58" spans="1:24" s="21" customFormat="1" x14ac:dyDescent="0.25">
      <c r="A58" s="137"/>
      <c r="B58" s="138"/>
      <c r="C58" s="106" t="s">
        <v>407</v>
      </c>
      <c r="D58" s="107"/>
      <c r="E58" s="107"/>
      <c r="F58" s="107"/>
      <c r="G58" s="107"/>
      <c r="H58" s="108"/>
      <c r="I58" s="106" t="s">
        <v>367</v>
      </c>
      <c r="J58" s="107"/>
      <c r="K58" s="107"/>
      <c r="L58" s="107"/>
      <c r="M58" s="107"/>
      <c r="N58" s="108"/>
      <c r="R58"/>
      <c r="S58" t="s">
        <v>249</v>
      </c>
      <c r="T58" t="s">
        <v>253</v>
      </c>
      <c r="U58" t="s">
        <v>263</v>
      </c>
      <c r="V58" s="19"/>
      <c r="W58" s="19"/>
      <c r="X58" s="19"/>
    </row>
    <row r="59" spans="1:24" s="21" customFormat="1" ht="34.5" customHeight="1" x14ac:dyDescent="0.25">
      <c r="A59" s="135" t="s">
        <v>273</v>
      </c>
      <c r="B59" s="136"/>
      <c r="C59" s="102" t="s">
        <v>365</v>
      </c>
      <c r="D59" s="103"/>
      <c r="E59" s="104"/>
      <c r="F59" s="90" t="s">
        <v>40</v>
      </c>
      <c r="G59" s="105">
        <v>44618</v>
      </c>
      <c r="H59" s="104"/>
      <c r="R59"/>
      <c r="S59" s="19"/>
      <c r="T59" t="s">
        <v>254</v>
      </c>
      <c r="U59" t="s">
        <v>264</v>
      </c>
      <c r="V59" s="19"/>
      <c r="W59" s="19"/>
      <c r="X59" s="19"/>
    </row>
    <row r="60" spans="1:24" s="21" customFormat="1" ht="32.25" customHeight="1" x14ac:dyDescent="0.25">
      <c r="A60" s="137"/>
      <c r="B60" s="138"/>
      <c r="C60" s="102" t="s">
        <v>368</v>
      </c>
      <c r="D60" s="103"/>
      <c r="E60" s="103"/>
      <c r="F60" s="103"/>
      <c r="G60" s="103"/>
      <c r="H60" s="104"/>
      <c r="R60"/>
      <c r="S60" s="19"/>
      <c r="T60" t="s">
        <v>256</v>
      </c>
      <c r="U60" t="s">
        <v>265</v>
      </c>
      <c r="V60" s="19"/>
      <c r="W60" s="19"/>
      <c r="X60" s="19"/>
    </row>
    <row r="61" spans="1:24" s="21" customFormat="1" ht="15.75" hidden="1" customHeight="1" x14ac:dyDescent="0.25">
      <c r="A61" s="139" t="s">
        <v>274</v>
      </c>
      <c r="B61" s="140"/>
      <c r="C61" s="133" t="str">
        <f>C60</f>
        <v>Plot Area = 5539590.50sq.mt
Total Builtup Area = 17168486.98sq.mt</v>
      </c>
      <c r="D61" s="143"/>
      <c r="E61" s="134"/>
      <c r="F61" s="16" t="s">
        <v>40</v>
      </c>
      <c r="G61" s="133">
        <f>G60</f>
        <v>0</v>
      </c>
      <c r="H61" s="134"/>
      <c r="R61"/>
      <c r="S61" s="19"/>
      <c r="T61" t="s">
        <v>257</v>
      </c>
      <c r="U61" s="19" t="s">
        <v>288</v>
      </c>
      <c r="V61" s="19"/>
      <c r="W61" s="19"/>
      <c r="X61" s="19"/>
    </row>
    <row r="62" spans="1:24" s="21" customFormat="1" ht="33.75" hidden="1" customHeight="1" x14ac:dyDescent="0.25">
      <c r="A62" s="141"/>
      <c r="B62" s="142"/>
      <c r="C62" s="133"/>
      <c r="D62" s="143"/>
      <c r="E62" s="143"/>
      <c r="F62" s="143"/>
      <c r="G62" s="143"/>
      <c r="H62" s="134"/>
      <c r="R62"/>
      <c r="S62" s="19"/>
      <c r="T62" t="s">
        <v>258</v>
      </c>
      <c r="U62" s="19"/>
      <c r="V62" s="19"/>
      <c r="W62" s="19"/>
      <c r="X62" s="19"/>
    </row>
    <row r="63" spans="1:24" x14ac:dyDescent="0.25">
      <c r="A63" s="122" t="s">
        <v>41</v>
      </c>
      <c r="B63" s="123"/>
      <c r="C63" s="122" t="s">
        <v>99</v>
      </c>
      <c r="D63" s="124"/>
      <c r="E63" s="123"/>
      <c r="F63" s="41" t="s">
        <v>40</v>
      </c>
      <c r="G63" s="216" t="s">
        <v>28</v>
      </c>
      <c r="H63" s="217"/>
      <c r="R63"/>
      <c r="T63" t="s">
        <v>260</v>
      </c>
    </row>
    <row r="64" spans="1:24" x14ac:dyDescent="0.25">
      <c r="A64" s="172" t="s">
        <v>43</v>
      </c>
      <c r="B64" s="172"/>
      <c r="C64" s="172"/>
      <c r="D64" s="172"/>
      <c r="E64" s="172"/>
      <c r="F64" s="172"/>
      <c r="G64" s="172"/>
      <c r="H64" s="172"/>
      <c r="T64" t="s">
        <v>269</v>
      </c>
    </row>
    <row r="65" spans="1:19" ht="32.25" customHeight="1" x14ac:dyDescent="0.25">
      <c r="A65" s="128" t="s">
        <v>383</v>
      </c>
      <c r="B65" s="128"/>
      <c r="C65" s="128"/>
      <c r="D65" s="119">
        <f>9957.17+10028.43</f>
        <v>19985.599999999999</v>
      </c>
      <c r="E65" s="119"/>
      <c r="F65" s="119"/>
      <c r="G65" s="119"/>
      <c r="H65" s="119"/>
      <c r="R65"/>
    </row>
    <row r="66" spans="1:19" x14ac:dyDescent="0.25">
      <c r="A66" s="215" t="s">
        <v>44</v>
      </c>
      <c r="B66" s="203"/>
      <c r="C66" s="203"/>
      <c r="D66" s="152" t="s">
        <v>393</v>
      </c>
      <c r="E66" s="152"/>
      <c r="F66" s="152"/>
      <c r="G66" s="152"/>
      <c r="H66" s="152"/>
      <c r="I66" s="22"/>
      <c r="R66"/>
    </row>
    <row r="67" spans="1:19" x14ac:dyDescent="0.25">
      <c r="A67" s="169" t="s">
        <v>45</v>
      </c>
      <c r="B67" s="169"/>
      <c r="C67" s="169"/>
      <c r="D67" s="170" t="s">
        <v>397</v>
      </c>
      <c r="E67" s="171"/>
      <c r="F67" s="171"/>
      <c r="G67" s="171"/>
      <c r="H67" s="171"/>
      <c r="R67"/>
    </row>
    <row r="68" spans="1:19" ht="15.75" customHeight="1" x14ac:dyDescent="0.25">
      <c r="A68" s="169" t="s">
        <v>84</v>
      </c>
      <c r="B68" s="169"/>
      <c r="C68" s="169"/>
      <c r="D68" s="170" t="s">
        <v>397</v>
      </c>
      <c r="E68" s="171"/>
      <c r="F68" s="171"/>
      <c r="G68" s="171"/>
      <c r="H68" s="171"/>
      <c r="R68"/>
    </row>
    <row r="69" spans="1:19" ht="32.25" customHeight="1" x14ac:dyDescent="0.25">
      <c r="A69" s="119" t="s">
        <v>42</v>
      </c>
      <c r="B69" s="119"/>
      <c r="C69" s="119"/>
      <c r="D69" s="128" t="s">
        <v>404</v>
      </c>
      <c r="E69" s="128"/>
      <c r="F69" s="128"/>
      <c r="G69" s="128"/>
      <c r="H69" s="128"/>
      <c r="J69" s="23"/>
      <c r="K69" s="22"/>
      <c r="N69" s="22"/>
      <c r="S69"/>
    </row>
    <row r="70" spans="1:19" ht="15.75" customHeight="1" x14ac:dyDescent="0.25">
      <c r="A70" s="119" t="s">
        <v>82</v>
      </c>
      <c r="B70" s="119"/>
      <c r="C70" s="119"/>
      <c r="D70" s="213" t="str">
        <f>(IF(G63="NA","60 Years After Completion",IF(G63&lt;&gt;"NA",""&amp;60-ROUNDDOWN((E3-G63)/360,0)&amp;" Years"," ")))</f>
        <v>60 Years After Completion</v>
      </c>
      <c r="E70" s="213"/>
      <c r="F70" s="213"/>
      <c r="G70" s="213"/>
      <c r="H70" s="213"/>
      <c r="N70" s="22"/>
      <c r="S70"/>
    </row>
    <row r="71" spans="1:19" ht="15.75" customHeight="1" x14ac:dyDescent="0.25">
      <c r="A71" s="119" t="s">
        <v>83</v>
      </c>
      <c r="B71" s="119"/>
      <c r="C71" s="119"/>
      <c r="D71" s="128" t="s">
        <v>23</v>
      </c>
      <c r="E71" s="128"/>
      <c r="F71" s="128"/>
      <c r="G71" s="128"/>
      <c r="H71" s="128"/>
      <c r="J71" s="24"/>
      <c r="K71" s="24"/>
      <c r="S71"/>
    </row>
    <row r="72" spans="1:19" ht="33" customHeight="1" x14ac:dyDescent="0.25">
      <c r="A72" s="152" t="s">
        <v>354</v>
      </c>
      <c r="B72" s="152"/>
      <c r="C72" s="152"/>
      <c r="D72" s="153" t="s">
        <v>355</v>
      </c>
      <c r="E72" s="153"/>
      <c r="F72" s="153"/>
      <c r="G72" s="153"/>
      <c r="H72" s="153"/>
      <c r="S72"/>
    </row>
    <row r="73" spans="1:19" x14ac:dyDescent="0.25">
      <c r="A73" s="128" t="s">
        <v>143</v>
      </c>
      <c r="B73" s="128"/>
      <c r="C73" s="128"/>
      <c r="D73" s="128" t="s">
        <v>28</v>
      </c>
      <c r="E73" s="128"/>
      <c r="F73" s="128"/>
      <c r="G73" s="128"/>
      <c r="H73" s="128"/>
      <c r="I73" s="25"/>
      <c r="J73" s="25"/>
      <c r="K73" s="25"/>
      <c r="L73" s="25"/>
      <c r="M73" s="25"/>
      <c r="N73" s="25"/>
    </row>
    <row r="74" spans="1:19" ht="15.75" customHeight="1" x14ac:dyDescent="0.25">
      <c r="A74" s="129" t="s">
        <v>81</v>
      </c>
      <c r="B74" s="129"/>
      <c r="C74" s="129"/>
      <c r="D74" s="233" t="str">
        <f ca="1">(IF(G94&gt;95%,"Nothing",IF(G94&gt;0%,"Cement, Aggregate, Steel, etc",IF(G94=0%,"Work not yet Started"))))</f>
        <v>Cement, Aggregate, Steel, etc</v>
      </c>
      <c r="E74" s="233"/>
      <c r="F74" s="233"/>
      <c r="G74" s="233"/>
      <c r="H74" s="233"/>
      <c r="J74" s="24"/>
      <c r="S74"/>
    </row>
    <row r="75" spans="1:19" ht="33.75" customHeight="1" thickBot="1" x14ac:dyDescent="0.3">
      <c r="A75" s="232" t="s">
        <v>112</v>
      </c>
      <c r="B75" s="232"/>
      <c r="C75" s="232"/>
      <c r="D75" s="233" t="str">
        <f ca="1">(IF(D74="Nothing","Yes",IF(D74="Cement, Aggregate, Steel, etc","Under Construction",IF(D74="Work not yet Started","Work not yet Started"))))</f>
        <v>Under Construction</v>
      </c>
      <c r="E75" s="233"/>
      <c r="F75" s="233" t="str">
        <f ca="1">(IF(D74="Nothing","Yes",IF(D74="Cement, Aggregate, Steel, etc","Under Construction",IF(D74="Work not yet Started","Work not yet Started"))))</f>
        <v>Under Construction</v>
      </c>
      <c r="G75" s="233"/>
      <c r="H75" s="233"/>
      <c r="S75"/>
    </row>
    <row r="76" spans="1:19" ht="15.75" customHeight="1" x14ac:dyDescent="0.25">
      <c r="A76" s="183" t="s">
        <v>133</v>
      </c>
      <c r="B76" s="184"/>
      <c r="C76" s="185" t="s">
        <v>395</v>
      </c>
      <c r="D76" s="186"/>
      <c r="E76" s="186"/>
      <c r="F76" s="186"/>
      <c r="G76" s="186"/>
      <c r="H76" s="187"/>
      <c r="I76" s="44" t="str">
        <f ca="1">IF(D89=100%,"All work Completed. Possession granted to the Building.",IF(D88=100%,"All work Completed, Waiting for OC",I77&amp;""&amp;I78&amp;""&amp;J77&amp;""&amp;J76&amp;" "&amp;J78))</f>
        <v xml:space="preserve">Excavation, Plinth Completed </v>
      </c>
      <c r="J76" s="45"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25">
      <c r="A77" s="87" t="s">
        <v>135</v>
      </c>
      <c r="B77" s="88">
        <f>IF(AND(ISNUMBER(SEARCH("1B",C76))),1,IF(AND(ISNUMBER(SEARCH("2B",C76))),2,IF(AND(ISNUMBER(SEARCH("3B",C76))),3,IF(AND(ISNUMBER(SEARCH("4B",C76))),4,IF(ISNUMBER(SEARCH("5B",C76)),5,0)))))</f>
        <v>0</v>
      </c>
      <c r="C77" s="88" t="s">
        <v>67</v>
      </c>
      <c r="D77" s="88">
        <v>1</v>
      </c>
      <c r="E77" s="88" t="s">
        <v>66</v>
      </c>
      <c r="F77" s="88">
        <v>0</v>
      </c>
      <c r="G77" s="88" t="s">
        <v>75</v>
      </c>
      <c r="H77" s="89">
        <f ca="1">--TRIM(RIGHT(SUBSTITUTE(LEFT(C76,_xlfn.AGGREGATE(16,6,FIND({0,1,2,3,4,5,6,7,8,9},C76,ROW(INDIRECT("1:"&amp;LEN(C76)))),1))," ",REPT(" ",LEN(C76))),LEN(C76)))</f>
        <v>23</v>
      </c>
      <c r="I77" s="46" t="str">
        <f ca="1">IF(D80=100%,"Excavation","")&amp;IF(D81=100%,", Plinth","")&amp;IF(D82=100%,", RCC Slab","")&amp;IF(D83=100%,", Brickwork","")&amp;IF(D84=100%,", Internal Plaster","")&amp;IF(D85=100%,", External Plaster","")&amp;IF(D86=100%,", Flooring","")&amp;IF(D87=100%,", Painting","")&amp;IF(D88=100%,", Building common Amenities","")</f>
        <v>Excavation, Plinth</v>
      </c>
      <c r="J77" s="47"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25">
      <c r="A78" s="181" t="s">
        <v>85</v>
      </c>
      <c r="B78" s="182"/>
      <c r="C78" s="150" t="str">
        <f ca="1">I76</f>
        <v xml:space="preserve">Excavation, Plinth Completed </v>
      </c>
      <c r="D78" s="150"/>
      <c r="E78" s="150"/>
      <c r="F78" s="150"/>
      <c r="G78" s="150"/>
      <c r="H78" s="151"/>
      <c r="I78" s="46" t="str">
        <f ca="1">IF(I77&lt;&gt;""," Completed","")</f>
        <v xml:space="preserve"> Completed</v>
      </c>
      <c r="J78" s="47" t="str">
        <f ca="1">IF(J76&lt;&gt;"","Completed","")</f>
        <v/>
      </c>
      <c r="S78"/>
    </row>
    <row r="79" spans="1:19" ht="15.75" customHeight="1" x14ac:dyDescent="0.25">
      <c r="A79" s="231" t="s">
        <v>46</v>
      </c>
      <c r="B79" s="132"/>
      <c r="C79" s="95" t="s">
        <v>132</v>
      </c>
      <c r="D79" s="95" t="s">
        <v>78</v>
      </c>
      <c r="E79" s="132" t="s">
        <v>80</v>
      </c>
      <c r="F79" s="132"/>
      <c r="G79" s="132" t="s">
        <v>79</v>
      </c>
      <c r="H79" s="234"/>
      <c r="I79" s="13" t="s">
        <v>134</v>
      </c>
      <c r="J79" s="26">
        <f ca="1">H77*25%</f>
        <v>5.75</v>
      </c>
      <c r="S79"/>
    </row>
    <row r="80" spans="1:19" x14ac:dyDescent="0.25">
      <c r="A80" s="231" t="s">
        <v>121</v>
      </c>
      <c r="B80" s="132"/>
      <c r="C80" s="95">
        <f ca="1">J81</f>
        <v>23</v>
      </c>
      <c r="D80" s="17">
        <f ca="1">((100/H77)*C80)/100</f>
        <v>1</v>
      </c>
      <c r="E80" s="249">
        <f ca="1">(((C81/H77*10)+(40/(D77+F77+H77)*C82)+(7.5/(H77)*C83)+(7.5/(H77)*C84)+(10/H77*C85)+(10/H77*C86)+(5/H77*C87)+(5/H77*C88)+(5/H77*C89))/100)</f>
        <v>0.1</v>
      </c>
      <c r="F80" s="250"/>
      <c r="G80" s="249">
        <f ca="1">((((C80/H77)*20)+((C81/H77)*25)+(30/(H77+F77+D77)*C82)+(5/H77*C83)+(5/H77*C84)+(5/H77*C85)+(5/H77*C86)+(0/H77*C87)+(0/H77*C88)+(5/H77*C89))/100)</f>
        <v>0.45</v>
      </c>
      <c r="H80" s="255"/>
      <c r="I80" s="13" t="s">
        <v>94</v>
      </c>
      <c r="J80" s="27">
        <f ca="1">H77*50%</f>
        <v>11.5</v>
      </c>
    </row>
    <row r="81" spans="1:19" x14ac:dyDescent="0.25">
      <c r="A81" s="231" t="s">
        <v>47</v>
      </c>
      <c r="B81" s="132"/>
      <c r="C81" s="97">
        <f ca="1">J89</f>
        <v>23</v>
      </c>
      <c r="D81" s="17">
        <f ca="1">((100/H77)*C81)/100</f>
        <v>1</v>
      </c>
      <c r="E81" s="251"/>
      <c r="F81" s="252"/>
      <c r="G81" s="251"/>
      <c r="H81" s="256"/>
      <c r="I81" s="13" t="s">
        <v>95</v>
      </c>
      <c r="J81" s="27">
        <f ca="1">H77</f>
        <v>23</v>
      </c>
      <c r="S81"/>
    </row>
    <row r="82" spans="1:19" ht="15.75" customHeight="1" x14ac:dyDescent="0.25">
      <c r="A82" s="231" t="s">
        <v>122</v>
      </c>
      <c r="B82" s="132"/>
      <c r="C82" s="95">
        <v>0</v>
      </c>
      <c r="D82" s="17">
        <f ca="1">((100/(D77+F77+H77))*C82)/100</f>
        <v>0</v>
      </c>
      <c r="E82" s="251"/>
      <c r="F82" s="252"/>
      <c r="G82" s="251"/>
      <c r="H82" s="256"/>
      <c r="I82" s="13" t="s">
        <v>96</v>
      </c>
      <c r="J82" s="28">
        <f ca="1">(IF(B77&gt;1,(H77/(B77+2)),H77/4))</f>
        <v>5.75</v>
      </c>
      <c r="S82"/>
    </row>
    <row r="83" spans="1:19" ht="15.75" customHeight="1" x14ac:dyDescent="0.25">
      <c r="A83" s="231" t="s">
        <v>129</v>
      </c>
      <c r="B83" s="132" t="s">
        <v>123</v>
      </c>
      <c r="C83" s="95">
        <v>0</v>
      </c>
      <c r="D83" s="17">
        <f ca="1">((100/H77)*C83)/100</f>
        <v>0</v>
      </c>
      <c r="E83" s="251"/>
      <c r="F83" s="252"/>
      <c r="G83" s="251"/>
      <c r="H83" s="256"/>
      <c r="I83" s="13" t="s">
        <v>97</v>
      </c>
      <c r="J83" s="28">
        <f ca="1">(IF(B77&gt;1,(H77/(B77+2)+J82),H77/4+J82))</f>
        <v>11.5</v>
      </c>
    </row>
    <row r="84" spans="1:19" ht="15.75" customHeight="1" x14ac:dyDescent="0.25">
      <c r="A84" s="231" t="s">
        <v>130</v>
      </c>
      <c r="B84" s="132" t="s">
        <v>123</v>
      </c>
      <c r="C84" s="95">
        <v>0</v>
      </c>
      <c r="D84" s="17">
        <f ca="1">((100/H77)*C84)/100</f>
        <v>0</v>
      </c>
      <c r="E84" s="251"/>
      <c r="F84" s="252"/>
      <c r="G84" s="251"/>
      <c r="H84" s="256"/>
      <c r="I84" s="13" t="s">
        <v>141</v>
      </c>
      <c r="J84" s="28">
        <f>(IF(B77&gt;1,(H77/(B77+2)+J83),0))</f>
        <v>0</v>
      </c>
    </row>
    <row r="85" spans="1:19" ht="15" customHeight="1" x14ac:dyDescent="0.25">
      <c r="A85" s="231" t="s">
        <v>128</v>
      </c>
      <c r="B85" s="132" t="s">
        <v>125</v>
      </c>
      <c r="C85" s="95">
        <v>0</v>
      </c>
      <c r="D85" s="17">
        <f ca="1">((100/(H77))*C85)/100</f>
        <v>0</v>
      </c>
      <c r="E85" s="251"/>
      <c r="F85" s="252"/>
      <c r="G85" s="251"/>
      <c r="H85" s="256"/>
      <c r="I85" s="13" t="s">
        <v>136</v>
      </c>
      <c r="J85" s="28">
        <f>(IF(B77&gt;2,(H77/(B77+2)+J84),0))</f>
        <v>0</v>
      </c>
    </row>
    <row r="86" spans="1:19" ht="15.75" customHeight="1" x14ac:dyDescent="0.25">
      <c r="A86" s="231" t="s">
        <v>124</v>
      </c>
      <c r="B86" s="132" t="s">
        <v>124</v>
      </c>
      <c r="C86" s="95">
        <v>0</v>
      </c>
      <c r="D86" s="17">
        <f ca="1">((100/H77)*C86)/100</f>
        <v>0</v>
      </c>
      <c r="E86" s="251"/>
      <c r="F86" s="252"/>
      <c r="G86" s="251"/>
      <c r="H86" s="256"/>
      <c r="I86" s="13" t="s">
        <v>137</v>
      </c>
      <c r="J86" s="29">
        <f>(IF(B77&gt;3,(H77/(B77+2)+J85),0))</f>
        <v>0</v>
      </c>
    </row>
    <row r="87" spans="1:19" ht="15.75" customHeight="1" x14ac:dyDescent="0.25">
      <c r="A87" s="231" t="s">
        <v>131</v>
      </c>
      <c r="B87" s="132"/>
      <c r="C87" s="95">
        <v>0</v>
      </c>
      <c r="D87" s="17">
        <f ca="1">((100/H77)*C87)/100</f>
        <v>0</v>
      </c>
      <c r="E87" s="251"/>
      <c r="F87" s="252"/>
      <c r="G87" s="251"/>
      <c r="H87" s="256"/>
      <c r="I87" s="13" t="s">
        <v>138</v>
      </c>
      <c r="J87" s="28">
        <f>(IF(B77&gt;4,(H77/(B77+2)+J86),0))</f>
        <v>0</v>
      </c>
    </row>
    <row r="88" spans="1:19" ht="15.75" customHeight="1" x14ac:dyDescent="0.25">
      <c r="A88" s="231" t="s">
        <v>126</v>
      </c>
      <c r="B88" s="132" t="s">
        <v>126</v>
      </c>
      <c r="C88" s="95">
        <v>0</v>
      </c>
      <c r="D88" s="17">
        <f ca="1">((100/(H77))*C88)/100</f>
        <v>0</v>
      </c>
      <c r="E88" s="251"/>
      <c r="F88" s="252"/>
      <c r="G88" s="251"/>
      <c r="H88" s="256"/>
      <c r="I88" s="13" t="s">
        <v>142</v>
      </c>
      <c r="J88" s="28">
        <f ca="1">(IF(B77=1,(H77/(B77+3)+J83),IF(B77=0,(H77/4+J83),IF(B77&gt;1,0))))</f>
        <v>17.25</v>
      </c>
    </row>
    <row r="89" spans="1:19" ht="16.5" thickBot="1" x14ac:dyDescent="0.3">
      <c r="A89" s="258" t="s">
        <v>127</v>
      </c>
      <c r="B89" s="259"/>
      <c r="C89" s="93">
        <v>0</v>
      </c>
      <c r="D89" s="18">
        <f ca="1">((100/(H77))*C89)/100</f>
        <v>0</v>
      </c>
      <c r="E89" s="253"/>
      <c r="F89" s="254"/>
      <c r="G89" s="253"/>
      <c r="H89" s="257"/>
      <c r="I89" s="15" t="s">
        <v>98</v>
      </c>
      <c r="J89" s="30">
        <f ca="1">(IF(B77&gt;1.5,(H77/(B77+2)+J83+MAX(0,J84-J83)+MAX(0,J85-J84)+MAX(0,J86-J85)+MAX(0,J87-J86)+MAX(0,J88-J87)),IF(B77=1,(H77/(B77+3)+J88),IF(B77=0,H77/4+J88))))</f>
        <v>23</v>
      </c>
    </row>
    <row r="90" spans="1:19" ht="15.75" customHeight="1" x14ac:dyDescent="0.25">
      <c r="A90" s="183" t="s">
        <v>133</v>
      </c>
      <c r="B90" s="184"/>
      <c r="C90" s="185" t="s">
        <v>396</v>
      </c>
      <c r="D90" s="186"/>
      <c r="E90" s="186"/>
      <c r="F90" s="186"/>
      <c r="G90" s="186"/>
      <c r="H90" s="187"/>
      <c r="I90" s="44" t="str">
        <f ca="1">IF(D103=100%,"All work Completed. Possession granted to the Building.",IF(D102=100%,"All work Completed, Waiting for OC",I91&amp;""&amp;I92&amp;""&amp;J91&amp;""&amp;J90&amp;" "&amp;J92))</f>
        <v>Excavation, Plinth Completed, RCC upto 19 Slab, Brickwork upto 18 Floor, Internal Plaster upto 13.5 Floor, External Plaster upto 10 Floor Completed</v>
      </c>
      <c r="J90" s="45"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RCC upto 19 Slab, Brickwork upto 18 Floor, Internal Plaster upto 13.5 Floor, External Plaster upto 10 Floor</v>
      </c>
      <c r="S90"/>
    </row>
    <row r="91" spans="1:19" x14ac:dyDescent="0.25">
      <c r="A91" s="87" t="s">
        <v>135</v>
      </c>
      <c r="B91" s="88">
        <f>IF(AND(ISNUMBER(SEARCH("1B",C90))),1,IF(AND(ISNUMBER(SEARCH("2B",C90))),2,IF(AND(ISNUMBER(SEARCH("3B",C90))),3,IF(AND(ISNUMBER(SEARCH("4B",C90))),4,IF(ISNUMBER(SEARCH("5B",C90)),5,0)))))</f>
        <v>0</v>
      </c>
      <c r="C91" s="88" t="s">
        <v>67</v>
      </c>
      <c r="D91" s="88">
        <v>1</v>
      </c>
      <c r="E91" s="88" t="s">
        <v>66</v>
      </c>
      <c r="F91" s="88">
        <v>0</v>
      </c>
      <c r="G91" s="88" t="s">
        <v>75</v>
      </c>
      <c r="H91" s="89">
        <f ca="1">--TRIM(RIGHT(SUBSTITUTE(LEFT(C90,_xlfn.AGGREGATE(16,6,FIND({0,1,2,3,4,5,6,7,8,9},C90,ROW(INDIRECT("1:"&amp;LEN(C90)))),1))," ",REPT(" ",LEN(C90))),LEN(C90)))</f>
        <v>23</v>
      </c>
      <c r="I91" s="46" t="str">
        <f ca="1">IF(D94=100%,"Excavation","")&amp;IF(D95=100%,", Plinth","")&amp;IF(D96=100%,", RCC Slab","")&amp;IF(D97=100%,", Brickwork","")&amp;IF(D98=100%,", Internal Plaster","")&amp;IF(D99=100%,", External Plaster","")&amp;IF(D100=100%,", Flooring","")&amp;IF(D101=100%,", Painting","")&amp;IF(D102=100%,", Building common Amenities","")</f>
        <v>Excavation, Plinth</v>
      </c>
      <c r="J91" s="47"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3.6" customHeight="1" x14ac:dyDescent="0.25">
      <c r="A92" s="181" t="s">
        <v>85</v>
      </c>
      <c r="B92" s="182"/>
      <c r="C92" s="150" t="str">
        <f ca="1">I90</f>
        <v>Excavation, Plinth Completed, RCC upto 19 Slab, Brickwork upto 18 Floor, Internal Plaster upto 13.5 Floor, External Plaster upto 10 Floor Completed</v>
      </c>
      <c r="D92" s="150"/>
      <c r="E92" s="150"/>
      <c r="F92" s="150"/>
      <c r="G92" s="150"/>
      <c r="H92" s="151"/>
      <c r="I92" s="46" t="str">
        <f ca="1">IF(I91&lt;&gt;""," Completed","")</f>
        <v xml:space="preserve"> Completed</v>
      </c>
      <c r="J92" s="47" t="str">
        <f ca="1">IF(J90&lt;&gt;"","Completed","")</f>
        <v>Completed</v>
      </c>
      <c r="S92"/>
    </row>
    <row r="93" spans="1:19" ht="15.75" customHeight="1" x14ac:dyDescent="0.25">
      <c r="A93" s="231" t="s">
        <v>46</v>
      </c>
      <c r="B93" s="132"/>
      <c r="C93" s="81" t="s">
        <v>132</v>
      </c>
      <c r="D93" s="81" t="s">
        <v>78</v>
      </c>
      <c r="E93" s="132" t="s">
        <v>80</v>
      </c>
      <c r="F93" s="132"/>
      <c r="G93" s="132" t="s">
        <v>79</v>
      </c>
      <c r="H93" s="234"/>
      <c r="I93" s="13" t="s">
        <v>134</v>
      </c>
      <c r="J93" s="26">
        <f ca="1">H91*25%</f>
        <v>5.75</v>
      </c>
      <c r="S93"/>
    </row>
    <row r="94" spans="1:19" x14ac:dyDescent="0.25">
      <c r="A94" s="132" t="s">
        <v>121</v>
      </c>
      <c r="B94" s="132"/>
      <c r="C94" s="98">
        <f ca="1">J95</f>
        <v>23</v>
      </c>
      <c r="D94" s="17">
        <f ca="1">((100/H91)*C94)/100</f>
        <v>1</v>
      </c>
      <c r="E94" s="188">
        <f ca="1">(((C95/H91*10)+(40/(D91+F91+H91)*C96)+(7.5/(H91)*C97)+(7.5/(H91)*C98)+(10/H91*C99)+(10/H91*C100)+(5/H91*C101)+(5/H91*C102)+(5/H91*C103))/100)</f>
        <v>0.5628623188405798</v>
      </c>
      <c r="F94" s="188"/>
      <c r="G94" s="188">
        <f ca="1">((((C94/H91)*20)+((C95/H91)*25)+(30/(H91+F91+D91)*C96)+(5/H91*C97)+(5/H91*C98)+(5/H91*C99)+(5/H91*C100)+(0/H91*C101)+(0/H91*C102)+(5/H91*C103))/100)</f>
        <v>0.77771739130434792</v>
      </c>
      <c r="H94" s="188"/>
      <c r="I94" s="13" t="s">
        <v>94</v>
      </c>
      <c r="J94" s="27">
        <f ca="1">H91*50%</f>
        <v>11.5</v>
      </c>
    </row>
    <row r="95" spans="1:19" x14ac:dyDescent="0.25">
      <c r="A95" s="132" t="s">
        <v>47</v>
      </c>
      <c r="B95" s="132"/>
      <c r="C95" s="97">
        <f ca="1">J103</f>
        <v>23</v>
      </c>
      <c r="D95" s="17">
        <f ca="1">((100/H91)*C95)/100</f>
        <v>1</v>
      </c>
      <c r="E95" s="188"/>
      <c r="F95" s="188"/>
      <c r="G95" s="188"/>
      <c r="H95" s="188"/>
      <c r="I95" s="13" t="s">
        <v>95</v>
      </c>
      <c r="J95" s="27">
        <f ca="1">H91</f>
        <v>23</v>
      </c>
      <c r="S95"/>
    </row>
    <row r="96" spans="1:19" ht="15.75" customHeight="1" x14ac:dyDescent="0.25">
      <c r="A96" s="132" t="s">
        <v>122</v>
      </c>
      <c r="B96" s="132"/>
      <c r="C96" s="98">
        <v>19</v>
      </c>
      <c r="D96" s="17">
        <f ca="1">((100/(D91+F91+H91))*C96)/100</f>
        <v>0.79166666666666674</v>
      </c>
      <c r="E96" s="188"/>
      <c r="F96" s="188"/>
      <c r="G96" s="188"/>
      <c r="H96" s="188"/>
      <c r="I96" s="13" t="s">
        <v>96</v>
      </c>
      <c r="J96" s="28">
        <f ca="1">(IF(B91&gt;1,(H91/(B91+2)),H91/4))</f>
        <v>5.75</v>
      </c>
      <c r="S96"/>
    </row>
    <row r="97" spans="1:12" ht="15.75" customHeight="1" x14ac:dyDescent="0.25">
      <c r="A97" s="132" t="s">
        <v>129</v>
      </c>
      <c r="B97" s="132" t="s">
        <v>123</v>
      </c>
      <c r="C97" s="98">
        <f>C96-1</f>
        <v>18</v>
      </c>
      <c r="D97" s="17">
        <f ca="1">((100/H91)*C97)/100</f>
        <v>0.78260869565217395</v>
      </c>
      <c r="E97" s="188"/>
      <c r="F97" s="188"/>
      <c r="G97" s="188"/>
      <c r="H97" s="188"/>
      <c r="I97" s="13" t="s">
        <v>97</v>
      </c>
      <c r="J97" s="28">
        <f ca="1">(IF(B91&gt;1,(H91/(B91+2)+J96),H91/4+J96))</f>
        <v>11.5</v>
      </c>
    </row>
    <row r="98" spans="1:12" ht="15.75" customHeight="1" x14ac:dyDescent="0.25">
      <c r="A98" s="132" t="s">
        <v>130</v>
      </c>
      <c r="B98" s="132" t="s">
        <v>123</v>
      </c>
      <c r="C98" s="97">
        <f>C97*0.75</f>
        <v>13.5</v>
      </c>
      <c r="D98" s="17">
        <f ca="1">((100/H91)*C98)/100</f>
        <v>0.58695652173913038</v>
      </c>
      <c r="E98" s="188"/>
      <c r="F98" s="188"/>
      <c r="G98" s="188"/>
      <c r="H98" s="188"/>
      <c r="I98" s="13" t="s">
        <v>141</v>
      </c>
      <c r="J98" s="28">
        <f>(IF(B91&gt;1,(H91/(B91+2)+J97),0))</f>
        <v>0</v>
      </c>
      <c r="L98" s="19">
        <f>17*0.6</f>
        <v>10.199999999999999</v>
      </c>
    </row>
    <row r="99" spans="1:12" ht="15" customHeight="1" x14ac:dyDescent="0.25">
      <c r="A99" s="132" t="s">
        <v>128</v>
      </c>
      <c r="B99" s="132" t="s">
        <v>125</v>
      </c>
      <c r="C99" s="98">
        <v>10</v>
      </c>
      <c r="D99" s="17">
        <f ca="1">((100/(H91))*C99)/100</f>
        <v>0.43478260869565216</v>
      </c>
      <c r="E99" s="188"/>
      <c r="F99" s="188"/>
      <c r="G99" s="188"/>
      <c r="H99" s="188"/>
      <c r="I99" s="13" t="s">
        <v>136</v>
      </c>
      <c r="J99" s="28">
        <f>(IF(B91&gt;2,(H91/(B91+2)+J98),0))</f>
        <v>0</v>
      </c>
    </row>
    <row r="100" spans="1:12" ht="15.75" customHeight="1" x14ac:dyDescent="0.25">
      <c r="A100" s="132" t="s">
        <v>124</v>
      </c>
      <c r="B100" s="132" t="s">
        <v>124</v>
      </c>
      <c r="C100" s="98">
        <v>0</v>
      </c>
      <c r="D100" s="17">
        <f ca="1">((100/H91)*C100)/100</f>
        <v>0</v>
      </c>
      <c r="E100" s="188"/>
      <c r="F100" s="188"/>
      <c r="G100" s="188"/>
      <c r="H100" s="188"/>
      <c r="I100" s="13" t="s">
        <v>137</v>
      </c>
      <c r="J100" s="29">
        <f>(IF(B91&gt;3,(H91/(B91+2)+J99),0))</f>
        <v>0</v>
      </c>
    </row>
    <row r="101" spans="1:12" ht="15.75" customHeight="1" x14ac:dyDescent="0.25">
      <c r="A101" s="132" t="s">
        <v>131</v>
      </c>
      <c r="B101" s="132"/>
      <c r="C101" s="98">
        <v>0</v>
      </c>
      <c r="D101" s="17">
        <f ca="1">((100/H91)*C101)/100</f>
        <v>0</v>
      </c>
      <c r="E101" s="188"/>
      <c r="F101" s="188"/>
      <c r="G101" s="188"/>
      <c r="H101" s="188"/>
      <c r="I101" s="13" t="s">
        <v>138</v>
      </c>
      <c r="J101" s="28">
        <f>(IF(B91&gt;4,(H91/(B91+2)+J100),0))</f>
        <v>0</v>
      </c>
    </row>
    <row r="102" spans="1:12" ht="15.75" customHeight="1" x14ac:dyDescent="0.25">
      <c r="A102" s="132" t="s">
        <v>126</v>
      </c>
      <c r="B102" s="132" t="s">
        <v>126</v>
      </c>
      <c r="C102" s="98">
        <v>0</v>
      </c>
      <c r="D102" s="17">
        <f ca="1">((100/(H91))*C102)/100</f>
        <v>0</v>
      </c>
      <c r="E102" s="188"/>
      <c r="F102" s="188"/>
      <c r="G102" s="188"/>
      <c r="H102" s="188"/>
      <c r="I102" s="13" t="s">
        <v>142</v>
      </c>
      <c r="J102" s="28">
        <f ca="1">(IF(B91=1,(H91/(B91+3)+J97),IF(B91=0,(H91/4+J97),IF(B91&gt;1,0))))</f>
        <v>17.25</v>
      </c>
    </row>
    <row r="103" spans="1:12" ht="16.5" thickBot="1" x14ac:dyDescent="0.3">
      <c r="A103" s="132" t="s">
        <v>127</v>
      </c>
      <c r="B103" s="132"/>
      <c r="C103" s="98">
        <v>0</v>
      </c>
      <c r="D103" s="17">
        <f ca="1">((100/(H91))*C103)/100</f>
        <v>0</v>
      </c>
      <c r="E103" s="188"/>
      <c r="F103" s="188"/>
      <c r="G103" s="188"/>
      <c r="H103" s="188"/>
      <c r="I103" s="15" t="s">
        <v>98</v>
      </c>
      <c r="J103" s="30">
        <f ca="1">(IF(B91&gt;1.5,(H91/(B91+2)+J97+MAX(0,J98-J97)+MAX(0,J99-J98)+MAX(0,J100-J99)+MAX(0,J101-J100)+MAX(0,J102-J101)),IF(B91=1,(H91/(B91+3)+J102),IF(B91=0,H91/4+J102))))</f>
        <v>23</v>
      </c>
    </row>
    <row r="104" spans="1:12" ht="15.75" hidden="1" customHeight="1" x14ac:dyDescent="0.25">
      <c r="A104" s="131" t="s">
        <v>133</v>
      </c>
      <c r="B104" s="131"/>
      <c r="C104" s="131" t="e">
        <f>#REF!</f>
        <v>#REF!</v>
      </c>
      <c r="D104" s="131"/>
      <c r="E104" s="131"/>
      <c r="F104" s="131"/>
      <c r="G104" s="131"/>
      <c r="H104" s="131"/>
      <c r="I104" s="99" t="e">
        <f ca="1">IF(D117=100%,"All work Completed. Possession granted to the Building.",IF(D116=100%,"All work Completed, Waiting for OC",I105&amp;""&amp;I106&amp;""&amp;J105&amp;""&amp;J104&amp;" "&amp;J106))</f>
        <v>#REF!</v>
      </c>
      <c r="J104" s="45" t="e">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#REF!</v>
      </c>
    </row>
    <row r="105" spans="1:12" hidden="1" x14ac:dyDescent="0.25">
      <c r="A105" s="48" t="s">
        <v>135</v>
      </c>
      <c r="B105" s="48">
        <f>IF(AND(ISNUMBER(SEARCH("1B",C104))),1,IF(AND(ISNUMBER(SEARCH("2B",C104))),2,IF(AND(ISNUMBER(SEARCH("3B",C104))),3,IF(AND(ISNUMBER(SEARCH("4B",C104))),4,IF(ISNUMBER(SEARCH("5B",C104)),5,0)))))</f>
        <v>0</v>
      </c>
      <c r="C105" s="48" t="s">
        <v>67</v>
      </c>
      <c r="D105" s="48">
        <v>1</v>
      </c>
      <c r="E105" s="48" t="s">
        <v>66</v>
      </c>
      <c r="F105" s="14">
        <v>0</v>
      </c>
      <c r="G105" s="43" t="s">
        <v>75</v>
      </c>
      <c r="H105" s="48" t="e">
        <f ca="1">--TRIM(RIGHT(SUBSTITUTE(LEFT(C104,_xlfn.AGGREGATE(16,6,FIND({0,1,2,3,4,5,6,7,8,9},C104,ROW(INDIRECT("1:"&amp;LEN(C104)))),1))," ",REPT(" ",LEN(C104))),LEN(C104)))</f>
        <v>#REF!</v>
      </c>
      <c r="I105" s="100" t="e">
        <f ca="1">IF(D108=100%,"Excavation","")&amp;IF(D109=100%,", Plinth","")&amp;IF(D110=100%,", RCC Slab","")&amp;IF(D111=100%,", Brickwork","")&amp;IF(D112=100%,", Internal Plaster","")&amp;IF(D113=100%,", External Plaster","")&amp;IF(D114=100%,", Flooring","")&amp;IF(D115=100%,", Painting","")&amp;IF(D116=100%,", Building common Amenities","")</f>
        <v>#REF!</v>
      </c>
      <c r="J105" s="47" t="e">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#REF!</v>
      </c>
    </row>
    <row r="106" spans="1:12" hidden="1" x14ac:dyDescent="0.25">
      <c r="A106" s="180" t="s">
        <v>85</v>
      </c>
      <c r="B106" s="180"/>
      <c r="C106" s="226" t="e">
        <f ca="1">(IF($G$63="NA",I104,"All work Completed. OC Received."))</f>
        <v>#REF!</v>
      </c>
      <c r="D106" s="226"/>
      <c r="E106" s="226"/>
      <c r="F106" s="226"/>
      <c r="G106" s="226"/>
      <c r="H106" s="226"/>
      <c r="I106" s="100" t="e">
        <f ca="1">IF(I105&lt;&gt;""," Completed","")</f>
        <v>#REF!</v>
      </c>
      <c r="J106" s="47" t="e">
        <f ca="1">IF(J104&lt;&gt;"","Completed","")</f>
        <v>#REF!</v>
      </c>
    </row>
    <row r="107" spans="1:12" ht="15.75" hidden="1" customHeight="1" x14ac:dyDescent="0.25">
      <c r="A107" s="132" t="s">
        <v>46</v>
      </c>
      <c r="B107" s="132"/>
      <c r="C107" s="98" t="s">
        <v>132</v>
      </c>
      <c r="D107" s="98" t="s">
        <v>78</v>
      </c>
      <c r="E107" s="132" t="s">
        <v>80</v>
      </c>
      <c r="F107" s="132"/>
      <c r="G107" s="132" t="s">
        <v>79</v>
      </c>
      <c r="H107" s="132"/>
      <c r="I107" s="13" t="s">
        <v>134</v>
      </c>
      <c r="J107" s="26" t="e">
        <f ca="1">H105*25%</f>
        <v>#REF!</v>
      </c>
    </row>
    <row r="108" spans="1:12" hidden="1" x14ac:dyDescent="0.25">
      <c r="A108" s="132" t="s">
        <v>121</v>
      </c>
      <c r="B108" s="132"/>
      <c r="C108" s="59" t="e">
        <f ca="1">J109</f>
        <v>#REF!</v>
      </c>
      <c r="D108" s="17" t="e">
        <f ca="1">((100/H105)*C108)/100</f>
        <v>#REF!</v>
      </c>
      <c r="E108" s="188" t="e">
        <f ca="1">(((C109/H105*10)+(40/(D105+F105+H105)*C110)+(7.5/(H105)*C111)+(7.5/(H105)*C112)+(10/H105*C113)+(10/H105*C114)+(5/H105*C115)+(5/H105*C116)+(5/H105*C117))/100)</f>
        <v>#REF!</v>
      </c>
      <c r="F108" s="188"/>
      <c r="G108" s="188" t="e">
        <f ca="1">((((C108/H105)*20)+((C109/H105)*25)+(30/(H105+F105+D105)*C110)+(5/H105*C111)+(5/H105*C112)+(5/H105*C113)+(5/H105*C114)+(0/H105*C115)+(0/H105*C116)+(5/H105*C117))/100)</f>
        <v>#REF!</v>
      </c>
      <c r="H108" s="188"/>
      <c r="I108" s="13" t="s">
        <v>94</v>
      </c>
      <c r="J108" s="27" t="e">
        <f ca="1">H105*50%</f>
        <v>#REF!</v>
      </c>
    </row>
    <row r="109" spans="1:12" hidden="1" x14ac:dyDescent="0.25">
      <c r="A109" s="132" t="s">
        <v>47</v>
      </c>
      <c r="B109" s="132"/>
      <c r="C109" s="60">
        <v>19</v>
      </c>
      <c r="D109" s="17" t="e">
        <f ca="1">((100/H105)*C109)/100</f>
        <v>#REF!</v>
      </c>
      <c r="E109" s="188"/>
      <c r="F109" s="188"/>
      <c r="G109" s="188"/>
      <c r="H109" s="188"/>
      <c r="I109" s="13" t="s">
        <v>95</v>
      </c>
      <c r="J109" s="27" t="e">
        <f ca="1">H105</f>
        <v>#REF!</v>
      </c>
    </row>
    <row r="110" spans="1:12" ht="15.75" hidden="1" customHeight="1" x14ac:dyDescent="0.25">
      <c r="A110" s="132" t="s">
        <v>122</v>
      </c>
      <c r="B110" s="132"/>
      <c r="C110" s="98">
        <v>0</v>
      </c>
      <c r="D110" s="17" t="e">
        <f ca="1">((100/(D105+F105+H105))*C110)/100</f>
        <v>#REF!</v>
      </c>
      <c r="E110" s="188"/>
      <c r="F110" s="188"/>
      <c r="G110" s="188"/>
      <c r="H110" s="188"/>
      <c r="I110" s="13" t="s">
        <v>96</v>
      </c>
      <c r="J110" s="28" t="e">
        <f ca="1">(IF(B105&gt;1,(H105/(B105+2)),H105/4))</f>
        <v>#REF!</v>
      </c>
    </row>
    <row r="111" spans="1:12" ht="15.75" hidden="1" customHeight="1" x14ac:dyDescent="0.25">
      <c r="A111" s="132" t="s">
        <v>129</v>
      </c>
      <c r="B111" s="132" t="s">
        <v>123</v>
      </c>
      <c r="C111" s="98">
        <v>0</v>
      </c>
      <c r="D111" s="17" t="e">
        <f ca="1">((100/H105)*C111)/100</f>
        <v>#REF!</v>
      </c>
      <c r="E111" s="188"/>
      <c r="F111" s="188"/>
      <c r="G111" s="188"/>
      <c r="H111" s="188"/>
      <c r="I111" s="13" t="s">
        <v>97</v>
      </c>
      <c r="J111" s="28" t="e">
        <f ca="1">(IF(B105&gt;1,(H105/(B105+2)+J110),H105/4+J110))</f>
        <v>#REF!</v>
      </c>
    </row>
    <row r="112" spans="1:12" ht="15.75" hidden="1" customHeight="1" x14ac:dyDescent="0.25">
      <c r="A112" s="132" t="s">
        <v>130</v>
      </c>
      <c r="B112" s="132" t="s">
        <v>123</v>
      </c>
      <c r="C112" s="98">
        <v>0</v>
      </c>
      <c r="D112" s="17" t="e">
        <f ca="1">((100/H105)*C112)/100</f>
        <v>#REF!</v>
      </c>
      <c r="E112" s="188"/>
      <c r="F112" s="188"/>
      <c r="G112" s="188"/>
      <c r="H112" s="188"/>
      <c r="I112" s="13" t="s">
        <v>141</v>
      </c>
      <c r="J112" s="28">
        <f>(IF(B105&gt;1,(H105/(B105+2)+J111),0))</f>
        <v>0</v>
      </c>
    </row>
    <row r="113" spans="1:22" ht="15" hidden="1" customHeight="1" x14ac:dyDescent="0.25">
      <c r="A113" s="132" t="s">
        <v>128</v>
      </c>
      <c r="B113" s="132" t="s">
        <v>125</v>
      </c>
      <c r="C113" s="98">
        <v>0</v>
      </c>
      <c r="D113" s="17" t="e">
        <f ca="1">((100/(H105))*C113)/100</f>
        <v>#REF!</v>
      </c>
      <c r="E113" s="188"/>
      <c r="F113" s="188"/>
      <c r="G113" s="188"/>
      <c r="H113" s="188"/>
      <c r="I113" s="13" t="s">
        <v>136</v>
      </c>
      <c r="J113" s="28">
        <f>(IF(B105&gt;2,(H105/(B105+2)+J112),0))</f>
        <v>0</v>
      </c>
    </row>
    <row r="114" spans="1:22" ht="15.75" hidden="1" customHeight="1" x14ac:dyDescent="0.25">
      <c r="A114" s="132" t="s">
        <v>124</v>
      </c>
      <c r="B114" s="132" t="s">
        <v>124</v>
      </c>
      <c r="C114" s="98">
        <v>0</v>
      </c>
      <c r="D114" s="17" t="e">
        <f ca="1">((100/H105)*C114)/100</f>
        <v>#REF!</v>
      </c>
      <c r="E114" s="188"/>
      <c r="F114" s="188"/>
      <c r="G114" s="188"/>
      <c r="H114" s="188"/>
      <c r="I114" s="13" t="s">
        <v>137</v>
      </c>
      <c r="J114" s="29">
        <f>(IF(B105&gt;3,(H105/(B105+2)+J113),0))</f>
        <v>0</v>
      </c>
    </row>
    <row r="115" spans="1:22" ht="15.75" hidden="1" customHeight="1" x14ac:dyDescent="0.25">
      <c r="A115" s="132" t="s">
        <v>131</v>
      </c>
      <c r="B115" s="132"/>
      <c r="C115" s="98">
        <v>0</v>
      </c>
      <c r="D115" s="17" t="e">
        <f ca="1">((100/H105)*C115)/100</f>
        <v>#REF!</v>
      </c>
      <c r="E115" s="188"/>
      <c r="F115" s="188"/>
      <c r="G115" s="188"/>
      <c r="H115" s="188"/>
      <c r="I115" s="13" t="s">
        <v>138</v>
      </c>
      <c r="J115" s="28">
        <f>(IF(B105&gt;4,(H105/(B105+2)+J114),0))</f>
        <v>0</v>
      </c>
    </row>
    <row r="116" spans="1:22" ht="15.75" hidden="1" customHeight="1" x14ac:dyDescent="0.25">
      <c r="A116" s="132" t="s">
        <v>126</v>
      </c>
      <c r="B116" s="132" t="s">
        <v>126</v>
      </c>
      <c r="C116" s="98">
        <v>0</v>
      </c>
      <c r="D116" s="17" t="e">
        <f ca="1">((100/(H105))*C116)/100</f>
        <v>#REF!</v>
      </c>
      <c r="E116" s="188"/>
      <c r="F116" s="188"/>
      <c r="G116" s="188"/>
      <c r="H116" s="188"/>
      <c r="I116" s="13" t="s">
        <v>142</v>
      </c>
      <c r="J116" s="28" t="e">
        <f ca="1">(IF(B105=1,(H105/(B105+3)+J111),IF(B105=0,(H105/4+J111),IF(B105&gt;1,0))))</f>
        <v>#REF!</v>
      </c>
    </row>
    <row r="117" spans="1:22" ht="16.5" hidden="1" thickBot="1" x14ac:dyDescent="0.3">
      <c r="A117" s="132" t="s">
        <v>127</v>
      </c>
      <c r="B117" s="132"/>
      <c r="C117" s="98">
        <v>0</v>
      </c>
      <c r="D117" s="17" t="e">
        <f ca="1">((100/(H105))*C117)/100</f>
        <v>#REF!</v>
      </c>
      <c r="E117" s="188"/>
      <c r="F117" s="188"/>
      <c r="G117" s="188"/>
      <c r="H117" s="188"/>
      <c r="I117" s="15" t="s">
        <v>98</v>
      </c>
      <c r="J117" s="30" t="e">
        <f ca="1">(IF(B105&gt;1.5,(H105/(B105+2)+J111+MAX(0,J112-J111)+MAX(0,J113-J112)+MAX(0,J114-J113)+MAX(0,J115-J114)+MAX(0,J116-J115)),IF(B105=1,(H105/(B105+3)+J116),IF(B105=0,H105/4+J116))))</f>
        <v>#REF!</v>
      </c>
    </row>
    <row r="118" spans="1:22" x14ac:dyDescent="0.25">
      <c r="A118" s="197" t="s">
        <v>152</v>
      </c>
      <c r="B118" s="197"/>
      <c r="C118" s="197"/>
      <c r="D118" s="197"/>
      <c r="E118" s="197"/>
      <c r="F118" s="201" t="s">
        <v>154</v>
      </c>
      <c r="G118" s="201"/>
      <c r="H118" s="201"/>
      <c r="R118" t="s">
        <v>244</v>
      </c>
      <c r="S118" t="s">
        <v>165</v>
      </c>
      <c r="T118" t="s">
        <v>170</v>
      </c>
      <c r="U118" t="s">
        <v>185</v>
      </c>
      <c r="V118" t="s">
        <v>180</v>
      </c>
    </row>
    <row r="119" spans="1:22" x14ac:dyDescent="0.25">
      <c r="A119" s="119" t="s">
        <v>153</v>
      </c>
      <c r="B119" s="119"/>
      <c r="C119" s="119"/>
      <c r="D119" s="119"/>
      <c r="E119" s="119"/>
      <c r="F119" s="114">
        <v>7800</v>
      </c>
      <c r="G119" s="114"/>
      <c r="H119" s="114"/>
      <c r="I119" s="19" t="s">
        <v>399</v>
      </c>
      <c r="R119"/>
      <c r="S119">
        <v>800000</v>
      </c>
      <c r="T119">
        <v>150000</v>
      </c>
      <c r="U119">
        <v>100000</v>
      </c>
      <c r="V119">
        <v>100000</v>
      </c>
    </row>
    <row r="120" spans="1:22" x14ac:dyDescent="0.25">
      <c r="A120" s="119" t="s">
        <v>361</v>
      </c>
      <c r="B120" s="119"/>
      <c r="C120" s="119"/>
      <c r="D120" s="119"/>
      <c r="E120" s="119"/>
      <c r="F120" s="114">
        <v>70000</v>
      </c>
      <c r="G120" s="114"/>
      <c r="H120" s="114"/>
      <c r="R120"/>
      <c r="S120">
        <v>900000</v>
      </c>
      <c r="T120">
        <v>200000</v>
      </c>
      <c r="U120">
        <v>150000</v>
      </c>
      <c r="V120">
        <v>150000</v>
      </c>
    </row>
    <row r="121" spans="1:22" x14ac:dyDescent="0.25">
      <c r="A121" s="119" t="s">
        <v>362</v>
      </c>
      <c r="B121" s="119"/>
      <c r="C121" s="119"/>
      <c r="D121" s="119"/>
      <c r="E121" s="119"/>
      <c r="F121" s="114">
        <v>180000</v>
      </c>
      <c r="G121" s="114"/>
      <c r="H121" s="114"/>
      <c r="R121"/>
      <c r="S121">
        <v>1000000</v>
      </c>
      <c r="T121">
        <v>250000</v>
      </c>
      <c r="U121">
        <v>200000</v>
      </c>
      <c r="V121">
        <v>200000</v>
      </c>
    </row>
    <row r="122" spans="1:22" s="31" customFormat="1" x14ac:dyDescent="0.25">
      <c r="A122" s="119" t="s">
        <v>363</v>
      </c>
      <c r="B122" s="119"/>
      <c r="C122" s="119"/>
      <c r="D122" s="119"/>
      <c r="E122" s="119"/>
      <c r="F122" s="114">
        <v>90000</v>
      </c>
      <c r="G122" s="114"/>
      <c r="H122" s="114"/>
      <c r="R122"/>
      <c r="S122">
        <v>1100000</v>
      </c>
      <c r="T122">
        <v>300000</v>
      </c>
      <c r="U122">
        <v>250000</v>
      </c>
      <c r="V122" s="21">
        <v>250000</v>
      </c>
    </row>
    <row r="123" spans="1:22" s="31" customFormat="1" x14ac:dyDescent="0.25">
      <c r="A123" s="119" t="s">
        <v>364</v>
      </c>
      <c r="B123" s="119"/>
      <c r="C123" s="119"/>
      <c r="D123" s="119"/>
      <c r="E123" s="119"/>
      <c r="F123" s="114">
        <v>5000</v>
      </c>
      <c r="G123" s="114"/>
      <c r="H123" s="114"/>
      <c r="R123"/>
      <c r="S123">
        <v>1200000</v>
      </c>
      <c r="T123">
        <v>350000</v>
      </c>
      <c r="U123">
        <v>300000</v>
      </c>
      <c r="V123">
        <v>300000</v>
      </c>
    </row>
    <row r="124" spans="1:22" s="31" customFormat="1" hidden="1" x14ac:dyDescent="0.25">
      <c r="A124" s="119" t="s">
        <v>89</v>
      </c>
      <c r="B124" s="119"/>
      <c r="C124" s="119"/>
      <c r="D124" s="119"/>
      <c r="E124" s="119"/>
      <c r="F124" s="114"/>
      <c r="G124" s="114"/>
      <c r="H124" s="114"/>
      <c r="R124"/>
      <c r="S124">
        <v>1300000</v>
      </c>
      <c r="T124">
        <v>400000</v>
      </c>
      <c r="U124">
        <v>350000</v>
      </c>
      <c r="V124" s="21">
        <v>400000</v>
      </c>
    </row>
    <row r="125" spans="1:22" s="31" customFormat="1" hidden="1" x14ac:dyDescent="0.25">
      <c r="A125" s="119" t="s">
        <v>90</v>
      </c>
      <c r="B125" s="119"/>
      <c r="C125" s="119"/>
      <c r="D125" s="119"/>
      <c r="E125" s="119"/>
      <c r="F125" s="114"/>
      <c r="G125" s="114"/>
      <c r="H125" s="114"/>
      <c r="R125"/>
      <c r="S125">
        <v>1400000</v>
      </c>
      <c r="T125">
        <v>500000</v>
      </c>
      <c r="U125">
        <v>400000</v>
      </c>
      <c r="V125"/>
    </row>
    <row r="126" spans="1:22" s="31" customFormat="1" hidden="1" x14ac:dyDescent="0.25">
      <c r="A126" s="119" t="s">
        <v>91</v>
      </c>
      <c r="B126" s="119"/>
      <c r="C126" s="119"/>
      <c r="D126" s="119"/>
      <c r="E126" s="119"/>
      <c r="F126" s="114"/>
      <c r="G126" s="114"/>
      <c r="H126" s="114"/>
      <c r="R126"/>
      <c r="S126">
        <v>1500000</v>
      </c>
      <c r="T126">
        <v>600000</v>
      </c>
      <c r="U126">
        <v>500000</v>
      </c>
      <c r="V126" s="21"/>
    </row>
    <row r="127" spans="1:22" s="31" customFormat="1" hidden="1" x14ac:dyDescent="0.25">
      <c r="A127" s="119" t="s">
        <v>92</v>
      </c>
      <c r="B127" s="119"/>
      <c r="C127" s="119"/>
      <c r="D127" s="119"/>
      <c r="E127" s="119"/>
      <c r="F127" s="114"/>
      <c r="G127" s="114"/>
      <c r="H127" s="114"/>
      <c r="R127"/>
      <c r="S127">
        <v>1600000</v>
      </c>
      <c r="T127">
        <v>700000</v>
      </c>
      <c r="U127">
        <v>600000</v>
      </c>
      <c r="V127"/>
    </row>
    <row r="128" spans="1:22" s="31" customFormat="1" hidden="1" x14ac:dyDescent="0.25">
      <c r="A128" s="119" t="s">
        <v>93</v>
      </c>
      <c r="B128" s="119"/>
      <c r="C128" s="119"/>
      <c r="D128" s="119"/>
      <c r="E128" s="119"/>
      <c r="F128" s="114"/>
      <c r="G128" s="114"/>
      <c r="H128" s="114"/>
      <c r="R128"/>
      <c r="S128">
        <v>1700000</v>
      </c>
      <c r="T128">
        <v>800000</v>
      </c>
      <c r="U128"/>
      <c r="V128" s="21"/>
    </row>
    <row r="129" spans="1:22" x14ac:dyDescent="0.25">
      <c r="A129" s="119" t="s">
        <v>48</v>
      </c>
      <c r="B129" s="119"/>
      <c r="C129" s="119"/>
      <c r="D129" s="119"/>
      <c r="E129" s="119"/>
      <c r="F129" s="196">
        <v>400000</v>
      </c>
      <c r="G129" s="196"/>
      <c r="H129" s="196"/>
      <c r="R129"/>
      <c r="S129">
        <v>1800000</v>
      </c>
      <c r="T129">
        <v>900000</v>
      </c>
      <c r="U129"/>
    </row>
    <row r="130" spans="1:22" s="32" customFormat="1" x14ac:dyDescent="0.25">
      <c r="A130" s="197" t="s">
        <v>49</v>
      </c>
      <c r="B130" s="197"/>
      <c r="C130" s="197"/>
      <c r="D130" s="197"/>
      <c r="E130" s="197"/>
      <c r="F130" s="114">
        <f>F119*0.8</f>
        <v>6240</v>
      </c>
      <c r="G130" s="114"/>
      <c r="H130" s="114"/>
      <c r="R130" s="19"/>
      <c r="S130" s="19"/>
      <c r="T130">
        <v>1000000</v>
      </c>
      <c r="U130"/>
      <c r="V130" s="19"/>
    </row>
    <row r="131" spans="1:22" s="33" customFormat="1" ht="15.75" hidden="1" customHeight="1" x14ac:dyDescent="0.25">
      <c r="A131" s="195" t="s">
        <v>70</v>
      </c>
      <c r="B131" s="195"/>
      <c r="C131" s="195"/>
      <c r="D131" s="195"/>
      <c r="E131" s="195"/>
      <c r="F131" s="195"/>
      <c r="G131" s="195"/>
      <c r="H131" s="195"/>
      <c r="R131"/>
      <c r="S131" s="19"/>
      <c r="T131"/>
      <c r="U131"/>
      <c r="V131" s="19"/>
    </row>
    <row r="132" spans="1:22" s="33" customFormat="1" ht="15.75" hidden="1" customHeight="1" x14ac:dyDescent="0.25">
      <c r="A132" s="118" t="s">
        <v>50</v>
      </c>
      <c r="B132" s="118"/>
      <c r="C132" s="127" t="s">
        <v>73</v>
      </c>
      <c r="D132" s="127"/>
      <c r="E132" s="125" t="s">
        <v>51</v>
      </c>
      <c r="F132" s="125"/>
      <c r="G132" s="118" t="s">
        <v>52</v>
      </c>
      <c r="H132" s="118"/>
      <c r="R132"/>
      <c r="S132" s="19"/>
      <c r="T132"/>
      <c r="U132" s="19"/>
      <c r="V132" s="19"/>
    </row>
    <row r="133" spans="1:22" s="33" customFormat="1" hidden="1" x14ac:dyDescent="0.25">
      <c r="A133" s="126"/>
      <c r="B133" s="126"/>
      <c r="C133" s="229"/>
      <c r="D133" s="229"/>
      <c r="E133" s="230"/>
      <c r="F133" s="230"/>
      <c r="G133" s="158"/>
      <c r="H133" s="158"/>
      <c r="R133"/>
      <c r="S133" s="19"/>
      <c r="T133"/>
      <c r="U133" s="19"/>
      <c r="V133" s="19"/>
    </row>
    <row r="134" spans="1:22" s="33" customFormat="1" hidden="1" x14ac:dyDescent="0.25">
      <c r="A134" s="126"/>
      <c r="B134" s="126"/>
      <c r="C134" s="229"/>
      <c r="D134" s="229"/>
      <c r="E134" s="230"/>
      <c r="F134" s="230"/>
      <c r="G134" s="158"/>
      <c r="H134" s="158"/>
      <c r="R134"/>
      <c r="S134" s="19"/>
      <c r="T134"/>
      <c r="U134" s="19"/>
      <c r="V134" s="19"/>
    </row>
    <row r="135" spans="1:22" s="33" customFormat="1" hidden="1" x14ac:dyDescent="0.25">
      <c r="A135" s="195" t="s">
        <v>146</v>
      </c>
      <c r="B135" s="195"/>
      <c r="C135" s="127"/>
      <c r="D135" s="127"/>
      <c r="E135" s="125"/>
      <c r="F135" s="125"/>
      <c r="G135" s="118"/>
      <c r="H135" s="118"/>
      <c r="R135"/>
      <c r="S135" s="19"/>
      <c r="T135"/>
      <c r="U135" s="19"/>
      <c r="V135" s="19"/>
    </row>
    <row r="136" spans="1:22" s="33" customFormat="1" x14ac:dyDescent="0.25">
      <c r="A136" s="199" t="s">
        <v>390</v>
      </c>
      <c r="B136" s="199"/>
      <c r="C136" s="199"/>
      <c r="D136" s="199"/>
      <c r="E136" s="199"/>
      <c r="F136" s="199"/>
      <c r="G136" s="199"/>
      <c r="H136" s="199"/>
      <c r="T136"/>
    </row>
    <row r="137" spans="1:22" s="33" customFormat="1" ht="15.75" customHeight="1" x14ac:dyDescent="0.25">
      <c r="A137" s="118" t="s">
        <v>50</v>
      </c>
      <c r="B137" s="118"/>
      <c r="C137" s="127" t="s">
        <v>73</v>
      </c>
      <c r="D137" s="127"/>
      <c r="E137" s="125" t="s">
        <v>51</v>
      </c>
      <c r="F137" s="125"/>
      <c r="G137" s="118" t="s">
        <v>52</v>
      </c>
      <c r="H137" s="118"/>
      <c r="T137"/>
    </row>
    <row r="138" spans="1:22" s="33" customFormat="1" x14ac:dyDescent="0.25">
      <c r="A138" s="126" t="s">
        <v>384</v>
      </c>
      <c r="B138" s="126"/>
      <c r="C138" s="220">
        <f>COUNT(D157:D161)+COUNT(D163:D168)*2+COUNT(D170:D175)*9+COUNT(D177:D182)*9+COUNT(D184:D186,D188:D189)*3</f>
        <v>140</v>
      </c>
      <c r="D138" s="220"/>
      <c r="E138" s="220">
        <f>SUM(F157:F161)+SUM(F163:F168)*2+SUM(F170:F175)*9+SUM(F177:F182)*9+SUM(F184:F186,F188:F189)*3</f>
        <v>80486.303039999999</v>
      </c>
      <c r="F138" s="220"/>
      <c r="G138" s="220">
        <f>SUM(H157:H161)+SUM(H163:H168)*2+SUM(H170:H175)*9+SUM(H177:H182)*9+SUM(H184:H186,H188:H189)*3</f>
        <v>120729.45455999998</v>
      </c>
      <c r="H138" s="220"/>
      <c r="T138"/>
    </row>
    <row r="139" spans="1:22" s="33" customFormat="1" ht="16.5" thickBot="1" x14ac:dyDescent="0.3">
      <c r="A139" s="126" t="s">
        <v>340</v>
      </c>
      <c r="B139" s="126"/>
      <c r="C139" s="220">
        <f>COUNT(D192:D193,D195:D198)+COUNT(D200:D206)*20+COUNT(D216,D218:D221)*3</f>
        <v>161</v>
      </c>
      <c r="D139" s="220"/>
      <c r="E139" s="220">
        <f>SUM(F192:F193,F195:F198)+SUM(F200:F206)*20+SUM(F216,F218:F221)*3</f>
        <v>74163.772706399992</v>
      </c>
      <c r="F139" s="220"/>
      <c r="G139" s="220">
        <f>SUM(H192:H193,H195:H198)+SUM(H200:H206)*20+SUM(H216,H218:H221)*3</f>
        <v>111245.6590596</v>
      </c>
      <c r="H139" s="220"/>
      <c r="T139"/>
    </row>
    <row r="140" spans="1:22" s="33" customFormat="1" ht="16.5" thickBot="1" x14ac:dyDescent="0.3">
      <c r="A140" s="176" t="s">
        <v>159</v>
      </c>
      <c r="B140" s="177"/>
      <c r="C140" s="178">
        <f>SUM(C138:D139)</f>
        <v>301</v>
      </c>
      <c r="D140" s="179"/>
      <c r="E140" s="178">
        <f t="shared" ref="E140" si="0">SUM(E138:F139)</f>
        <v>154650.07574639999</v>
      </c>
      <c r="F140" s="179"/>
      <c r="G140" s="178">
        <f t="shared" ref="G140" si="1">SUM(G138:H139)</f>
        <v>231975.11361959999</v>
      </c>
      <c r="H140" s="179"/>
      <c r="T140"/>
    </row>
    <row r="141" spans="1:22" s="32" customFormat="1" x14ac:dyDescent="0.25">
      <c r="A141" s="242" t="s">
        <v>53</v>
      </c>
      <c r="B141" s="242"/>
      <c r="C141" s="242"/>
      <c r="D141" s="242"/>
      <c r="E141" s="242"/>
      <c r="F141" s="242"/>
      <c r="G141" s="242"/>
      <c r="H141" s="242"/>
      <c r="T141" s="33"/>
    </row>
    <row r="142" spans="1:22" x14ac:dyDescent="0.25">
      <c r="A142" s="117" t="s">
        <v>346</v>
      </c>
      <c r="B142" s="117"/>
      <c r="C142" s="117"/>
      <c r="D142" s="117"/>
      <c r="E142" s="117"/>
      <c r="F142" s="117"/>
      <c r="G142" s="117"/>
      <c r="H142" s="117"/>
      <c r="T142" s="33"/>
    </row>
    <row r="143" spans="1:22" ht="47.25" hidden="1" customHeight="1" x14ac:dyDescent="0.25">
      <c r="A143" s="156" t="s">
        <v>356</v>
      </c>
      <c r="B143" s="156" t="s">
        <v>167</v>
      </c>
      <c r="C143" s="156" t="s">
        <v>54</v>
      </c>
      <c r="D143" s="156" t="s">
        <v>223</v>
      </c>
      <c r="E143" s="224" t="s">
        <v>151</v>
      </c>
      <c r="F143" s="156" t="s">
        <v>55</v>
      </c>
      <c r="G143" s="224" t="s">
        <v>56</v>
      </c>
      <c r="H143" s="83" t="s">
        <v>144</v>
      </c>
      <c r="T143" s="33"/>
    </row>
    <row r="144" spans="1:22" s="35" customFormat="1" hidden="1" x14ac:dyDescent="0.25">
      <c r="A144" s="157"/>
      <c r="B144" s="157"/>
      <c r="C144" s="157"/>
      <c r="D144" s="157"/>
      <c r="E144" s="225"/>
      <c r="F144" s="157"/>
      <c r="G144" s="225"/>
      <c r="H144" s="84">
        <v>0.45</v>
      </c>
      <c r="T144" s="33"/>
    </row>
    <row r="145" spans="1:20" s="35" customFormat="1" hidden="1" x14ac:dyDescent="0.25">
      <c r="A145" s="221" t="s">
        <v>113</v>
      </c>
      <c r="B145" s="222"/>
      <c r="C145" s="222"/>
      <c r="D145" s="222"/>
      <c r="E145" s="222"/>
      <c r="F145" s="222"/>
      <c r="G145" s="222"/>
      <c r="H145" s="223"/>
      <c r="J145" s="34"/>
      <c r="T145" s="33"/>
    </row>
    <row r="146" spans="1:20" s="35" customFormat="1" ht="15.75" hidden="1" customHeight="1" x14ac:dyDescent="0.25">
      <c r="A146" s="120">
        <v>1</v>
      </c>
      <c r="B146" s="121"/>
      <c r="C146" s="85"/>
      <c r="D146" s="85">
        <v>0</v>
      </c>
      <c r="E146" s="85">
        <v>0</v>
      </c>
      <c r="F146" s="85">
        <f>D146+(IF(E146&lt;201,E146,IF(E146&lt;301,E146/2,E146/3)))</f>
        <v>0</v>
      </c>
      <c r="G146" s="86">
        <v>0</v>
      </c>
      <c r="H146" s="85">
        <f>(F146+(IF(G146&lt;101,G146,IF(G146&lt;201,G146/2,IF(G146&lt;=301,G146/3,G146/4)))))*(($H$144)+1)</f>
        <v>0</v>
      </c>
      <c r="I146" s="34"/>
      <c r="L146" s="219"/>
      <c r="M146" s="219"/>
      <c r="N146" s="34"/>
      <c r="T146" s="33"/>
    </row>
    <row r="147" spans="1:20" s="35" customFormat="1" ht="15.75" hidden="1" customHeight="1" x14ac:dyDescent="0.25">
      <c r="A147" s="120">
        <f>A146+1</f>
        <v>2</v>
      </c>
      <c r="B147" s="121"/>
      <c r="C147" s="85"/>
      <c r="D147" s="85"/>
      <c r="E147" s="85">
        <v>0</v>
      </c>
      <c r="F147" s="85">
        <f t="shared" ref="F147:F149" si="2">D147+(IF(E147&lt;201,E147,IF(E147&lt;301,E147/2,E147/3)))</f>
        <v>0</v>
      </c>
      <c r="G147" s="85">
        <v>0</v>
      </c>
      <c r="H147" s="85">
        <f t="shared" ref="H147:H149" si="3">(F147+(IF(G147&lt;101,G147,IF(G147&lt;201,G147/2,IF(G147&lt;=301,G147/3,G147/4)))))*(($H$144)+1)</f>
        <v>0</v>
      </c>
      <c r="I147" s="34"/>
      <c r="L147" s="219"/>
      <c r="M147" s="219"/>
      <c r="N147" s="34"/>
      <c r="T147" s="32"/>
    </row>
    <row r="148" spans="1:20" s="35" customFormat="1" ht="15.75" hidden="1" customHeight="1" x14ac:dyDescent="0.25">
      <c r="A148" s="120">
        <f>A147+1</f>
        <v>3</v>
      </c>
      <c r="B148" s="121"/>
      <c r="C148" s="85"/>
      <c r="D148" s="85"/>
      <c r="E148" s="85">
        <v>0</v>
      </c>
      <c r="F148" s="85">
        <f t="shared" si="2"/>
        <v>0</v>
      </c>
      <c r="G148" s="85">
        <v>0</v>
      </c>
      <c r="H148" s="85">
        <f t="shared" si="3"/>
        <v>0</v>
      </c>
      <c r="I148" s="34"/>
      <c r="L148" s="219"/>
      <c r="M148" s="219"/>
      <c r="N148" s="34"/>
      <c r="T148" s="19"/>
    </row>
    <row r="149" spans="1:20" s="35" customFormat="1" ht="15.75" hidden="1" customHeight="1" x14ac:dyDescent="0.25">
      <c r="A149" s="120">
        <f>A148+1</f>
        <v>4</v>
      </c>
      <c r="B149" s="121"/>
      <c r="C149" s="85"/>
      <c r="D149" s="85"/>
      <c r="E149" s="85">
        <v>0</v>
      </c>
      <c r="F149" s="85">
        <f t="shared" si="2"/>
        <v>0</v>
      </c>
      <c r="G149" s="85">
        <v>0</v>
      </c>
      <c r="H149" s="85">
        <f t="shared" si="3"/>
        <v>0</v>
      </c>
      <c r="I149" s="34"/>
      <c r="L149" s="219"/>
      <c r="M149" s="219"/>
      <c r="N149" s="34"/>
      <c r="T149" s="19"/>
    </row>
    <row r="150" spans="1:20" s="35" customFormat="1" hidden="1" x14ac:dyDescent="0.25">
      <c r="A150" s="120"/>
      <c r="B150" s="241"/>
      <c r="C150" s="241"/>
      <c r="D150" s="241"/>
      <c r="E150" s="241"/>
      <c r="F150" s="241"/>
      <c r="G150" s="241"/>
      <c r="H150" s="121"/>
      <c r="I150" s="34"/>
      <c r="N150" s="34"/>
    </row>
    <row r="151" spans="1:20" ht="47.25" customHeight="1" x14ac:dyDescent="0.25">
      <c r="A151" s="174" t="s">
        <v>357</v>
      </c>
      <c r="B151" s="156" t="s">
        <v>168</v>
      </c>
      <c r="C151" s="156" t="s">
        <v>54</v>
      </c>
      <c r="D151" s="156" t="s">
        <v>223</v>
      </c>
      <c r="E151" s="156" t="s">
        <v>388</v>
      </c>
      <c r="F151" s="156" t="s">
        <v>55</v>
      </c>
      <c r="G151" s="224" t="s">
        <v>56</v>
      </c>
      <c r="H151" s="83" t="s">
        <v>144</v>
      </c>
      <c r="I151" s="34"/>
      <c r="T151" s="35"/>
    </row>
    <row r="152" spans="1:20" s="35" customFormat="1" x14ac:dyDescent="0.25">
      <c r="A152" s="175"/>
      <c r="B152" s="157"/>
      <c r="C152" s="157"/>
      <c r="D152" s="157"/>
      <c r="E152" s="157"/>
      <c r="F152" s="157"/>
      <c r="G152" s="225"/>
      <c r="H152" s="84">
        <v>0.5</v>
      </c>
      <c r="I152" s="34"/>
    </row>
    <row r="153" spans="1:20" s="76" customFormat="1" x14ac:dyDescent="0.25">
      <c r="A153" s="235" t="s">
        <v>338</v>
      </c>
      <c r="B153" s="236"/>
      <c r="C153" s="236"/>
      <c r="D153" s="236"/>
      <c r="E153" s="236"/>
      <c r="F153" s="236"/>
      <c r="G153" s="236"/>
      <c r="H153" s="237"/>
      <c r="I153" s="34"/>
    </row>
    <row r="154" spans="1:20" s="76" customFormat="1" x14ac:dyDescent="0.25">
      <c r="A154" s="235" t="s">
        <v>339</v>
      </c>
      <c r="B154" s="236"/>
      <c r="C154" s="236"/>
      <c r="D154" s="236"/>
      <c r="E154" s="236"/>
      <c r="F154" s="236"/>
      <c r="G154" s="236"/>
      <c r="H154" s="237"/>
      <c r="I154" s="34"/>
    </row>
    <row r="155" spans="1:20" s="92" customFormat="1" x14ac:dyDescent="0.25">
      <c r="A155" s="238" t="s">
        <v>384</v>
      </c>
      <c r="B155" s="239"/>
      <c r="C155" s="239"/>
      <c r="D155" s="239"/>
      <c r="E155" s="239"/>
      <c r="F155" s="239"/>
      <c r="G155" s="239"/>
      <c r="H155" s="240"/>
      <c r="I155" s="34"/>
    </row>
    <row r="156" spans="1:20" s="92" customFormat="1" ht="15.75" customHeight="1" x14ac:dyDescent="0.25">
      <c r="A156" s="159" t="s">
        <v>341</v>
      </c>
      <c r="B156" s="160"/>
      <c r="C156" s="160"/>
      <c r="D156" s="160"/>
      <c r="E156" s="160"/>
      <c r="F156" s="160"/>
      <c r="G156" s="160"/>
      <c r="H156" s="161"/>
      <c r="J156" s="34"/>
      <c r="K156" s="92" t="s">
        <v>386</v>
      </c>
    </row>
    <row r="157" spans="1:20" s="92" customFormat="1" ht="15.75" customHeight="1" x14ac:dyDescent="0.25">
      <c r="A157" s="115">
        <v>1</v>
      </c>
      <c r="B157" s="116"/>
      <c r="C157" s="94" t="s">
        <v>385</v>
      </c>
      <c r="D157" s="78">
        <f>(53.04)*(10.764)</f>
        <v>570.92255999999998</v>
      </c>
      <c r="E157" s="78">
        <f>(1.71)*(10.764)</f>
        <v>18.40644</v>
      </c>
      <c r="F157" s="94">
        <f>D157+E157</f>
        <v>589.32899999999995</v>
      </c>
      <c r="G157" s="94">
        <v>0</v>
      </c>
      <c r="H157" s="94">
        <f>F157*(($H$152)+1)+(IF(G157&lt;101,G157,IF(G157&lt;201,G157/2,IF(G157&lt;=301,G157/3,G157/4))))</f>
        <v>883.99349999999993</v>
      </c>
      <c r="I157" s="34">
        <f>(4.32*3.05+2.6*2.13+2.9*2.75+1.4*0.6+2.75*2.9+2.28*1.38+1.7*0.6+1.5*2.28+0.9*2.11+0.74*0.9+1.5*2.65)</f>
        <v>49.630400000000002</v>
      </c>
      <c r="L157" s="219"/>
      <c r="M157" s="219"/>
      <c r="N157" s="34"/>
    </row>
    <row r="158" spans="1:20" s="92" customFormat="1" ht="15.75" customHeight="1" x14ac:dyDescent="0.25">
      <c r="A158" s="115">
        <f>A157+1</f>
        <v>2</v>
      </c>
      <c r="B158" s="116"/>
      <c r="C158" s="94" t="s">
        <v>385</v>
      </c>
      <c r="D158" s="78">
        <f>(53.04)*(10.764)</f>
        <v>570.92255999999998</v>
      </c>
      <c r="E158" s="78">
        <f>(1.71)*(10.764)</f>
        <v>18.40644</v>
      </c>
      <c r="F158" s="94">
        <f>D158+E158</f>
        <v>589.32899999999995</v>
      </c>
      <c r="G158" s="94">
        <v>0</v>
      </c>
      <c r="H158" s="94">
        <f>F158*(($H$152)+1)+(IF(G158&lt;101,G158,IF(G158&lt;201,G158/2,IF(G158&lt;=301,G158/3,G158/4))))</f>
        <v>883.99349999999993</v>
      </c>
      <c r="I158" s="34"/>
      <c r="L158" s="219"/>
      <c r="M158" s="219"/>
      <c r="N158" s="34"/>
    </row>
    <row r="159" spans="1:20" s="92" customFormat="1" ht="15.75" customHeight="1" x14ac:dyDescent="0.25">
      <c r="A159" s="115">
        <f>A158+1</f>
        <v>3</v>
      </c>
      <c r="B159" s="116"/>
      <c r="C159" s="94" t="s">
        <v>385</v>
      </c>
      <c r="D159" s="78">
        <f>(53.04)*(10.764)</f>
        <v>570.92255999999998</v>
      </c>
      <c r="E159" s="78">
        <f>(1.71)*(10.764)</f>
        <v>18.40644</v>
      </c>
      <c r="F159" s="94">
        <f>D159+E159</f>
        <v>589.32899999999995</v>
      </c>
      <c r="G159" s="94">
        <v>0</v>
      </c>
      <c r="H159" s="94">
        <f>F159*(($H$152)+1)+(IF(G159&lt;101,G159,IF(G159&lt;201,G159/2,IF(G159&lt;=301,G159/3,G159/4))))</f>
        <v>883.99349999999993</v>
      </c>
      <c r="I159" s="34"/>
      <c r="L159" s="219"/>
      <c r="M159" s="219"/>
      <c r="N159" s="34"/>
    </row>
    <row r="160" spans="1:20" s="92" customFormat="1" ht="15.75" customHeight="1" x14ac:dyDescent="0.25">
      <c r="A160" s="115">
        <f>A159+1</f>
        <v>4</v>
      </c>
      <c r="B160" s="116"/>
      <c r="C160" s="94" t="s">
        <v>385</v>
      </c>
      <c r="D160" s="78">
        <f>(53.04)*(10.764)</f>
        <v>570.92255999999998</v>
      </c>
      <c r="E160" s="78">
        <f>(1.71)*(10.764)</f>
        <v>18.40644</v>
      </c>
      <c r="F160" s="94">
        <f>D160+E160</f>
        <v>589.32899999999995</v>
      </c>
      <c r="G160" s="94">
        <v>0</v>
      </c>
      <c r="H160" s="94">
        <f>F160*(($H$152)+1)+(IF(G160&lt;101,G160,IF(G160&lt;201,G160/2,IF(G160&lt;=301,G160/3,G160/4))))</f>
        <v>883.99349999999993</v>
      </c>
      <c r="I160" s="34"/>
      <c r="L160" s="219"/>
      <c r="M160" s="219"/>
      <c r="N160" s="34"/>
      <c r="T160" s="19"/>
    </row>
    <row r="161" spans="1:20" s="92" customFormat="1" ht="15.75" customHeight="1" x14ac:dyDescent="0.25">
      <c r="A161" s="115">
        <f>A160+1</f>
        <v>5</v>
      </c>
      <c r="B161" s="116"/>
      <c r="C161" s="94" t="s">
        <v>342</v>
      </c>
      <c r="D161" s="78">
        <f>(46.95)*(10.764)</f>
        <v>505.3698</v>
      </c>
      <c r="E161" s="78">
        <f>(1.77)*(10.764)</f>
        <v>19.05228</v>
      </c>
      <c r="F161" s="94">
        <f>D161+E161</f>
        <v>524.42208000000005</v>
      </c>
      <c r="G161" s="94">
        <v>0</v>
      </c>
      <c r="H161" s="94">
        <f>F161*(($H$152)+1)+(IF(G161&lt;101,G161,IF(G161&lt;201,G161/2,IF(G161&lt;=301,G161/3,G161/4))))</f>
        <v>786.63312000000008</v>
      </c>
      <c r="I161" s="34"/>
      <c r="L161" s="219"/>
      <c r="M161" s="219"/>
      <c r="N161" s="34"/>
      <c r="T161" s="19"/>
    </row>
    <row r="162" spans="1:20" s="92" customFormat="1" x14ac:dyDescent="0.25">
      <c r="A162" s="159" t="s">
        <v>387</v>
      </c>
      <c r="B162" s="160"/>
      <c r="C162" s="160"/>
      <c r="D162" s="160"/>
      <c r="E162" s="160"/>
      <c r="F162" s="160"/>
      <c r="G162" s="160"/>
      <c r="H162" s="161"/>
      <c r="I162" s="34"/>
    </row>
    <row r="163" spans="1:20" s="92" customFormat="1" ht="15.75" customHeight="1" x14ac:dyDescent="0.25">
      <c r="A163" s="115">
        <v>1</v>
      </c>
      <c r="B163" s="116"/>
      <c r="C163" s="94" t="s">
        <v>385</v>
      </c>
      <c r="D163" s="78">
        <f>(48.63)*(10.764)</f>
        <v>523.45331999999996</v>
      </c>
      <c r="E163" s="78">
        <f>(1.71)*(10.764)</f>
        <v>18.40644</v>
      </c>
      <c r="F163" s="94">
        <f t="shared" ref="F163:F168" si="4">D163+E163</f>
        <v>541.85975999999994</v>
      </c>
      <c r="G163" s="94">
        <v>0</v>
      </c>
      <c r="H163" s="94">
        <f t="shared" ref="H163:H168" si="5">F163*(($H$152)+1)+(IF(G163&lt;101,G163,IF(G163&lt;201,G163/2,IF(G163&lt;=301,G163/3,G163/4))))</f>
        <v>812.78963999999996</v>
      </c>
      <c r="I163" s="96">
        <f>(4.32*3.05+2.6*2.13+2.9*2.75+1.4*0.6+2.75*2.9+1.7*0.6+2.28*1.38+1.5*2.28+0.9*2.11+0.75*0.9)</f>
        <v>45.664400000000001</v>
      </c>
    </row>
    <row r="164" spans="1:20" s="92" customFormat="1" ht="15.75" customHeight="1" x14ac:dyDescent="0.25">
      <c r="A164" s="115">
        <f>A163+1</f>
        <v>2</v>
      </c>
      <c r="B164" s="116"/>
      <c r="C164" s="94" t="s">
        <v>385</v>
      </c>
      <c r="D164" s="78">
        <f>(48.63)*(10.764)</f>
        <v>523.45331999999996</v>
      </c>
      <c r="E164" s="78">
        <f>(1.71)*(10.764)</f>
        <v>18.40644</v>
      </c>
      <c r="F164" s="94">
        <f t="shared" si="4"/>
        <v>541.85975999999994</v>
      </c>
      <c r="G164" s="94">
        <v>0</v>
      </c>
      <c r="H164" s="94">
        <f t="shared" si="5"/>
        <v>812.78963999999996</v>
      </c>
      <c r="I164" s="34"/>
    </row>
    <row r="165" spans="1:20" s="92" customFormat="1" ht="15.75" customHeight="1" x14ac:dyDescent="0.25">
      <c r="A165" s="115">
        <f t="shared" ref="A165:A167" si="6">A164+1</f>
        <v>3</v>
      </c>
      <c r="B165" s="116"/>
      <c r="C165" s="94" t="s">
        <v>385</v>
      </c>
      <c r="D165" s="78">
        <f>(49.03)*(10.764)</f>
        <v>527.75891999999999</v>
      </c>
      <c r="E165" s="78">
        <f>(4.39)*(10.764)</f>
        <v>47.253959999999992</v>
      </c>
      <c r="F165" s="94">
        <f t="shared" si="4"/>
        <v>575.01288</v>
      </c>
      <c r="G165" s="94">
        <v>0</v>
      </c>
      <c r="H165" s="94">
        <f t="shared" si="5"/>
        <v>862.51931999999999</v>
      </c>
      <c r="I165" s="96">
        <f>(3.05*4.32+2.13*2.6+2.75*2.9+1.4*0.6+2.75*2.9+1.7*0.6+1.38*2.28+2.28*1.5+2.11*0.9+0.74*0.9)</f>
        <v>45.6554</v>
      </c>
    </row>
    <row r="166" spans="1:20" s="92" customFormat="1" ht="15.75" customHeight="1" x14ac:dyDescent="0.25">
      <c r="A166" s="115">
        <f t="shared" si="6"/>
        <v>4</v>
      </c>
      <c r="B166" s="116"/>
      <c r="C166" s="94" t="s">
        <v>385</v>
      </c>
      <c r="D166" s="78">
        <f>(49.03)*(10.764)</f>
        <v>527.75891999999999</v>
      </c>
      <c r="E166" s="78">
        <f>(4.39)*(10.764)</f>
        <v>47.253959999999992</v>
      </c>
      <c r="F166" s="94">
        <f t="shared" si="4"/>
        <v>575.01288</v>
      </c>
      <c r="G166" s="94">
        <v>0</v>
      </c>
      <c r="H166" s="94">
        <f t="shared" si="5"/>
        <v>862.51931999999999</v>
      </c>
      <c r="I166" s="34"/>
    </row>
    <row r="167" spans="1:20" s="92" customFormat="1" ht="15.75" customHeight="1" x14ac:dyDescent="0.25">
      <c r="A167" s="115">
        <f t="shared" si="6"/>
        <v>5</v>
      </c>
      <c r="B167" s="116"/>
      <c r="C167" s="94" t="s">
        <v>385</v>
      </c>
      <c r="D167" s="78">
        <f>(49.03)*(10.764)</f>
        <v>527.75891999999999</v>
      </c>
      <c r="E167" s="78">
        <f>(12.67)*(10.764)</f>
        <v>136.37987999999999</v>
      </c>
      <c r="F167" s="94">
        <f t="shared" si="4"/>
        <v>664.13879999999995</v>
      </c>
      <c r="G167" s="94">
        <v>0</v>
      </c>
      <c r="H167" s="94">
        <f t="shared" si="5"/>
        <v>996.20819999999992</v>
      </c>
      <c r="I167" s="34"/>
      <c r="J167" s="92">
        <f>2.7*1.76+3*1.93+1.22*1.4</f>
        <v>12.250000000000002</v>
      </c>
    </row>
    <row r="168" spans="1:20" s="92" customFormat="1" ht="15.75" customHeight="1" x14ac:dyDescent="0.25">
      <c r="A168" s="115">
        <f t="shared" ref="A168" si="7">A167+1</f>
        <v>6</v>
      </c>
      <c r="B168" s="116"/>
      <c r="C168" s="94" t="s">
        <v>385</v>
      </c>
      <c r="D168" s="78">
        <f>(49.03)*(10.764)</f>
        <v>527.75891999999999</v>
      </c>
      <c r="E168" s="78">
        <f>(4.39)*(10.764)</f>
        <v>47.253959999999992</v>
      </c>
      <c r="F168" s="94">
        <f t="shared" si="4"/>
        <v>575.01288</v>
      </c>
      <c r="G168" s="94">
        <v>0</v>
      </c>
      <c r="H168" s="94">
        <f t="shared" si="5"/>
        <v>862.51931999999999</v>
      </c>
      <c r="I168" s="34"/>
    </row>
    <row r="169" spans="1:20" s="92" customFormat="1" x14ac:dyDescent="0.25">
      <c r="A169" s="238" t="s">
        <v>391</v>
      </c>
      <c r="B169" s="239"/>
      <c r="C169" s="239"/>
      <c r="D169" s="239"/>
      <c r="E169" s="239"/>
      <c r="F169" s="239"/>
      <c r="G169" s="239"/>
      <c r="H169" s="240"/>
      <c r="I169" s="34"/>
    </row>
    <row r="170" spans="1:20" s="92" customFormat="1" ht="15.75" customHeight="1" x14ac:dyDescent="0.25">
      <c r="A170" s="115">
        <v>1</v>
      </c>
      <c r="B170" s="116"/>
      <c r="C170" s="94" t="s">
        <v>385</v>
      </c>
      <c r="D170" s="78">
        <f>(49.15)*(10.764)</f>
        <v>529.05059999999992</v>
      </c>
      <c r="E170" s="78">
        <f>4.12*10.764</f>
        <v>44.347679999999997</v>
      </c>
      <c r="F170" s="94">
        <f t="shared" ref="F170:F175" si="8">D170+E170</f>
        <v>573.39827999999989</v>
      </c>
      <c r="G170" s="94">
        <v>0</v>
      </c>
      <c r="H170" s="94">
        <f t="shared" ref="H170:H175" si="9">F170*(($H$152)+1)+(IF(G170&lt;101,G170,IF(G170&lt;201,G170/2,IF(G170&lt;=301,G170/3,G170/4))))</f>
        <v>860.09741999999983</v>
      </c>
      <c r="I170" s="34"/>
    </row>
    <row r="171" spans="1:20" s="92" customFormat="1" ht="15.75" customHeight="1" x14ac:dyDescent="0.25">
      <c r="A171" s="115">
        <f>A170+1</f>
        <v>2</v>
      </c>
      <c r="B171" s="116"/>
      <c r="C171" s="94" t="s">
        <v>385</v>
      </c>
      <c r="D171" s="78">
        <f>(49.15)*(10.764)</f>
        <v>529.05059999999992</v>
      </c>
      <c r="E171" s="78">
        <f>4.12*10.764</f>
        <v>44.347679999999997</v>
      </c>
      <c r="F171" s="94">
        <f t="shared" si="8"/>
        <v>573.39827999999989</v>
      </c>
      <c r="G171" s="94">
        <v>0</v>
      </c>
      <c r="H171" s="94">
        <f t="shared" si="9"/>
        <v>860.09741999999983</v>
      </c>
      <c r="I171" s="34"/>
      <c r="J171" s="96">
        <f>1.97*1.23+1.22*1.4</f>
        <v>4.1311</v>
      </c>
    </row>
    <row r="172" spans="1:20" s="92" customFormat="1" ht="15.75" customHeight="1" x14ac:dyDescent="0.25">
      <c r="A172" s="115">
        <f t="shared" ref="A172:A175" si="10">A171+1</f>
        <v>3</v>
      </c>
      <c r="B172" s="116"/>
      <c r="C172" s="94" t="s">
        <v>385</v>
      </c>
      <c r="D172" s="78">
        <f>(49.03)*(10.764)</f>
        <v>527.75891999999999</v>
      </c>
      <c r="E172" s="78">
        <f>(4.39)*(10.764)</f>
        <v>47.253959999999992</v>
      </c>
      <c r="F172" s="94">
        <f t="shared" si="8"/>
        <v>575.01288</v>
      </c>
      <c r="G172" s="94">
        <v>0</v>
      </c>
      <c r="H172" s="94">
        <f t="shared" si="9"/>
        <v>862.51931999999999</v>
      </c>
      <c r="I172" s="34"/>
      <c r="J172" s="96">
        <f>1.97*1.23+1.22*1.4</f>
        <v>4.1311</v>
      </c>
    </row>
    <row r="173" spans="1:20" s="92" customFormat="1" ht="15.75" customHeight="1" x14ac:dyDescent="0.25">
      <c r="A173" s="115">
        <f t="shared" si="10"/>
        <v>4</v>
      </c>
      <c r="B173" s="116"/>
      <c r="C173" s="94" t="s">
        <v>385</v>
      </c>
      <c r="D173" s="78">
        <f>(49.03)*(10.764)</f>
        <v>527.75891999999999</v>
      </c>
      <c r="E173" s="78">
        <f>(4.39)*(10.764)</f>
        <v>47.253959999999992</v>
      </c>
      <c r="F173" s="94">
        <f t="shared" si="8"/>
        <v>575.01288</v>
      </c>
      <c r="G173" s="94">
        <v>0</v>
      </c>
      <c r="H173" s="94">
        <f t="shared" si="9"/>
        <v>862.51931999999999</v>
      </c>
      <c r="I173" s="34"/>
    </row>
    <row r="174" spans="1:20" s="92" customFormat="1" ht="15.75" customHeight="1" x14ac:dyDescent="0.25">
      <c r="A174" s="115">
        <f t="shared" si="10"/>
        <v>5</v>
      </c>
      <c r="B174" s="116"/>
      <c r="C174" s="94" t="s">
        <v>385</v>
      </c>
      <c r="D174" s="78">
        <f>(49.03)*(10.764)</f>
        <v>527.75891999999999</v>
      </c>
      <c r="E174" s="78">
        <f>(4.39)*(10.764)</f>
        <v>47.253959999999992</v>
      </c>
      <c r="F174" s="94">
        <f t="shared" si="8"/>
        <v>575.01288</v>
      </c>
      <c r="G174" s="94">
        <v>0</v>
      </c>
      <c r="H174" s="94">
        <f t="shared" si="9"/>
        <v>862.51931999999999</v>
      </c>
      <c r="I174" s="34"/>
    </row>
    <row r="175" spans="1:20" s="92" customFormat="1" ht="15.75" customHeight="1" x14ac:dyDescent="0.25">
      <c r="A175" s="115">
        <f t="shared" si="10"/>
        <v>6</v>
      </c>
      <c r="B175" s="116"/>
      <c r="C175" s="94" t="s">
        <v>385</v>
      </c>
      <c r="D175" s="78">
        <f>(49.03)*(10.764)</f>
        <v>527.75891999999999</v>
      </c>
      <c r="E175" s="78">
        <f>(4.39)*(10.764)</f>
        <v>47.253959999999992</v>
      </c>
      <c r="F175" s="94">
        <f t="shared" si="8"/>
        <v>575.01288</v>
      </c>
      <c r="G175" s="94">
        <v>0</v>
      </c>
      <c r="H175" s="94">
        <f t="shared" si="9"/>
        <v>862.51931999999999</v>
      </c>
      <c r="I175" s="34"/>
    </row>
    <row r="176" spans="1:20" s="92" customFormat="1" ht="40.5" customHeight="1" x14ac:dyDescent="0.25">
      <c r="A176" s="159" t="s">
        <v>392</v>
      </c>
      <c r="B176" s="160"/>
      <c r="C176" s="160"/>
      <c r="D176" s="160"/>
      <c r="E176" s="160"/>
      <c r="F176" s="160"/>
      <c r="G176" s="160"/>
      <c r="H176" s="161"/>
      <c r="I176" s="34"/>
    </row>
    <row r="177" spans="1:14" s="92" customFormat="1" ht="15.75" customHeight="1" x14ac:dyDescent="0.25">
      <c r="A177" s="115">
        <v>1</v>
      </c>
      <c r="B177" s="116"/>
      <c r="C177" s="94" t="s">
        <v>385</v>
      </c>
      <c r="D177" s="78">
        <f>(49.15)*(10.764)</f>
        <v>529.05059999999992</v>
      </c>
      <c r="E177" s="78">
        <f>4.12*10.764</f>
        <v>44.347679999999997</v>
      </c>
      <c r="F177" s="94">
        <f t="shared" ref="F177:F182" si="11">D177+E177</f>
        <v>573.39827999999989</v>
      </c>
      <c r="G177" s="94">
        <v>0</v>
      </c>
      <c r="H177" s="94">
        <f t="shared" ref="H177:H182" si="12">F177*(($H$152)+1)+(IF(G177&lt;101,G177,IF(G177&lt;201,G177/2,IF(G177&lt;=301,G177/3,G177/4))))</f>
        <v>860.09741999999983</v>
      </c>
      <c r="I177" s="34"/>
    </row>
    <row r="178" spans="1:14" s="92" customFormat="1" ht="15.75" customHeight="1" x14ac:dyDescent="0.25">
      <c r="A178" s="115">
        <f>A177+1</f>
        <v>2</v>
      </c>
      <c r="B178" s="116"/>
      <c r="C178" s="94" t="s">
        <v>385</v>
      </c>
      <c r="D178" s="78">
        <f>(49.15)*(10.764)</f>
        <v>529.05059999999992</v>
      </c>
      <c r="E178" s="78">
        <f>4.12*10.764</f>
        <v>44.347679999999997</v>
      </c>
      <c r="F178" s="94">
        <f t="shared" si="11"/>
        <v>573.39827999999989</v>
      </c>
      <c r="G178" s="94">
        <v>0</v>
      </c>
      <c r="H178" s="94">
        <f t="shared" si="12"/>
        <v>860.09741999999983</v>
      </c>
      <c r="I178" s="34"/>
      <c r="J178" s="96">
        <f>1.97*1.23+1.22*1.4</f>
        <v>4.1311</v>
      </c>
    </row>
    <row r="179" spans="1:14" s="92" customFormat="1" ht="15.75" customHeight="1" x14ac:dyDescent="0.25">
      <c r="A179" s="115">
        <f t="shared" ref="A179:A181" si="13">A178+1</f>
        <v>3</v>
      </c>
      <c r="B179" s="116"/>
      <c r="C179" s="94" t="s">
        <v>385</v>
      </c>
      <c r="D179" s="78">
        <f>(49.03)*(10.764)</f>
        <v>527.75891999999999</v>
      </c>
      <c r="E179" s="78">
        <f>(4.39)*(10.764)</f>
        <v>47.253959999999992</v>
      </c>
      <c r="F179" s="94">
        <f t="shared" si="11"/>
        <v>575.01288</v>
      </c>
      <c r="G179" s="94">
        <v>0</v>
      </c>
      <c r="H179" s="94">
        <f t="shared" si="12"/>
        <v>862.51931999999999</v>
      </c>
      <c r="I179" s="34"/>
      <c r="J179" s="96">
        <f>1.97*1.23+1.22*1.4</f>
        <v>4.1311</v>
      </c>
    </row>
    <row r="180" spans="1:14" s="92" customFormat="1" ht="15.75" customHeight="1" x14ac:dyDescent="0.25">
      <c r="A180" s="115">
        <f t="shared" si="13"/>
        <v>4</v>
      </c>
      <c r="B180" s="116"/>
      <c r="C180" s="94" t="s">
        <v>385</v>
      </c>
      <c r="D180" s="78">
        <f>(49.03)*(10.764)</f>
        <v>527.75891999999999</v>
      </c>
      <c r="E180" s="78">
        <f>(4.39)*(10.764)</f>
        <v>47.253959999999992</v>
      </c>
      <c r="F180" s="94">
        <f t="shared" si="11"/>
        <v>575.01288</v>
      </c>
      <c r="G180" s="94">
        <v>0</v>
      </c>
      <c r="H180" s="94">
        <f t="shared" si="12"/>
        <v>862.51931999999999</v>
      </c>
      <c r="I180" s="34"/>
    </row>
    <row r="181" spans="1:14" s="92" customFormat="1" ht="15.75" customHeight="1" x14ac:dyDescent="0.25">
      <c r="A181" s="115">
        <f t="shared" si="13"/>
        <v>5</v>
      </c>
      <c r="B181" s="116"/>
      <c r="C181" s="94" t="s">
        <v>385</v>
      </c>
      <c r="D181" s="78">
        <f>(49.03)*(10.764)</f>
        <v>527.75891999999999</v>
      </c>
      <c r="E181" s="78">
        <f>(4.39)*(10.764)</f>
        <v>47.253959999999992</v>
      </c>
      <c r="F181" s="94">
        <f t="shared" si="11"/>
        <v>575.01288</v>
      </c>
      <c r="G181" s="94">
        <v>0</v>
      </c>
      <c r="H181" s="94">
        <f t="shared" si="12"/>
        <v>862.51931999999999</v>
      </c>
      <c r="I181" s="34"/>
    </row>
    <row r="182" spans="1:14" s="92" customFormat="1" ht="15.75" customHeight="1" x14ac:dyDescent="0.25">
      <c r="A182" s="115">
        <f t="shared" ref="A182" si="14">A181+1</f>
        <v>6</v>
      </c>
      <c r="B182" s="116"/>
      <c r="C182" s="94" t="s">
        <v>385</v>
      </c>
      <c r="D182" s="78">
        <f>(49.03)*(10.764)</f>
        <v>527.75891999999999</v>
      </c>
      <c r="E182" s="78">
        <f>(4.39)*(10.764)</f>
        <v>47.253959999999992</v>
      </c>
      <c r="F182" s="94">
        <f t="shared" si="11"/>
        <v>575.01288</v>
      </c>
      <c r="G182" s="94">
        <v>0</v>
      </c>
      <c r="H182" s="94">
        <f t="shared" si="12"/>
        <v>862.51931999999999</v>
      </c>
      <c r="I182" s="34"/>
    </row>
    <row r="183" spans="1:14" s="92" customFormat="1" ht="72" customHeight="1" x14ac:dyDescent="0.25">
      <c r="A183" s="159" t="s">
        <v>360</v>
      </c>
      <c r="B183" s="160"/>
      <c r="C183" s="160"/>
      <c r="D183" s="160"/>
      <c r="E183" s="160"/>
      <c r="F183" s="160"/>
      <c r="G183" s="160"/>
      <c r="H183" s="161"/>
      <c r="I183" s="34"/>
    </row>
    <row r="184" spans="1:14" s="92" customFormat="1" ht="15.75" customHeight="1" x14ac:dyDescent="0.25">
      <c r="A184" s="115">
        <v>1</v>
      </c>
      <c r="B184" s="116"/>
      <c r="C184" s="94" t="s">
        <v>385</v>
      </c>
      <c r="D184" s="78">
        <f>(49.15)*(10.764)</f>
        <v>529.05059999999992</v>
      </c>
      <c r="E184" s="78">
        <f>4.12*10.764</f>
        <v>44.347679999999997</v>
      </c>
      <c r="F184" s="94">
        <f>D184+E184</f>
        <v>573.39827999999989</v>
      </c>
      <c r="G184" s="94">
        <v>0</v>
      </c>
      <c r="H184" s="94">
        <f>F184*(($H$152)+1)+(IF(G184&lt;101,G184,IF(G184&lt;201,G184/2,IF(G184&lt;=301,G184/3,G184/4))))</f>
        <v>860.09741999999983</v>
      </c>
      <c r="I184" s="34"/>
    </row>
    <row r="185" spans="1:14" s="92" customFormat="1" ht="15.75" customHeight="1" x14ac:dyDescent="0.25">
      <c r="A185" s="115">
        <f>A184+1</f>
        <v>2</v>
      </c>
      <c r="B185" s="116"/>
      <c r="C185" s="94" t="s">
        <v>385</v>
      </c>
      <c r="D185" s="78">
        <f>(49.15)*(10.764)</f>
        <v>529.05059999999992</v>
      </c>
      <c r="E185" s="78">
        <f>4.12*10.764</f>
        <v>44.347679999999997</v>
      </c>
      <c r="F185" s="94">
        <f>D185+E185</f>
        <v>573.39827999999989</v>
      </c>
      <c r="G185" s="94">
        <v>0</v>
      </c>
      <c r="H185" s="94">
        <f>F185*(($H$152)+1)+(IF(G185&lt;101,G185,IF(G185&lt;201,G185/2,IF(G185&lt;=301,G185/3,G185/4))))</f>
        <v>860.09741999999983</v>
      </c>
      <c r="I185" s="34"/>
    </row>
    <row r="186" spans="1:14" s="92" customFormat="1" ht="15.75" customHeight="1" x14ac:dyDescent="0.25">
      <c r="A186" s="115">
        <f t="shared" ref="A186:A189" si="15">A185+1</f>
        <v>3</v>
      </c>
      <c r="B186" s="116"/>
      <c r="C186" s="94" t="s">
        <v>385</v>
      </c>
      <c r="D186" s="78">
        <f>(49.03)*(10.764)</f>
        <v>527.75891999999999</v>
      </c>
      <c r="E186" s="78">
        <f>(4.39)*(10.764)</f>
        <v>47.253959999999992</v>
      </c>
      <c r="F186" s="94">
        <f>D186+E186</f>
        <v>575.01288</v>
      </c>
      <c r="G186" s="94">
        <v>0</v>
      </c>
      <c r="H186" s="94">
        <f>F186*(($H$152)+1)+(IF(G186&lt;101,G186,IF(G186&lt;201,G186/2,IF(G186&lt;=301,G186/3,G186/4))))</f>
        <v>862.51931999999999</v>
      </c>
      <c r="I186" s="34"/>
    </row>
    <row r="187" spans="1:14" s="92" customFormat="1" ht="15.75" customHeight="1" x14ac:dyDescent="0.25">
      <c r="A187" s="115">
        <f t="shared" si="15"/>
        <v>4</v>
      </c>
      <c r="B187" s="116"/>
      <c r="C187" s="115" t="s">
        <v>344</v>
      </c>
      <c r="D187" s="173"/>
      <c r="E187" s="173"/>
      <c r="F187" s="173"/>
      <c r="G187" s="173"/>
      <c r="H187" s="116"/>
      <c r="I187" s="34"/>
    </row>
    <row r="188" spans="1:14" s="92" customFormat="1" ht="15.75" customHeight="1" x14ac:dyDescent="0.25">
      <c r="A188" s="115">
        <f t="shared" si="15"/>
        <v>5</v>
      </c>
      <c r="B188" s="116"/>
      <c r="C188" s="94" t="s">
        <v>385</v>
      </c>
      <c r="D188" s="78">
        <f>(49.03)*(10.764)</f>
        <v>527.75891999999999</v>
      </c>
      <c r="E188" s="78">
        <f>(4.39)*(10.764)</f>
        <v>47.253959999999992</v>
      </c>
      <c r="F188" s="94">
        <f>D188+E188</f>
        <v>575.01288</v>
      </c>
      <c r="G188" s="94">
        <v>0</v>
      </c>
      <c r="H188" s="94">
        <f>F188*(($H$152)+1)+(IF(G188&lt;101,G188,IF(G188&lt;201,G188/2,IF(G188&lt;=301,G188/3,G188/4))))</f>
        <v>862.51931999999999</v>
      </c>
      <c r="I188" s="34"/>
    </row>
    <row r="189" spans="1:14" s="92" customFormat="1" ht="15.75" customHeight="1" x14ac:dyDescent="0.25">
      <c r="A189" s="115">
        <f t="shared" si="15"/>
        <v>6</v>
      </c>
      <c r="B189" s="116"/>
      <c r="C189" s="94" t="s">
        <v>385</v>
      </c>
      <c r="D189" s="78">
        <f>(49.03)*(10.764)</f>
        <v>527.75891999999999</v>
      </c>
      <c r="E189" s="78">
        <f>(4.39)*(10.764)</f>
        <v>47.253959999999992</v>
      </c>
      <c r="F189" s="94">
        <f>D189+E189</f>
        <v>575.01288</v>
      </c>
      <c r="G189" s="94">
        <v>0</v>
      </c>
      <c r="H189" s="94">
        <f>F189*(($H$152)+1)+(IF(G189&lt;101,G189,IF(G189&lt;201,G189/2,IF(G189&lt;=301,G189/3,G189/4))))</f>
        <v>862.51931999999999</v>
      </c>
      <c r="I189" s="34"/>
    </row>
    <row r="190" spans="1:14" s="76" customFormat="1" x14ac:dyDescent="0.25">
      <c r="A190" s="238" t="s">
        <v>340</v>
      </c>
      <c r="B190" s="239"/>
      <c r="C190" s="239"/>
      <c r="D190" s="239"/>
      <c r="E190" s="239"/>
      <c r="F190" s="239"/>
      <c r="G190" s="239"/>
      <c r="H190" s="240"/>
      <c r="I190" s="34"/>
    </row>
    <row r="191" spans="1:14" s="76" customFormat="1" ht="15.75" customHeight="1" x14ac:dyDescent="0.25">
      <c r="A191" s="159" t="s">
        <v>341</v>
      </c>
      <c r="B191" s="160"/>
      <c r="C191" s="160"/>
      <c r="D191" s="160"/>
      <c r="E191" s="160"/>
      <c r="F191" s="160"/>
      <c r="G191" s="160"/>
      <c r="H191" s="161"/>
      <c r="J191" s="34"/>
    </row>
    <row r="192" spans="1:14" s="76" customFormat="1" ht="15.75" customHeight="1" x14ac:dyDescent="0.25">
      <c r="A192" s="115">
        <v>1</v>
      </c>
      <c r="B192" s="116"/>
      <c r="C192" s="75" t="s">
        <v>342</v>
      </c>
      <c r="D192" s="78">
        <f>((3.05*4.38+2.14*2.75+3.05*3.05+1.67*1+1.15*1.45+1.2*1.45+1*1+0.91*2.55+1*0.42))*(10.764)</f>
        <v>402.19147799999996</v>
      </c>
      <c r="E192" s="78">
        <f>(2.45*2.13+3*1.92+2.13*1.07)*(10.764)</f>
        <v>142.7048064</v>
      </c>
      <c r="F192" s="75">
        <f>D192+E192</f>
        <v>544.89628440000001</v>
      </c>
      <c r="G192" s="75">
        <v>0</v>
      </c>
      <c r="H192" s="75">
        <f>F192*(($H$152)+1)+(IF(G192&lt;101,G192,IF(G192&lt;201,G192/2,IF(G192&lt;=301,G192/3,G192/4))))</f>
        <v>817.34442660000002</v>
      </c>
      <c r="I192" s="34"/>
      <c r="L192" s="219"/>
      <c r="M192" s="219"/>
      <c r="N192" s="34"/>
    </row>
    <row r="193" spans="1:20" s="76" customFormat="1" ht="15.75" customHeight="1" x14ac:dyDescent="0.25">
      <c r="A193" s="115">
        <f t="shared" ref="A193:A198" si="16">A192+1</f>
        <v>2</v>
      </c>
      <c r="B193" s="116"/>
      <c r="C193" s="75" t="s">
        <v>342</v>
      </c>
      <c r="D193" s="78">
        <f>((3.05*4.38+2.14*2.75+3.05*3.05+1.67*1+1.15*1.45+1.2*1.45+1*1+0.91*2.55+1*0.42))*(10.764)</f>
        <v>402.19147799999996</v>
      </c>
      <c r="E193" s="78">
        <f>(3*2.13+3*1.92+2.13*1.07)*(10.764)</f>
        <v>155.31483239999997</v>
      </c>
      <c r="F193" s="75">
        <f>D193+E193</f>
        <v>557.50631039999996</v>
      </c>
      <c r="G193" s="75">
        <v>0</v>
      </c>
      <c r="H193" s="75">
        <f>F193*(($H$152)+1)+(IF(G193&lt;101,G193,IF(G193&lt;201,G193/2,IF(G193&lt;=301,G193/3,G193/4))))</f>
        <v>836.25946559999988</v>
      </c>
      <c r="I193" s="34"/>
      <c r="L193" s="219"/>
      <c r="M193" s="219"/>
      <c r="N193" s="34"/>
    </row>
    <row r="194" spans="1:20" s="76" customFormat="1" ht="15.75" customHeight="1" x14ac:dyDescent="0.25">
      <c r="A194" s="115">
        <f t="shared" si="16"/>
        <v>3</v>
      </c>
      <c r="B194" s="116"/>
      <c r="C194" s="246" t="s">
        <v>345</v>
      </c>
      <c r="D194" s="247"/>
      <c r="E194" s="247"/>
      <c r="F194" s="247"/>
      <c r="G194" s="247"/>
      <c r="H194" s="248"/>
      <c r="I194" s="34"/>
      <c r="J194" s="78">
        <f>10.764</f>
        <v>10.763999999999999</v>
      </c>
      <c r="L194" s="219"/>
      <c r="M194" s="219"/>
      <c r="N194" s="34"/>
    </row>
    <row r="195" spans="1:20" s="76" customFormat="1" ht="15.75" customHeight="1" x14ac:dyDescent="0.25">
      <c r="A195" s="115">
        <f t="shared" si="16"/>
        <v>4</v>
      </c>
      <c r="B195" s="116"/>
      <c r="C195" s="75" t="s">
        <v>342</v>
      </c>
      <c r="D195" s="78">
        <f>((3.05*4.38+2.13*2.75+3.05*3.05+1.67*1+1.15*1.45+1.2*1.45+1*1+0.91*2.55+1*0.42))*(10.764)</f>
        <v>401.89546799999994</v>
      </c>
      <c r="E195" s="78">
        <f>(3*2.14+3*1.92+2.13*1.07)*(10.764)</f>
        <v>155.63775239999998</v>
      </c>
      <c r="F195" s="75">
        <f>D195+E195</f>
        <v>557.53322039999989</v>
      </c>
      <c r="G195" s="75">
        <v>0</v>
      </c>
      <c r="H195" s="75">
        <f>F195*(($H$152)+1)+(IF(G195&lt;101,G195,IF(G195&lt;201,G195/2,IF(G195&lt;=301,G195/3,G195/4))))</f>
        <v>836.29983059999984</v>
      </c>
      <c r="I195" s="34"/>
      <c r="L195" s="219"/>
      <c r="M195" s="219"/>
      <c r="N195" s="34"/>
      <c r="T195" s="19"/>
    </row>
    <row r="196" spans="1:20" s="76" customFormat="1" ht="15.75" customHeight="1" x14ac:dyDescent="0.25">
      <c r="A196" s="115">
        <f t="shared" si="16"/>
        <v>5</v>
      </c>
      <c r="B196" s="116"/>
      <c r="C196" s="75" t="s">
        <v>342</v>
      </c>
      <c r="D196" s="78">
        <f>((2.25*2.55+1.49*1.83+2.14*2.74+3.05*3.05+1*1+1.67*1+1.15*1.45+1.2*1.45+1*0.42))*(10.764)</f>
        <v>324.29563919999998</v>
      </c>
      <c r="E196" s="78">
        <f>(2.14*1.07+3*1.92+1.25*2.4)*(10.764)</f>
        <v>118.94004719999998</v>
      </c>
      <c r="F196" s="75">
        <f>D196+E196</f>
        <v>443.23568639999996</v>
      </c>
      <c r="G196" s="75">
        <v>0</v>
      </c>
      <c r="H196" s="75">
        <f>F196*(($H$152)+1)+(IF(G196&lt;101,G196,IF(G196&lt;201,G196/2,IF(G196&lt;=301,G196/3,G196/4))))</f>
        <v>664.8535296</v>
      </c>
      <c r="I196" s="34"/>
      <c r="L196" s="219"/>
      <c r="M196" s="219"/>
      <c r="N196" s="34"/>
    </row>
    <row r="197" spans="1:20" s="76" customFormat="1" ht="15.75" customHeight="1" x14ac:dyDescent="0.25">
      <c r="A197" s="115">
        <f t="shared" si="16"/>
        <v>6</v>
      </c>
      <c r="B197" s="116"/>
      <c r="C197" s="75" t="s">
        <v>342</v>
      </c>
      <c r="D197" s="78">
        <f>((4.38*3.05+2.75*2.14+3.05*3.05+1*1+2.55*0.92+1.45*1.15+1.45*1.2+0.6*1.67+1*0.42))*(10.764)</f>
        <v>395.27560799999998</v>
      </c>
      <c r="E197" s="78">
        <f>(2.14*2.45+1.07*2.13+1.9*3)*(10.764)</f>
        <v>142.32268439999999</v>
      </c>
      <c r="F197" s="75">
        <f>D197+E197</f>
        <v>537.59829239999999</v>
      </c>
      <c r="G197" s="75">
        <v>0</v>
      </c>
      <c r="H197" s="75">
        <f>F197*(($H$152)+1)+(IF(G197&lt;101,G197,IF(G197&lt;201,G197/2,IF(G197&lt;=301,G197/3,G197/4))))</f>
        <v>806.39743859999999</v>
      </c>
      <c r="I197" s="34"/>
      <c r="L197" s="219"/>
      <c r="M197" s="219"/>
      <c r="N197" s="34"/>
    </row>
    <row r="198" spans="1:20" s="76" customFormat="1" ht="15.75" customHeight="1" x14ac:dyDescent="0.25">
      <c r="A198" s="115">
        <f t="shared" si="16"/>
        <v>7</v>
      </c>
      <c r="B198" s="116"/>
      <c r="C198" s="75" t="s">
        <v>342</v>
      </c>
      <c r="D198" s="78">
        <f>((4.38*3.05+2.75*2.14+3.05*3.05+1*1+2.55*0.92+1.45*1.15+1.45*1.2+0.6*1.67+1*0.42))*(10.764)</f>
        <v>395.27560799999998</v>
      </c>
      <c r="E198" s="78">
        <f>(2.14*3+1.07*2.13+1.9*3)*(10.764)</f>
        <v>154.99191239999999</v>
      </c>
      <c r="F198" s="75">
        <f>D198+E198</f>
        <v>550.26752039999997</v>
      </c>
      <c r="G198" s="75">
        <v>0</v>
      </c>
      <c r="H198" s="75">
        <f>F198*(($H$152)+1)+(IF(G198&lt;101,G198,IF(G198&lt;201,G198/2,IF(G198&lt;=301,G198/3,G198/4))))</f>
        <v>825.40128059999995</v>
      </c>
      <c r="I198" s="34"/>
      <c r="L198" s="219"/>
      <c r="M198" s="219"/>
      <c r="N198" s="34"/>
      <c r="T198" s="19"/>
    </row>
    <row r="199" spans="1:20" s="76" customFormat="1" ht="15.75" customHeight="1" x14ac:dyDescent="0.25">
      <c r="A199" s="159" t="s">
        <v>358</v>
      </c>
      <c r="B199" s="160"/>
      <c r="C199" s="160"/>
      <c r="D199" s="160"/>
      <c r="E199" s="160"/>
      <c r="F199" s="160"/>
      <c r="G199" s="160"/>
      <c r="H199" s="161"/>
      <c r="I199" s="34"/>
    </row>
    <row r="200" spans="1:20" s="76" customFormat="1" ht="15.75" customHeight="1" x14ac:dyDescent="0.25">
      <c r="A200" s="115">
        <v>1</v>
      </c>
      <c r="B200" s="116"/>
      <c r="C200" s="75" t="s">
        <v>342</v>
      </c>
      <c r="D200" s="78">
        <f>((3.05*4.38+2.13*2.75+3.05*3.05+1.67*1+1.15*1.45+1.2*1.45+1*1+0.91*2.55+1*0.42))*(10.764)</f>
        <v>401.89546799999994</v>
      </c>
      <c r="E200" s="78">
        <f>(2.44*1.2+2.14*1.07)*(10.764)</f>
        <v>56.164399199999998</v>
      </c>
      <c r="F200" s="75">
        <f t="shared" ref="F200:F206" si="17">D200+E200</f>
        <v>458.05986719999993</v>
      </c>
      <c r="G200" s="75">
        <v>0</v>
      </c>
      <c r="H200" s="75">
        <f t="shared" ref="H200:H206" si="18">F200*(($H$152)+1)+(IF(G200&lt;101,G200,IF(G200&lt;201,G200/2,IF(G200&lt;=301,G200/3,G200/4))))</f>
        <v>687.08980079999992</v>
      </c>
      <c r="I200" s="34"/>
    </row>
    <row r="201" spans="1:20" s="76" customFormat="1" ht="15.75" customHeight="1" x14ac:dyDescent="0.25">
      <c r="A201" s="115">
        <f>A200+1</f>
        <v>2</v>
      </c>
      <c r="B201" s="116"/>
      <c r="C201" s="75" t="s">
        <v>342</v>
      </c>
      <c r="D201" s="78">
        <f>((3.05*4.38+2.14*2.75+3.05*3.05+1.67*1+1.15*1.45+1.2*1.45+1*1+0.91*2.55+1*0.42))*(10.764)</f>
        <v>402.19147799999996</v>
      </c>
      <c r="E201" s="78">
        <f>(2.44*1.22+2.13*1.07)*(10.764)</f>
        <v>56.574507600000004</v>
      </c>
      <c r="F201" s="75">
        <f t="shared" si="17"/>
        <v>458.76598559999996</v>
      </c>
      <c r="G201" s="75">
        <v>0</v>
      </c>
      <c r="H201" s="75">
        <f t="shared" si="18"/>
        <v>688.14897839999992</v>
      </c>
      <c r="I201" s="34"/>
    </row>
    <row r="202" spans="1:20" s="76" customFormat="1" ht="15.75" customHeight="1" x14ac:dyDescent="0.25">
      <c r="A202" s="115">
        <f t="shared" ref="A202:A206" si="19">A201+1</f>
        <v>3</v>
      </c>
      <c r="B202" s="116"/>
      <c r="C202" s="75" t="s">
        <v>342</v>
      </c>
      <c r="D202" s="78">
        <f>((3.05*4.38+2.14*2.75+3.05*3.05+1.67*0.6+1.15*1.45+1.2*1.45+1*1+0.91*2.55+1*0.42))*(10.764)</f>
        <v>395.001126</v>
      </c>
      <c r="E202" s="78">
        <f>(2.44*1.22+2.13*1.07)*(10.764)</f>
        <v>56.574507600000004</v>
      </c>
      <c r="F202" s="75">
        <f t="shared" si="17"/>
        <v>451.5756336</v>
      </c>
      <c r="G202" s="75">
        <v>0</v>
      </c>
      <c r="H202" s="75">
        <f t="shared" si="18"/>
        <v>677.36345040000003</v>
      </c>
      <c r="I202" s="34"/>
    </row>
    <row r="203" spans="1:20" s="76" customFormat="1" ht="15.75" customHeight="1" x14ac:dyDescent="0.25">
      <c r="A203" s="115">
        <f t="shared" si="19"/>
        <v>4</v>
      </c>
      <c r="B203" s="116"/>
      <c r="C203" s="75" t="s">
        <v>342</v>
      </c>
      <c r="D203" s="78">
        <f>((3.05*4.38+2.13*2.75+3.05*3.05+1.67*1+1.15*1.45+1.2*1.45+1*1+0.91*2.55+1*0.42))*(10.764)</f>
        <v>401.89546799999994</v>
      </c>
      <c r="E203" s="78">
        <f>(2.44*1.22+2.13*1.07)*(10.764)</f>
        <v>56.574507600000004</v>
      </c>
      <c r="F203" s="75">
        <f t="shared" si="17"/>
        <v>458.46997559999994</v>
      </c>
      <c r="G203" s="75">
        <v>0</v>
      </c>
      <c r="H203" s="75">
        <f t="shared" si="18"/>
        <v>687.70496339999988</v>
      </c>
      <c r="I203" s="34"/>
    </row>
    <row r="204" spans="1:20" s="76" customFormat="1" ht="15.75" customHeight="1" x14ac:dyDescent="0.25">
      <c r="A204" s="115">
        <f t="shared" si="19"/>
        <v>5</v>
      </c>
      <c r="B204" s="116"/>
      <c r="C204" s="75" t="s">
        <v>342</v>
      </c>
      <c r="D204" s="78">
        <f>((3.05*4.38+2.13*2.75+3.05*3.05+1.67*1+1.15*1.45+1.2*1.45+1*1+0.91*2.55+1*0.42))*(10.764)</f>
        <v>401.89546799999994</v>
      </c>
      <c r="E204" s="78">
        <f>(2.44*1.2+2.14*1.07)*(10.764)</f>
        <v>56.164399199999998</v>
      </c>
      <c r="F204" s="75">
        <f t="shared" si="17"/>
        <v>458.05986719999993</v>
      </c>
      <c r="G204" s="75">
        <v>0</v>
      </c>
      <c r="H204" s="75">
        <f t="shared" si="18"/>
        <v>687.08980079999992</v>
      </c>
      <c r="I204" s="34"/>
    </row>
    <row r="205" spans="1:20" s="76" customFormat="1" ht="15.75" customHeight="1" x14ac:dyDescent="0.25">
      <c r="A205" s="115">
        <f t="shared" si="19"/>
        <v>6</v>
      </c>
      <c r="B205" s="116"/>
      <c r="C205" s="75" t="s">
        <v>342</v>
      </c>
      <c r="D205" s="78">
        <f>((4.38*3.05+2.75*2.14+3.05*3.05+1*1+2.55*0.92+1.45*1.15+1.45*1.2+0.6*1.67+1*0.42))*(10.764)</f>
        <v>395.27560799999998</v>
      </c>
      <c r="E205" s="78">
        <f>(1.23*2.44+1.07*2.13)*(10.764)</f>
        <v>56.837149199999999</v>
      </c>
      <c r="F205" s="75">
        <f t="shared" si="17"/>
        <v>452.11275719999998</v>
      </c>
      <c r="G205" s="75">
        <v>0</v>
      </c>
      <c r="H205" s="75">
        <f t="shared" si="18"/>
        <v>678.16913579999994</v>
      </c>
      <c r="I205" s="34"/>
    </row>
    <row r="206" spans="1:20" s="76" customFormat="1" ht="15.75" customHeight="1" x14ac:dyDescent="0.25">
      <c r="A206" s="115">
        <f t="shared" si="19"/>
        <v>7</v>
      </c>
      <c r="B206" s="116"/>
      <c r="C206" s="75" t="s">
        <v>342</v>
      </c>
      <c r="D206" s="78">
        <f>((4.38*3.05+2.75*2.15+3.05*3.05+1*1+2.55*0.92+1.45*1.15+1.45*1.2+0.6*1.67+1*0.42))*(10.764)</f>
        <v>395.57161799999994</v>
      </c>
      <c r="E206" s="78">
        <f>(1.07*2.13)*(10.764)</f>
        <v>24.532232400000002</v>
      </c>
      <c r="F206" s="75">
        <f t="shared" si="17"/>
        <v>420.10385039999994</v>
      </c>
      <c r="G206" s="75">
        <v>0</v>
      </c>
      <c r="H206" s="75">
        <f t="shared" si="18"/>
        <v>630.15577559999997</v>
      </c>
      <c r="I206" s="34"/>
    </row>
    <row r="207" spans="1:20" s="79" customFormat="1" ht="32.25" customHeight="1" x14ac:dyDescent="0.25">
      <c r="A207" s="159" t="s">
        <v>359</v>
      </c>
      <c r="B207" s="160"/>
      <c r="C207" s="160"/>
      <c r="D207" s="160"/>
      <c r="E207" s="160"/>
      <c r="F207" s="160"/>
      <c r="G207" s="160"/>
      <c r="H207" s="161"/>
      <c r="I207" s="34"/>
    </row>
    <row r="208" spans="1:20" s="79" customFormat="1" ht="15.75" customHeight="1" x14ac:dyDescent="0.25">
      <c r="A208" s="115">
        <v>1</v>
      </c>
      <c r="B208" s="116"/>
      <c r="C208" s="80" t="s">
        <v>342</v>
      </c>
      <c r="D208" s="78">
        <f>((3.05*4.38+2.13*2.75+3.05*3.05+1.67*1+1.15*1.45+1.2*1.45+1*1+0.91*2.55+1*0.42))*(10.764)</f>
        <v>401.89546799999994</v>
      </c>
      <c r="E208" s="78">
        <f>(2.44*1.2+2.14*1.07)*(10.764)</f>
        <v>56.164399199999998</v>
      </c>
      <c r="F208" s="80">
        <f t="shared" ref="F208:F214" si="20">D208+E208</f>
        <v>458.05986719999993</v>
      </c>
      <c r="G208" s="80">
        <v>0</v>
      </c>
      <c r="H208" s="80">
        <f t="shared" ref="H208:H214" si="21">F208*(($H$152)+1)+(IF(G208&lt;101,G208,IF(G208&lt;201,G208/2,IF(G208&lt;=301,G208/3,G208/4))))</f>
        <v>687.08980079999992</v>
      </c>
      <c r="I208" s="34"/>
    </row>
    <row r="209" spans="1:14" s="79" customFormat="1" ht="15.75" customHeight="1" x14ac:dyDescent="0.25">
      <c r="A209" s="115">
        <f>A208+1</f>
        <v>2</v>
      </c>
      <c r="B209" s="116"/>
      <c r="C209" s="80" t="s">
        <v>342</v>
      </c>
      <c r="D209" s="78">
        <f>((3.05*4.38+2.14*2.75+3.05*3.05+1.67*1+1.15*1.45+1.2*1.45+1*1+0.91*2.55+1*0.42))*(10.764)</f>
        <v>402.19147799999996</v>
      </c>
      <c r="E209" s="78">
        <f>(2.44*1.22+2.13*1.07)*(10.764)</f>
        <v>56.574507600000004</v>
      </c>
      <c r="F209" s="80">
        <f t="shared" si="20"/>
        <v>458.76598559999996</v>
      </c>
      <c r="G209" s="80">
        <v>0</v>
      </c>
      <c r="H209" s="80">
        <f t="shared" si="21"/>
        <v>688.14897839999992</v>
      </c>
      <c r="I209" s="34"/>
    </row>
    <row r="210" spans="1:14" s="79" customFormat="1" ht="15.75" customHeight="1" x14ac:dyDescent="0.25">
      <c r="A210" s="115">
        <f t="shared" ref="A210:A214" si="22">A209+1</f>
        <v>3</v>
      </c>
      <c r="B210" s="116"/>
      <c r="C210" s="80" t="s">
        <v>342</v>
      </c>
      <c r="D210" s="78">
        <f>((3.05*4.38+2.14*2.75+3.05*3.05+1.67*0.6+1.15*1.45+1.2*1.45+1*1+0.91*2.55+1*0.42))*(10.764)</f>
        <v>395.001126</v>
      </c>
      <c r="E210" s="78">
        <f>(2.44*1.22+2.13*1.07)*(10.764)</f>
        <v>56.574507600000004</v>
      </c>
      <c r="F210" s="80">
        <f t="shared" si="20"/>
        <v>451.5756336</v>
      </c>
      <c r="G210" s="80">
        <v>0</v>
      </c>
      <c r="H210" s="80">
        <f t="shared" si="21"/>
        <v>677.36345040000003</v>
      </c>
      <c r="I210" s="34"/>
    </row>
    <row r="211" spans="1:14" s="79" customFormat="1" ht="15.75" customHeight="1" x14ac:dyDescent="0.25">
      <c r="A211" s="115">
        <f t="shared" si="22"/>
        <v>4</v>
      </c>
      <c r="B211" s="116"/>
      <c r="C211" s="80" t="s">
        <v>342</v>
      </c>
      <c r="D211" s="78">
        <f>((3.05*4.38+2.13*2.75+3.05*3.05+1.67*1+1.15*1.45+1.2*1.45+1*1+0.91*2.55+1*0.42))*(10.764)</f>
        <v>401.89546799999994</v>
      </c>
      <c r="E211" s="78">
        <f>(2.44*1.22+2.13*1.07)*(10.764)</f>
        <v>56.574507600000004</v>
      </c>
      <c r="F211" s="80">
        <f t="shared" si="20"/>
        <v>458.46997559999994</v>
      </c>
      <c r="G211" s="80">
        <v>0</v>
      </c>
      <c r="H211" s="80">
        <f t="shared" si="21"/>
        <v>687.70496339999988</v>
      </c>
      <c r="I211" s="34"/>
    </row>
    <row r="212" spans="1:14" s="79" customFormat="1" ht="15.75" customHeight="1" x14ac:dyDescent="0.25">
      <c r="A212" s="115">
        <f t="shared" si="22"/>
        <v>5</v>
      </c>
      <c r="B212" s="116"/>
      <c r="C212" s="80" t="s">
        <v>342</v>
      </c>
      <c r="D212" s="78">
        <f>((3.05*4.38+2.13*2.75+3.05*3.05+1.67*1+1.15*1.45+1.2*1.45+1*1+0.91*2.55+1*0.42))*(10.764)</f>
        <v>401.89546799999994</v>
      </c>
      <c r="E212" s="78">
        <f>(2.44*1.2+2.14*1.07)*(10.764)</f>
        <v>56.164399199999998</v>
      </c>
      <c r="F212" s="80">
        <f t="shared" si="20"/>
        <v>458.05986719999993</v>
      </c>
      <c r="G212" s="80">
        <v>0</v>
      </c>
      <c r="H212" s="80">
        <f t="shared" si="21"/>
        <v>687.08980079999992</v>
      </c>
      <c r="I212" s="34"/>
    </row>
    <row r="213" spans="1:14" s="79" customFormat="1" ht="15.75" customHeight="1" x14ac:dyDescent="0.25">
      <c r="A213" s="115">
        <f t="shared" si="22"/>
        <v>6</v>
      </c>
      <c r="B213" s="116"/>
      <c r="C213" s="80" t="s">
        <v>342</v>
      </c>
      <c r="D213" s="78">
        <f>((4.38*3.05+2.75*2.14+3.05*3.05+1*1+2.55*0.92+1.45*1.15+1.45*1.2+0.6*1.67+1*0.42))*(10.764)</f>
        <v>395.27560799999998</v>
      </c>
      <c r="E213" s="78">
        <f>(1.23*2.44+1.07*2.13)*(10.764)</f>
        <v>56.837149199999999</v>
      </c>
      <c r="F213" s="80">
        <f t="shared" si="20"/>
        <v>452.11275719999998</v>
      </c>
      <c r="G213" s="80">
        <v>0</v>
      </c>
      <c r="H213" s="80">
        <f t="shared" si="21"/>
        <v>678.16913579999994</v>
      </c>
      <c r="I213" s="34"/>
    </row>
    <row r="214" spans="1:14" s="79" customFormat="1" ht="15.75" customHeight="1" x14ac:dyDescent="0.25">
      <c r="A214" s="115">
        <f t="shared" si="22"/>
        <v>7</v>
      </c>
      <c r="B214" s="116"/>
      <c r="C214" s="80" t="s">
        <v>342</v>
      </c>
      <c r="D214" s="78">
        <f>((4.38*3.05+2.75*2.15+3.05*3.05+1*1+2.55*0.92+1.45*1.15+1.45*1.2+0.6*1.67+1*0.42))*(10.764)</f>
        <v>395.57161799999994</v>
      </c>
      <c r="E214" s="78">
        <f>(1.07*2.13)*(10.764)</f>
        <v>24.532232400000002</v>
      </c>
      <c r="F214" s="80">
        <f t="shared" si="20"/>
        <v>420.10385039999994</v>
      </c>
      <c r="G214" s="80">
        <v>0</v>
      </c>
      <c r="H214" s="80">
        <f t="shared" si="21"/>
        <v>630.15577559999997</v>
      </c>
      <c r="I214" s="34"/>
    </row>
    <row r="215" spans="1:14" s="76" customFormat="1" ht="67.5" customHeight="1" x14ac:dyDescent="0.25">
      <c r="A215" s="159" t="s">
        <v>360</v>
      </c>
      <c r="B215" s="160"/>
      <c r="C215" s="160"/>
      <c r="D215" s="160"/>
      <c r="E215" s="160"/>
      <c r="F215" s="160"/>
      <c r="G215" s="160"/>
      <c r="H215" s="161"/>
      <c r="I215" s="34"/>
    </row>
    <row r="216" spans="1:14" s="76" customFormat="1" ht="15.75" customHeight="1" x14ac:dyDescent="0.25">
      <c r="A216" s="115">
        <v>1</v>
      </c>
      <c r="B216" s="116"/>
      <c r="C216" s="75" t="s">
        <v>343</v>
      </c>
      <c r="D216" s="78">
        <f>((3.05*4.38+2.13*2.75+3.05*3.05+3.05*3.05+2.14*2.75+2.77*2.4+1.15*1.45+1.2*1.45+1.67*1+1*1+0.91*2.55+1*0.42+1.67*1+2.5*1.45+1.52*1+1.1*2.55))*(10.764)</f>
        <v>740.48247000000003</v>
      </c>
      <c r="E216" s="78">
        <f>(2.44*1.2+2.14*1.07+2.13*1.07)*(10.764)</f>
        <v>80.696631600000003</v>
      </c>
      <c r="F216" s="75">
        <f>D216+E216</f>
        <v>821.17910160000008</v>
      </c>
      <c r="G216" s="75">
        <v>0</v>
      </c>
      <c r="H216" s="75">
        <f>F216*(($H$152)+1)+(IF(G216&lt;101,G216,IF(G216&lt;201,G216/2,IF(G216&lt;=301,G216/3,G216/4))))</f>
        <v>1231.7686524000001</v>
      </c>
      <c r="I216" s="34"/>
    </row>
    <row r="217" spans="1:14" s="76" customFormat="1" ht="15.75" customHeight="1" x14ac:dyDescent="0.25">
      <c r="A217" s="115">
        <v>3</v>
      </c>
      <c r="B217" s="116"/>
      <c r="C217" s="115" t="s">
        <v>344</v>
      </c>
      <c r="D217" s="173"/>
      <c r="E217" s="173"/>
      <c r="F217" s="173"/>
      <c r="G217" s="173"/>
      <c r="H217" s="116"/>
      <c r="I217" s="34"/>
    </row>
    <row r="218" spans="1:14" s="76" customFormat="1" ht="15.75" customHeight="1" x14ac:dyDescent="0.25">
      <c r="A218" s="115">
        <f t="shared" ref="A218:A221" si="23">A217+1</f>
        <v>4</v>
      </c>
      <c r="B218" s="116"/>
      <c r="C218" s="75" t="s">
        <v>342</v>
      </c>
      <c r="D218" s="78">
        <f>((3.05*4.38+2.13*2.75+3.05*3.05+1.67*1+1.15*1.45+1.2*1.45+1*1+0.91*2.55+1*0.42))*(10.764)</f>
        <v>401.89546799999994</v>
      </c>
      <c r="E218" s="78">
        <f>(2.44*1.22+2.13*1.07)*(10.764)</f>
        <v>56.574507600000004</v>
      </c>
      <c r="F218" s="75">
        <f>D218+E218</f>
        <v>458.46997559999994</v>
      </c>
      <c r="G218" s="75">
        <v>0</v>
      </c>
      <c r="H218" s="75">
        <f>F218*(($H$152)+1)+(IF(G218&lt;101,G218,IF(G218&lt;201,G218/2,IF(G218&lt;=301,G218/3,G218/4))))</f>
        <v>687.70496339999988</v>
      </c>
      <c r="I218" s="34"/>
    </row>
    <row r="219" spans="1:14" s="76" customFormat="1" ht="15.75" customHeight="1" x14ac:dyDescent="0.25">
      <c r="A219" s="115">
        <f t="shared" si="23"/>
        <v>5</v>
      </c>
      <c r="B219" s="116"/>
      <c r="C219" s="75" t="s">
        <v>342</v>
      </c>
      <c r="D219" s="78">
        <f>((3.05*4.38+2.13*2.75+3.05*3.05+1.67*1+1.15*1.45+1.2*1.45+1*1+0.91*2.55+1*0.42))*(10.764)</f>
        <v>401.89546799999994</v>
      </c>
      <c r="E219" s="78">
        <f>(2.44*1.2+2.14*1.07)*(10.764)</f>
        <v>56.164399199999998</v>
      </c>
      <c r="F219" s="75">
        <f>D219+E219</f>
        <v>458.05986719999993</v>
      </c>
      <c r="G219" s="75">
        <v>0</v>
      </c>
      <c r="H219" s="75">
        <f>F219*(($H$152)+1)+(IF(G219&lt;101,G219,IF(G219&lt;201,G219/2,IF(G219&lt;=301,G219/3,G219/4))))</f>
        <v>687.08980079999992</v>
      </c>
      <c r="I219" s="34"/>
    </row>
    <row r="220" spans="1:14" s="76" customFormat="1" ht="15.75" customHeight="1" x14ac:dyDescent="0.25">
      <c r="A220" s="115">
        <f t="shared" si="23"/>
        <v>6</v>
      </c>
      <c r="B220" s="116"/>
      <c r="C220" s="75" t="s">
        <v>342</v>
      </c>
      <c r="D220" s="78">
        <f>((4.38*3.05+2.75*2.14+3.05*3.05+1*1+2.55*0.92+1.45*1.15+1.45*1.2+0.6*1.67+1*0.42))*(10.764)</f>
        <v>395.27560799999998</v>
      </c>
      <c r="E220" s="78">
        <f>(1.23*2.44+1.07*2.13)*(10.764)</f>
        <v>56.837149199999999</v>
      </c>
      <c r="F220" s="75">
        <f>D220+E220</f>
        <v>452.11275719999998</v>
      </c>
      <c r="G220" s="75">
        <v>0</v>
      </c>
      <c r="H220" s="75">
        <f>F220*(($H$152)+1)+(IF(G220&lt;101,G220,IF(G220&lt;201,G220/2,IF(G220&lt;=301,G220/3,G220/4))))</f>
        <v>678.16913579999994</v>
      </c>
      <c r="I220" s="34"/>
    </row>
    <row r="221" spans="1:14" s="76" customFormat="1" ht="15.75" customHeight="1" x14ac:dyDescent="0.25">
      <c r="A221" s="115">
        <f t="shared" si="23"/>
        <v>7</v>
      </c>
      <c r="B221" s="116"/>
      <c r="C221" s="75" t="s">
        <v>342</v>
      </c>
      <c r="D221" s="78">
        <f>((4.38*3.05+2.75*2.15+3.05*3.05+1*1+2.55*0.92+1.45*1.15+1.45*1.2+0.6*1.67+1*0.42))*(10.764)</f>
        <v>395.57161799999994</v>
      </c>
      <c r="E221" s="78">
        <f>(1.07*2.13)*(10.764)</f>
        <v>24.532232400000002</v>
      </c>
      <c r="F221" s="75">
        <f>D221+E221</f>
        <v>420.10385039999994</v>
      </c>
      <c r="G221" s="75">
        <v>0</v>
      </c>
      <c r="H221" s="75">
        <f>F221*(($H$152)+1)+(IF(G221&lt;101,G221,IF(G221&lt;201,G221/2,IF(G221&lt;=301,G221/3,G221/4))))</f>
        <v>630.15577559999997</v>
      </c>
      <c r="I221" s="34"/>
    </row>
    <row r="222" spans="1:14" s="35" customFormat="1" ht="15.75" hidden="1" customHeight="1" x14ac:dyDescent="0.25">
      <c r="A222" s="159" t="s">
        <v>113</v>
      </c>
      <c r="B222" s="160"/>
      <c r="C222" s="160"/>
      <c r="D222" s="160"/>
      <c r="E222" s="160"/>
      <c r="F222" s="160"/>
      <c r="G222" s="160"/>
      <c r="H222" s="161"/>
      <c r="J222" s="34"/>
    </row>
    <row r="223" spans="1:14" s="35" customFormat="1" ht="15.75" hidden="1" customHeight="1" x14ac:dyDescent="0.25">
      <c r="A223" s="115">
        <v>1</v>
      </c>
      <c r="B223" s="116"/>
      <c r="C223" s="40"/>
      <c r="D223" s="40"/>
      <c r="E223" s="40">
        <v>0</v>
      </c>
      <c r="F223" s="40">
        <f>D223+E223</f>
        <v>0</v>
      </c>
      <c r="G223" s="52">
        <v>0</v>
      </c>
      <c r="H223" s="52">
        <f>F223*(($H$152)+1)+(IF(G223&lt;101,G223,IF(G223&lt;201,G223/2,IF(G223&lt;=301,G223/3,G223/4))))</f>
        <v>0</v>
      </c>
      <c r="I223" s="34"/>
      <c r="L223" s="219"/>
      <c r="M223" s="219"/>
      <c r="N223" s="34"/>
    </row>
    <row r="224" spans="1:14" s="35" customFormat="1" ht="15.75" hidden="1" customHeight="1" x14ac:dyDescent="0.25">
      <c r="A224" s="115">
        <f>A223+1</f>
        <v>2</v>
      </c>
      <c r="B224" s="116"/>
      <c r="C224" s="40"/>
      <c r="D224" s="40"/>
      <c r="E224" s="40">
        <v>0</v>
      </c>
      <c r="F224" s="52">
        <f>D224+E224</f>
        <v>0</v>
      </c>
      <c r="G224" s="52">
        <v>0</v>
      </c>
      <c r="H224" s="52">
        <f>F224*(($H$152)+1)+(IF(G224&lt;101,G224,IF(G224&lt;201,G224/2,IF(G224&lt;=301,G224/3,G224/4))))</f>
        <v>0</v>
      </c>
      <c r="I224" s="34"/>
      <c r="L224" s="219"/>
      <c r="M224" s="219"/>
      <c r="N224" s="34"/>
    </row>
    <row r="225" spans="1:20" s="35" customFormat="1" ht="15.75" hidden="1" customHeight="1" x14ac:dyDescent="0.25">
      <c r="A225" s="115">
        <f>A224+1</f>
        <v>3</v>
      </c>
      <c r="B225" s="116"/>
      <c r="C225" s="40"/>
      <c r="D225" s="40"/>
      <c r="E225" s="40">
        <v>0</v>
      </c>
      <c r="F225" s="52">
        <f>D225+E225</f>
        <v>0</v>
      </c>
      <c r="G225" s="52">
        <v>0</v>
      </c>
      <c r="H225" s="52">
        <f>F225*(($H$152)+1)+(IF(G225&lt;101,G225,IF(G225&lt;201,G225/2,IF(G225&lt;=301,G225/3,G225/4))))</f>
        <v>0</v>
      </c>
      <c r="I225" s="34"/>
      <c r="L225" s="219"/>
      <c r="M225" s="219"/>
      <c r="N225" s="34"/>
    </row>
    <row r="226" spans="1:20" s="35" customFormat="1" ht="15.75" hidden="1" customHeight="1" x14ac:dyDescent="0.25">
      <c r="A226" s="115">
        <f>A225+1</f>
        <v>4</v>
      </c>
      <c r="B226" s="116"/>
      <c r="C226" s="40"/>
      <c r="D226" s="40"/>
      <c r="E226" s="40">
        <v>0</v>
      </c>
      <c r="F226" s="52">
        <f>D226+E226</f>
        <v>0</v>
      </c>
      <c r="G226" s="52">
        <v>0</v>
      </c>
      <c r="H226" s="52">
        <f>F226*(($H$152)+1)+(IF(G226&lt;101,G226,IF(G226&lt;201,G226/2,IF(G226&lt;=301,G226/3,G226/4))))</f>
        <v>0</v>
      </c>
      <c r="I226" s="34"/>
      <c r="L226" s="219"/>
      <c r="M226" s="219"/>
      <c r="N226" s="34"/>
      <c r="T226" s="19"/>
    </row>
    <row r="227" spans="1:20" s="35" customFormat="1" hidden="1" x14ac:dyDescent="0.25">
      <c r="A227" s="198" t="s">
        <v>114</v>
      </c>
      <c r="B227" s="198"/>
      <c r="C227" s="198"/>
      <c r="D227" s="198"/>
      <c r="E227" s="198"/>
      <c r="F227" s="198"/>
      <c r="G227" s="198"/>
      <c r="H227" s="198"/>
      <c r="I227" s="34"/>
      <c r="L227" s="219"/>
      <c r="M227" s="219"/>
    </row>
    <row r="228" spans="1:20" s="35" customFormat="1" hidden="1" x14ac:dyDescent="0.25">
      <c r="A228" s="155">
        <f>LEFT(A227,SUM(LEN(A227)-LEN(SUBSTITUTE(A227,{"0","1","2","3","4","5","6","7","8","9"},""))))*100+1</f>
        <v>201</v>
      </c>
      <c r="B228" s="155"/>
      <c r="C228" s="40"/>
      <c r="D228" s="40"/>
      <c r="E228" s="52">
        <v>0</v>
      </c>
      <c r="F228" s="52">
        <f>D228+E228</f>
        <v>0</v>
      </c>
      <c r="G228" s="52">
        <v>0</v>
      </c>
      <c r="H228" s="52">
        <f>F228*(($H$152)+1)+(IF(G228&lt;101,G228,IF(G228&lt;201,G228/2,IF(G228&lt;=301,G228/3,G228/4))))</f>
        <v>0</v>
      </c>
      <c r="I228" s="34"/>
      <c r="N228" s="34"/>
    </row>
    <row r="229" spans="1:20" s="35" customFormat="1" hidden="1" x14ac:dyDescent="0.25">
      <c r="A229" s="155">
        <f>A228+1</f>
        <v>202</v>
      </c>
      <c r="B229" s="155"/>
      <c r="C229" s="40"/>
      <c r="D229" s="40"/>
      <c r="E229" s="52">
        <v>0</v>
      </c>
      <c r="F229" s="52">
        <f>D229+E229</f>
        <v>0</v>
      </c>
      <c r="G229" s="52">
        <v>0</v>
      </c>
      <c r="H229" s="52">
        <f>F229*(($H$152)+1)+(IF(G229&lt;101,G229,IF(G229&lt;201,G229/2,IF(G229&lt;=301,G229/3,G229/4))))</f>
        <v>0</v>
      </c>
      <c r="I229" s="34"/>
      <c r="N229" s="34"/>
    </row>
    <row r="230" spans="1:20" s="35" customFormat="1" hidden="1" x14ac:dyDescent="0.25">
      <c r="A230" s="155">
        <f>A229+1</f>
        <v>203</v>
      </c>
      <c r="B230" s="155"/>
      <c r="C230" s="40"/>
      <c r="D230" s="40"/>
      <c r="E230" s="52">
        <v>0</v>
      </c>
      <c r="F230" s="52">
        <f>D230+E230</f>
        <v>0</v>
      </c>
      <c r="G230" s="52">
        <v>0</v>
      </c>
      <c r="H230" s="52">
        <f>F230*(($H$152)+1)+(IF(G230&lt;101,G230,IF(G230&lt;201,G230/2,IF(G230&lt;=301,G230/3,G230/4))))</f>
        <v>0</v>
      </c>
      <c r="I230" s="34"/>
      <c r="N230" s="34"/>
    </row>
    <row r="231" spans="1:20" s="35" customFormat="1" hidden="1" x14ac:dyDescent="0.25">
      <c r="A231" s="155">
        <f>A230+1</f>
        <v>204</v>
      </c>
      <c r="B231" s="155"/>
      <c r="C231" s="40"/>
      <c r="D231" s="40"/>
      <c r="E231" s="52">
        <v>0</v>
      </c>
      <c r="F231" s="52">
        <f>D231+E231</f>
        <v>0</v>
      </c>
      <c r="G231" s="52">
        <v>0</v>
      </c>
      <c r="H231" s="52">
        <f>F231*(($H$152)+1)+(IF(G231&lt;101,G231,IF(G231&lt;201,G231/2,IF(G231&lt;=301,G231/3,G231/4))))</f>
        <v>0</v>
      </c>
      <c r="I231" s="34"/>
      <c r="N231" s="34"/>
    </row>
    <row r="232" spans="1:20" s="35" customFormat="1" hidden="1" x14ac:dyDescent="0.25">
      <c r="A232" s="155">
        <f>A231+1</f>
        <v>205</v>
      </c>
      <c r="B232" s="155"/>
      <c r="C232" s="40"/>
      <c r="D232" s="40"/>
      <c r="E232" s="52">
        <v>0</v>
      </c>
      <c r="F232" s="52">
        <f>D232+E232</f>
        <v>0</v>
      </c>
      <c r="G232" s="52">
        <v>0</v>
      </c>
      <c r="H232" s="52">
        <f>F232*(($H$152)+1)+(IF(G232&lt;101,G232,IF(G232&lt;201,G232/2,IF(G232&lt;=301,G232/3,G232/4))))</f>
        <v>0</v>
      </c>
      <c r="I232" s="34"/>
      <c r="N232" s="34"/>
    </row>
    <row r="233" spans="1:20" s="35" customFormat="1" ht="15.75" hidden="1" customHeight="1" x14ac:dyDescent="0.25">
      <c r="A233" s="159" t="s">
        <v>145</v>
      </c>
      <c r="B233" s="160"/>
      <c r="C233" s="160"/>
      <c r="D233" s="160"/>
      <c r="E233" s="160"/>
      <c r="F233" s="160"/>
      <c r="G233" s="160"/>
      <c r="H233" s="161"/>
      <c r="I233" s="34"/>
    </row>
    <row r="234" spans="1:20" s="35" customFormat="1" ht="15.75" hidden="1" customHeight="1" x14ac:dyDescent="0.25">
      <c r="A234" s="115"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10^ROW(INDIRECT("1:"&amp;LEN((LEFT(A233,SUM(LEN(A233)-LEN(SUBSTITUTE(A233,{"0","1","2"},""))))))))/10))*100+1&amp;""&amp;" ,..,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",LEN(A233))),LEN(A233)))))))/10))*100+1</f>
        <v>301 ,.., 1501</v>
      </c>
      <c r="B234" s="116"/>
      <c r="C234" s="40"/>
      <c r="D234" s="40"/>
      <c r="E234" s="52">
        <v>0</v>
      </c>
      <c r="F234" s="52">
        <f>D234+E234</f>
        <v>0</v>
      </c>
      <c r="G234" s="52">
        <v>0</v>
      </c>
      <c r="H234" s="52">
        <f>F234*(($H$152)+1)+(IF(G234&lt;101,G234,IF(G234&lt;201,G234/2,IF(G234&lt;=301,G234/3,G234/4))))</f>
        <v>0</v>
      </c>
      <c r="I234" s="34"/>
    </row>
    <row r="235" spans="1:20" s="35" customFormat="1" ht="15.75" hidden="1" customHeight="1" x14ac:dyDescent="0.25">
      <c r="A235" s="115"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302 ,.., 1502</v>
      </c>
      <c r="B235" s="116"/>
      <c r="C235" s="40"/>
      <c r="D235" s="40"/>
      <c r="E235" s="52">
        <v>0</v>
      </c>
      <c r="F235" s="52">
        <f>D235+E235</f>
        <v>0</v>
      </c>
      <c r="G235" s="52">
        <v>0</v>
      </c>
      <c r="H235" s="52">
        <f>F235*(($H$152)+1)+(IF(G235&lt;101,G235,IF(G235&lt;201,G235/2,IF(G235&lt;=301,G235/3,G235/4))))</f>
        <v>0</v>
      </c>
      <c r="I235" s="34"/>
    </row>
    <row r="236" spans="1:20" s="35" customFormat="1" ht="15.75" hidden="1" customHeight="1" x14ac:dyDescent="0.25">
      <c r="A236" s="115"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303 ,.., 1503</v>
      </c>
      <c r="B236" s="116"/>
      <c r="C236" s="40"/>
      <c r="D236" s="40"/>
      <c r="E236" s="52">
        <v>0</v>
      </c>
      <c r="F236" s="52">
        <f>D236+E236</f>
        <v>0</v>
      </c>
      <c r="G236" s="52">
        <v>0</v>
      </c>
      <c r="H236" s="52">
        <f>F236*(($H$152)+1)+(IF(G236&lt;101,G236,IF(G236&lt;201,G236/2,IF(G236&lt;=301,G236/3,G236/4))))</f>
        <v>0</v>
      </c>
      <c r="I236" s="34"/>
    </row>
    <row r="237" spans="1:20" s="35" customFormat="1" ht="15.75" hidden="1" customHeight="1" x14ac:dyDescent="0.25">
      <c r="A237" s="115"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304 ,.., 1504</v>
      </c>
      <c r="B237" s="116"/>
      <c r="C237" s="40"/>
      <c r="D237" s="40"/>
      <c r="E237" s="52">
        <v>0</v>
      </c>
      <c r="F237" s="52">
        <f>D237+E237</f>
        <v>0</v>
      </c>
      <c r="G237" s="52">
        <v>0</v>
      </c>
      <c r="H237" s="52">
        <f>F237*(($H$152)+1)+(IF(G237&lt;101,G237,IF(G237&lt;201,G237/2,IF(G237&lt;=301,G237/3,G237/4))))</f>
        <v>0</v>
      </c>
      <c r="I237" s="34"/>
    </row>
    <row r="238" spans="1:20" s="35" customFormat="1" ht="15.75" hidden="1" customHeight="1" x14ac:dyDescent="0.25">
      <c r="A238" s="115"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10^ROW(INDIRECT("1:"&amp;LEN((LEFT(A237,SUM(LEN(A237)-LEN(SUBSTITUTE(A237,{"0","1","2"},""))))))))/10))*1+1&amp;""&amp;" ,..,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",LEN(A237))),LEN(A237)))))))/10))*1+1</f>
        <v>305 ,.., 1505</v>
      </c>
      <c r="B238" s="116"/>
      <c r="C238" s="40"/>
      <c r="D238" s="40"/>
      <c r="E238" s="52">
        <v>0</v>
      </c>
      <c r="F238" s="52">
        <f>D238+E238</f>
        <v>0</v>
      </c>
      <c r="G238" s="52">
        <v>0</v>
      </c>
      <c r="H238" s="52">
        <f>F238*(($H$152)+1)+(IF(G238&lt;101,G238,IF(G238&lt;201,G238/2,IF(G238&lt;=301,G238/3,G238/4))))</f>
        <v>0</v>
      </c>
      <c r="I238" s="34"/>
    </row>
    <row r="239" spans="1:20" s="35" customFormat="1" hidden="1" x14ac:dyDescent="0.25">
      <c r="A239" s="159" t="s">
        <v>139</v>
      </c>
      <c r="B239" s="160"/>
      <c r="C239" s="160"/>
      <c r="D239" s="160"/>
      <c r="E239" s="160"/>
      <c r="F239" s="160"/>
      <c r="G239" s="160"/>
      <c r="H239" s="161"/>
      <c r="I239" s="34"/>
    </row>
    <row r="240" spans="1:20" s="35" customFormat="1" ht="15.75" hidden="1" customHeight="1" x14ac:dyDescent="0.25">
      <c r="A240" s="115"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10^ROW(INDIRECT("1:"&amp;LEN((LEFT(A239,SUM(LEN(A239)-LEN(SUBSTITUTE(A239,{"0","1","2"},""))))))))/10))*100+1&amp;""&amp;" to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",LEN(A239))),LEN(A239)))))))/10))*100+1</f>
        <v>201 to 501</v>
      </c>
      <c r="B240" s="116"/>
      <c r="C240" s="40"/>
      <c r="D240" s="40"/>
      <c r="E240" s="52">
        <v>0</v>
      </c>
      <c r="F240" s="52">
        <f>D240+E240</f>
        <v>0</v>
      </c>
      <c r="G240" s="52">
        <v>0</v>
      </c>
      <c r="H240" s="52">
        <f>F240*(($H$152)+1)+(IF(G240&lt;101,G240,IF(G240&lt;201,G240/2,IF(G240&lt;=301,G240/3,G240/4))))</f>
        <v>0</v>
      </c>
      <c r="I240" s="34"/>
    </row>
    <row r="241" spans="1:20" s="35" customFormat="1" ht="15.75" hidden="1" customHeight="1" x14ac:dyDescent="0.25">
      <c r="A241" s="115"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to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202 to 502</v>
      </c>
      <c r="B241" s="116"/>
      <c r="C241" s="40"/>
      <c r="D241" s="40"/>
      <c r="E241" s="52">
        <v>0</v>
      </c>
      <c r="F241" s="52">
        <f>D241+E241</f>
        <v>0</v>
      </c>
      <c r="G241" s="52">
        <v>0</v>
      </c>
      <c r="H241" s="52">
        <f>F241*(($H$152)+1)+(IF(G241&lt;101,G241,IF(G241&lt;201,G241/2,IF(G241&lt;=301,G241/3,G241/4))))</f>
        <v>0</v>
      </c>
      <c r="I241" s="34"/>
    </row>
    <row r="242" spans="1:20" s="35" customFormat="1" ht="15.75" hidden="1" customHeight="1" x14ac:dyDescent="0.25">
      <c r="A242" s="115"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to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203 to 503</v>
      </c>
      <c r="B242" s="116"/>
      <c r="C242" s="40"/>
      <c r="D242" s="40"/>
      <c r="E242" s="52">
        <v>0</v>
      </c>
      <c r="F242" s="52">
        <f>D242+E242</f>
        <v>0</v>
      </c>
      <c r="G242" s="52">
        <v>0</v>
      </c>
      <c r="H242" s="52">
        <f>F242*(($H$152)+1)+(IF(G242&lt;101,G242,IF(G242&lt;201,G242/2,IF(G242&lt;=301,G242/3,G242/4))))</f>
        <v>0</v>
      </c>
      <c r="I242" s="34"/>
    </row>
    <row r="243" spans="1:20" s="35" customFormat="1" ht="15.75" hidden="1" customHeight="1" x14ac:dyDescent="0.25">
      <c r="A243" s="115"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to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204 to 504</v>
      </c>
      <c r="B243" s="116"/>
      <c r="C243" s="40"/>
      <c r="D243" s="40"/>
      <c r="E243" s="52">
        <v>0</v>
      </c>
      <c r="F243" s="52">
        <f>D243+E243</f>
        <v>0</v>
      </c>
      <c r="G243" s="52">
        <v>0</v>
      </c>
      <c r="H243" s="52">
        <f>F243*(($H$152)+1)+(IF(G243&lt;101,G243,IF(G243&lt;201,G243/2,IF(G243&lt;=301,G243/3,G243/4))))</f>
        <v>0</v>
      </c>
      <c r="I243" s="34"/>
    </row>
    <row r="244" spans="1:20" s="35" customFormat="1" ht="15.75" hidden="1" customHeight="1" x14ac:dyDescent="0.25">
      <c r="A244" s="115"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10^ROW(INDIRECT("1:"&amp;LEN((LEFT(A243,SUM(LEN(A243)-LEN(SUBSTITUTE(A243,{"0","1","2"},""))))))))/10))*1+1&amp;""&amp;" to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",LEN(A243))),LEN(A243)))))))/10))*1+1</f>
        <v>205 to 505</v>
      </c>
      <c r="B244" s="116"/>
      <c r="C244" s="40"/>
      <c r="D244" s="40"/>
      <c r="E244" s="52">
        <v>0</v>
      </c>
      <c r="F244" s="52">
        <f>D244+E244</f>
        <v>0</v>
      </c>
      <c r="G244" s="52">
        <v>0</v>
      </c>
      <c r="H244" s="52">
        <f>F244*(($H$152)+1)+(IF(G244&lt;101,G244,IF(G244&lt;201,G244/2,IF(G244&lt;=301,G244/3,G244/4))))</f>
        <v>0</v>
      </c>
      <c r="I244" s="34"/>
    </row>
    <row r="245" spans="1:20" s="35" customFormat="1" hidden="1" x14ac:dyDescent="0.25">
      <c r="A245" s="159" t="s">
        <v>140</v>
      </c>
      <c r="B245" s="160"/>
      <c r="C245" s="160"/>
      <c r="D245" s="160"/>
      <c r="E245" s="160"/>
      <c r="F245" s="160"/>
      <c r="G245" s="160"/>
      <c r="H245" s="161"/>
      <c r="I245" s="34"/>
    </row>
    <row r="246" spans="1:20" s="35" customFormat="1" ht="15.75" hidden="1" customHeight="1" x14ac:dyDescent="0.25">
      <c r="A246" s="115"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10^ROW(INDIRECT("1:"&amp;LEN((LEFT(A245,SUM(LEN(A245)-LEN(SUBSTITUTE(A245,{"0","1","2"},""))))))))/10))*100+1&amp;""&amp;" &amp;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",LEN(A245))),LEN(A245)))))))/10))*100+1</f>
        <v>201 &amp; 501</v>
      </c>
      <c r="B246" s="116"/>
      <c r="C246" s="40"/>
      <c r="D246" s="40"/>
      <c r="E246" s="52">
        <v>0</v>
      </c>
      <c r="F246" s="52">
        <f>D246+E246</f>
        <v>0</v>
      </c>
      <c r="G246" s="52">
        <v>0</v>
      </c>
      <c r="H246" s="52">
        <f>F246*(($H$152)+1)+(IF(G246&lt;101,G246,IF(G246&lt;201,G246/2,IF(G246&lt;=301,G246/3,G246/4))))</f>
        <v>0</v>
      </c>
      <c r="I246" s="34"/>
    </row>
    <row r="247" spans="1:20" s="35" customFormat="1" ht="15.75" hidden="1" customHeight="1" x14ac:dyDescent="0.25">
      <c r="A247" s="115"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&amp;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202 &amp; 502</v>
      </c>
      <c r="B247" s="116"/>
      <c r="C247" s="40"/>
      <c r="D247" s="40"/>
      <c r="E247" s="52">
        <v>0</v>
      </c>
      <c r="F247" s="52">
        <f>D247+E247</f>
        <v>0</v>
      </c>
      <c r="G247" s="52">
        <v>0</v>
      </c>
      <c r="H247" s="52">
        <f>F247*(($H$152)+1)+(IF(G247&lt;101,G247,IF(G247&lt;201,G247/2,IF(G247&lt;=301,G247/3,G247/4))))</f>
        <v>0</v>
      </c>
      <c r="I247" s="34"/>
    </row>
    <row r="248" spans="1:20" s="35" customFormat="1" ht="15.75" hidden="1" customHeight="1" x14ac:dyDescent="0.25">
      <c r="A248" s="115"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&amp;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203 &amp; 503</v>
      </c>
      <c r="B248" s="116"/>
      <c r="C248" s="40"/>
      <c r="D248" s="40"/>
      <c r="E248" s="52">
        <v>0</v>
      </c>
      <c r="F248" s="52">
        <f>D248+E248</f>
        <v>0</v>
      </c>
      <c r="G248" s="52">
        <v>0</v>
      </c>
      <c r="H248" s="52">
        <f>F248*(($H$152)+1)+(IF(G248&lt;101,G248,IF(G248&lt;201,G248/2,IF(G248&lt;=301,G248/3,G248/4))))</f>
        <v>0</v>
      </c>
      <c r="I248" s="34"/>
    </row>
    <row r="249" spans="1:20" s="35" customFormat="1" ht="15.75" hidden="1" customHeight="1" x14ac:dyDescent="0.25">
      <c r="A249" s="115"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&amp;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204 &amp; 504</v>
      </c>
      <c r="B249" s="116"/>
      <c r="C249" s="40"/>
      <c r="D249" s="40"/>
      <c r="E249" s="52">
        <v>0</v>
      </c>
      <c r="F249" s="52">
        <f>D249+E249</f>
        <v>0</v>
      </c>
      <c r="G249" s="52">
        <v>0</v>
      </c>
      <c r="H249" s="52">
        <f>F249*(($H$152)+1)+(IF(G249&lt;101,G249,IF(G249&lt;201,G249/2,IF(G249&lt;=301,G249/3,G249/4))))</f>
        <v>0</v>
      </c>
      <c r="I249" s="34"/>
    </row>
    <row r="250" spans="1:20" s="35" customFormat="1" ht="15.75" hidden="1" customHeight="1" x14ac:dyDescent="0.25">
      <c r="A250" s="115"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&amp;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205 &amp; 505</v>
      </c>
      <c r="B250" s="116"/>
      <c r="C250" s="40"/>
      <c r="D250" s="40"/>
      <c r="E250" s="52">
        <v>0</v>
      </c>
      <c r="F250" s="52">
        <f>D250+E250</f>
        <v>0</v>
      </c>
      <c r="G250" s="52">
        <v>0</v>
      </c>
      <c r="H250" s="52">
        <f>F250*(($H$152)+1)+(IF(G250&lt;101,G250,IF(G250&lt;201,G250/2,IF(G250&lt;=301,G250/3,G250/4))))</f>
        <v>0</v>
      </c>
      <c r="I250" s="34"/>
    </row>
    <row r="251" spans="1:20" s="33" customFormat="1" x14ac:dyDescent="0.25">
      <c r="A251" s="162" t="s">
        <v>64</v>
      </c>
      <c r="B251" s="162"/>
      <c r="C251" s="162"/>
      <c r="D251" s="162"/>
      <c r="E251" s="162"/>
      <c r="F251" s="162"/>
      <c r="G251" s="162"/>
      <c r="H251" s="162"/>
      <c r="T251" s="35"/>
    </row>
    <row r="252" spans="1:20" s="33" customFormat="1" ht="33" customHeight="1" x14ac:dyDescent="0.25">
      <c r="A252" s="82" t="s">
        <v>149</v>
      </c>
      <c r="B252" s="109" t="s">
        <v>401</v>
      </c>
      <c r="C252" s="110"/>
      <c r="D252" s="110"/>
      <c r="E252" s="110"/>
      <c r="F252" s="110"/>
      <c r="G252" s="110"/>
      <c r="H252" s="111"/>
      <c r="T252" s="35"/>
    </row>
    <row r="253" spans="1:20" s="33" customFormat="1" x14ac:dyDescent="0.25">
      <c r="A253" s="42" t="s">
        <v>149</v>
      </c>
      <c r="B253" s="189" t="str">
        <f>(IF(H151="Saleable area Loading :","We have considered Saleable area of Flats as per our Calculation.","We considered Saleable area of Flat as per Builder area Sheet."))</f>
        <v>We have considered Saleable area of Flats as per our Calculation.</v>
      </c>
      <c r="C253" s="190"/>
      <c r="D253" s="190"/>
      <c r="E253" s="190"/>
      <c r="F253" s="190"/>
      <c r="G253" s="190"/>
      <c r="H253" s="191"/>
      <c r="T253" s="35"/>
    </row>
    <row r="254" spans="1:20" s="33" customFormat="1" x14ac:dyDescent="0.25">
      <c r="A254" s="42" t="s">
        <v>149</v>
      </c>
      <c r="B254" s="189" t="str">
        <f>(IF(H143="Saleable area Loading :","We have considered Saleable area of Commercial as per our Calculation.","We considered Saleable area of Commercial as per Builder area Sheet."))</f>
        <v>We have considered Saleable area of Commercial as per our Calculation.</v>
      </c>
      <c r="C254" s="190"/>
      <c r="D254" s="190"/>
      <c r="E254" s="190"/>
      <c r="F254" s="190"/>
      <c r="G254" s="190"/>
      <c r="H254" s="191"/>
      <c r="T254" s="35"/>
    </row>
    <row r="255" spans="1:20" s="33" customFormat="1" x14ac:dyDescent="0.25">
      <c r="A255" s="42" t="s">
        <v>149</v>
      </c>
      <c r="B255" s="166" t="s">
        <v>116</v>
      </c>
      <c r="C255" s="167"/>
      <c r="D255" s="167"/>
      <c r="E255" s="167"/>
      <c r="F255" s="167"/>
      <c r="G255" s="167"/>
      <c r="H255" s="168"/>
      <c r="T255" s="35"/>
    </row>
    <row r="256" spans="1:20" s="33" customFormat="1" x14ac:dyDescent="0.25">
      <c r="A256" s="42" t="s">
        <v>149</v>
      </c>
      <c r="B256" s="166" t="s">
        <v>389</v>
      </c>
      <c r="C256" s="167"/>
      <c r="D256" s="167"/>
      <c r="E256" s="167"/>
      <c r="F256" s="167"/>
      <c r="G256" s="167"/>
      <c r="H256" s="168"/>
      <c r="T256" s="35"/>
    </row>
    <row r="257" spans="1:20" s="33" customFormat="1" x14ac:dyDescent="0.25">
      <c r="A257" s="42" t="s">
        <v>149</v>
      </c>
      <c r="B257" s="166" t="s">
        <v>148</v>
      </c>
      <c r="C257" s="167"/>
      <c r="D257" s="167"/>
      <c r="E257" s="167"/>
      <c r="F257" s="167"/>
      <c r="G257" s="167"/>
      <c r="H257" s="168"/>
    </row>
    <row r="258" spans="1:20" s="33" customFormat="1" x14ac:dyDescent="0.25">
      <c r="A258" s="42" t="s">
        <v>149</v>
      </c>
      <c r="B258" s="166" t="s">
        <v>117</v>
      </c>
      <c r="C258" s="167"/>
      <c r="D258" s="167"/>
      <c r="E258" s="167"/>
      <c r="F258" s="167"/>
      <c r="G258" s="167"/>
      <c r="H258" s="168"/>
    </row>
    <row r="259" spans="1:20" s="33" customFormat="1" ht="34.5" hidden="1" customHeight="1" x14ac:dyDescent="0.25">
      <c r="A259" s="42" t="s">
        <v>149</v>
      </c>
      <c r="B259" s="166" t="s">
        <v>150</v>
      </c>
      <c r="C259" s="167"/>
      <c r="D259" s="167"/>
      <c r="E259" s="167"/>
      <c r="F259" s="167"/>
      <c r="G259" s="167"/>
      <c r="H259" s="168"/>
    </row>
    <row r="260" spans="1:20" s="33" customFormat="1" x14ac:dyDescent="0.25">
      <c r="A260" s="42" t="s">
        <v>149</v>
      </c>
      <c r="B260" s="166" t="s">
        <v>118</v>
      </c>
      <c r="C260" s="167"/>
      <c r="D260" s="167"/>
      <c r="E260" s="167"/>
      <c r="F260" s="167"/>
      <c r="G260" s="167"/>
      <c r="H260" s="168"/>
    </row>
    <row r="261" spans="1:20" s="33" customFormat="1" ht="32.25" hidden="1" customHeight="1" x14ac:dyDescent="0.25">
      <c r="A261" s="49" t="s">
        <v>149</v>
      </c>
      <c r="B261" s="163" t="s">
        <v>169</v>
      </c>
      <c r="C261" s="164"/>
      <c r="D261" s="164"/>
      <c r="E261" s="164"/>
      <c r="F261" s="164"/>
      <c r="G261" s="164"/>
      <c r="H261" s="165"/>
    </row>
    <row r="262" spans="1:20" s="33" customFormat="1" x14ac:dyDescent="0.25">
      <c r="A262" s="82" t="s">
        <v>149</v>
      </c>
      <c r="B262" s="109" t="s">
        <v>371</v>
      </c>
      <c r="C262" s="110"/>
      <c r="D262" s="110"/>
      <c r="E262" s="110"/>
      <c r="F262" s="110"/>
      <c r="G262" s="110"/>
      <c r="H262" s="111"/>
      <c r="T262" s="77"/>
    </row>
    <row r="263" spans="1:20" s="33" customFormat="1" hidden="1" x14ac:dyDescent="0.25">
      <c r="A263" s="91" t="s">
        <v>149</v>
      </c>
      <c r="B263" s="109" t="s">
        <v>370</v>
      </c>
      <c r="C263" s="110"/>
      <c r="D263" s="110"/>
      <c r="E263" s="110"/>
      <c r="F263" s="110"/>
      <c r="G263" s="110"/>
      <c r="H263" s="111"/>
    </row>
    <row r="264" spans="1:20" s="33" customFormat="1" ht="33" customHeight="1" x14ac:dyDescent="0.25">
      <c r="A264" s="53" t="s">
        <v>149</v>
      </c>
      <c r="B264" s="109" t="s">
        <v>369</v>
      </c>
      <c r="C264" s="110"/>
      <c r="D264" s="110"/>
      <c r="E264" s="110"/>
      <c r="F264" s="110"/>
      <c r="G264" s="110"/>
      <c r="H264" s="111"/>
    </row>
    <row r="265" spans="1:20" s="33" customFormat="1" x14ac:dyDescent="0.25">
      <c r="A265" s="82" t="s">
        <v>149</v>
      </c>
      <c r="B265" s="109" t="s">
        <v>394</v>
      </c>
      <c r="C265" s="110"/>
      <c r="D265" s="110"/>
      <c r="E265" s="110"/>
      <c r="F265" s="110"/>
      <c r="G265" s="110"/>
      <c r="H265" s="111"/>
      <c r="T265" s="92"/>
    </row>
    <row r="266" spans="1:20" s="33" customFormat="1" x14ac:dyDescent="0.25">
      <c r="A266" s="82" t="s">
        <v>149</v>
      </c>
      <c r="B266" s="109" t="s">
        <v>400</v>
      </c>
      <c r="C266" s="110"/>
      <c r="D266" s="110"/>
      <c r="E266" s="110"/>
      <c r="F266" s="110"/>
      <c r="G266" s="110"/>
      <c r="H266" s="111"/>
      <c r="T266" s="92"/>
    </row>
    <row r="267" spans="1:20" s="33" customFormat="1" x14ac:dyDescent="0.25">
      <c r="A267" s="82" t="s">
        <v>149</v>
      </c>
      <c r="B267" s="109" t="s">
        <v>408</v>
      </c>
      <c r="C267" s="110"/>
      <c r="D267" s="110"/>
      <c r="E267" s="110"/>
      <c r="F267" s="110"/>
      <c r="G267" s="110"/>
      <c r="H267" s="111"/>
      <c r="T267" s="101"/>
    </row>
    <row r="268" spans="1:20" x14ac:dyDescent="0.25">
      <c r="A268" s="172" t="s">
        <v>57</v>
      </c>
      <c r="B268" s="172"/>
      <c r="C268" s="172"/>
      <c r="D268" s="172"/>
      <c r="E268" s="172"/>
      <c r="F268" s="172"/>
      <c r="G268" s="172"/>
      <c r="H268" s="172"/>
      <c r="T268" s="33"/>
    </row>
    <row r="269" spans="1:20" x14ac:dyDescent="0.25">
      <c r="A269" s="119" t="s">
        <v>58</v>
      </c>
      <c r="B269" s="119"/>
      <c r="C269" s="119"/>
      <c r="D269" s="119"/>
      <c r="E269" s="119"/>
      <c r="F269" s="119"/>
      <c r="G269" s="119"/>
      <c r="H269" s="119"/>
      <c r="T269" s="33"/>
    </row>
    <row r="270" spans="1:20" ht="15.75" customHeight="1" x14ac:dyDescent="0.25">
      <c r="A270" s="154" t="s">
        <v>59</v>
      </c>
      <c r="B270" s="154"/>
      <c r="C270" s="154"/>
      <c r="D270" s="154"/>
      <c r="E270" s="154"/>
      <c r="F270" s="154"/>
      <c r="G270" s="154"/>
      <c r="H270" s="154"/>
      <c r="T270" s="33"/>
    </row>
    <row r="271" spans="1:20" x14ac:dyDescent="0.25">
      <c r="A271" s="119" t="s">
        <v>60</v>
      </c>
      <c r="B271" s="119"/>
      <c r="C271" s="119"/>
      <c r="D271" s="119"/>
      <c r="E271" s="119"/>
      <c r="F271" s="119"/>
      <c r="G271" s="119"/>
      <c r="H271" s="119"/>
      <c r="T271" s="33"/>
    </row>
    <row r="272" spans="1:20" x14ac:dyDescent="0.25">
      <c r="A272" s="119" t="s">
        <v>61</v>
      </c>
      <c r="B272" s="119"/>
      <c r="C272" s="119"/>
      <c r="D272" s="119"/>
      <c r="E272" s="119"/>
      <c r="F272" s="119"/>
      <c r="G272" s="119"/>
      <c r="H272" s="119"/>
      <c r="T272" s="33"/>
    </row>
    <row r="273" spans="1:20" x14ac:dyDescent="0.25">
      <c r="A273" s="119" t="s">
        <v>119</v>
      </c>
      <c r="B273" s="119"/>
      <c r="C273" s="119"/>
      <c r="D273" s="119"/>
      <c r="E273" s="119"/>
      <c r="F273" s="119"/>
      <c r="G273" s="119"/>
      <c r="H273" s="119"/>
      <c r="T273" s="33"/>
    </row>
    <row r="274" spans="1:20" ht="33.950000000000003" customHeight="1" x14ac:dyDescent="0.25">
      <c r="A274" s="128" t="s">
        <v>120</v>
      </c>
      <c r="B274" s="128"/>
      <c r="C274" s="128"/>
      <c r="D274" s="128"/>
      <c r="E274" s="128"/>
      <c r="F274" s="128"/>
      <c r="G274" s="128"/>
      <c r="H274" s="128"/>
    </row>
    <row r="275" spans="1:20" x14ac:dyDescent="0.25">
      <c r="A275" s="193" t="s">
        <v>72</v>
      </c>
      <c r="B275" s="193"/>
      <c r="C275" s="194" t="s">
        <v>403</v>
      </c>
      <c r="D275" s="194"/>
      <c r="E275" s="194" t="s">
        <v>100</v>
      </c>
      <c r="F275" s="194"/>
      <c r="G275" s="194" t="s">
        <v>402</v>
      </c>
      <c r="H275" s="194"/>
    </row>
    <row r="276" spans="1:20" x14ac:dyDescent="0.25">
      <c r="A276" s="192" t="s">
        <v>74</v>
      </c>
      <c r="B276" s="192"/>
      <c r="C276" s="192"/>
      <c r="D276" s="192"/>
      <c r="E276" s="192"/>
      <c r="F276" s="192"/>
      <c r="G276" s="192"/>
      <c r="H276" s="192"/>
    </row>
    <row r="277" spans="1:20" x14ac:dyDescent="0.25">
      <c r="A277" s="192"/>
      <c r="B277" s="192"/>
      <c r="C277" s="192"/>
      <c r="D277" s="192"/>
      <c r="E277" s="192"/>
      <c r="F277" s="192"/>
      <c r="G277" s="192"/>
      <c r="H277" s="192"/>
    </row>
    <row r="278" spans="1:20" x14ac:dyDescent="0.25">
      <c r="A278" s="192"/>
      <c r="B278" s="192"/>
      <c r="C278" s="192"/>
      <c r="D278" s="192"/>
      <c r="E278" s="192"/>
      <c r="F278" s="192"/>
      <c r="G278" s="192"/>
      <c r="H278" s="192"/>
    </row>
    <row r="279" spans="1:20" x14ac:dyDescent="0.25">
      <c r="A279" s="192"/>
      <c r="B279" s="192"/>
      <c r="C279" s="192"/>
      <c r="D279" s="192"/>
      <c r="E279" s="192"/>
      <c r="F279" s="192"/>
      <c r="G279" s="192"/>
      <c r="H279" s="192"/>
    </row>
    <row r="280" spans="1:20" x14ac:dyDescent="0.25">
      <c r="A280" s="36" t="s">
        <v>62</v>
      </c>
      <c r="B280" s="37"/>
      <c r="C280" s="37"/>
      <c r="D280" s="36" t="str">
        <f>E9</f>
        <v>Lodha Codename Premier - Fiora J &amp; K</v>
      </c>
      <c r="F280" s="37"/>
      <c r="G280" s="37"/>
      <c r="H280" s="37"/>
    </row>
    <row r="281" spans="1:20" x14ac:dyDescent="0.25">
      <c r="A281" s="37"/>
      <c r="B281" s="37"/>
      <c r="C281" s="37"/>
      <c r="D281" s="37"/>
      <c r="E281" s="37"/>
      <c r="F281" s="37"/>
      <c r="G281" s="37"/>
      <c r="H281" s="37"/>
    </row>
    <row r="282" spans="1:20" x14ac:dyDescent="0.25">
      <c r="A282" s="37"/>
      <c r="B282" s="37"/>
      <c r="C282" s="37"/>
      <c r="D282" s="37"/>
      <c r="E282" s="37"/>
      <c r="F282" s="37"/>
      <c r="G282" s="37"/>
      <c r="H282" s="37"/>
    </row>
    <row r="283" spans="1:20" ht="15" customHeight="1" x14ac:dyDescent="0.25"/>
    <row r="322" spans="1:1" x14ac:dyDescent="0.25">
      <c r="A322" s="39" t="s">
        <v>157</v>
      </c>
    </row>
    <row r="361" spans="1:1" x14ac:dyDescent="0.25">
      <c r="A361" s="39" t="s">
        <v>63</v>
      </c>
    </row>
  </sheetData>
  <mergeCells count="453">
    <mergeCell ref="B267:H267"/>
    <mergeCell ref="B266:H266"/>
    <mergeCell ref="B265:H265"/>
    <mergeCell ref="A182:B182"/>
    <mergeCell ref="A183:H183"/>
    <mergeCell ref="A184:B184"/>
    <mergeCell ref="A185:B185"/>
    <mergeCell ref="A186:B186"/>
    <mergeCell ref="A187:B187"/>
    <mergeCell ref="A188:B188"/>
    <mergeCell ref="A189:B189"/>
    <mergeCell ref="C187:H187"/>
    <mergeCell ref="A214:B214"/>
    <mergeCell ref="B264:H264"/>
    <mergeCell ref="B259:H259"/>
    <mergeCell ref="A242:B242"/>
    <mergeCell ref="A231:B231"/>
    <mergeCell ref="A223:B223"/>
    <mergeCell ref="A240:B240"/>
    <mergeCell ref="A239:H239"/>
    <mergeCell ref="A195:B195"/>
    <mergeCell ref="A217:B217"/>
    <mergeCell ref="A218:B218"/>
    <mergeCell ref="A219:B219"/>
    <mergeCell ref="A220:B220"/>
    <mergeCell ref="A81:B81"/>
    <mergeCell ref="A178:B178"/>
    <mergeCell ref="A179:B179"/>
    <mergeCell ref="A180:B180"/>
    <mergeCell ref="A181:B181"/>
    <mergeCell ref="A169:H169"/>
    <mergeCell ref="A170:B170"/>
    <mergeCell ref="A171:B171"/>
    <mergeCell ref="A172:B172"/>
    <mergeCell ref="A173:B173"/>
    <mergeCell ref="A174:B174"/>
    <mergeCell ref="A175:B175"/>
    <mergeCell ref="A82:B82"/>
    <mergeCell ref="A83:B83"/>
    <mergeCell ref="A84:B84"/>
    <mergeCell ref="A85:B85"/>
    <mergeCell ref="A86:B86"/>
    <mergeCell ref="A87:B87"/>
    <mergeCell ref="A88:B88"/>
    <mergeCell ref="A89:B89"/>
    <mergeCell ref="A166:B166"/>
    <mergeCell ref="A167:B167"/>
    <mergeCell ref="A168:B168"/>
    <mergeCell ref="A176:H176"/>
    <mergeCell ref="A51:B51"/>
    <mergeCell ref="C51:E51"/>
    <mergeCell ref="G51:H51"/>
    <mergeCell ref="A52:B53"/>
    <mergeCell ref="C52:E52"/>
    <mergeCell ref="G52:H52"/>
    <mergeCell ref="C53:H53"/>
    <mergeCell ref="A155:H155"/>
    <mergeCell ref="A156:H156"/>
    <mergeCell ref="A138:B138"/>
    <mergeCell ref="C138:D138"/>
    <mergeCell ref="E138:F138"/>
    <mergeCell ref="G138:H138"/>
    <mergeCell ref="A76:B76"/>
    <mergeCell ref="C76:H76"/>
    <mergeCell ref="A78:B78"/>
    <mergeCell ref="C78:H78"/>
    <mergeCell ref="A79:B79"/>
    <mergeCell ref="E79:F79"/>
    <mergeCell ref="G79:H79"/>
    <mergeCell ref="A80:B80"/>
    <mergeCell ref="E80:F89"/>
    <mergeCell ref="G80:H89"/>
    <mergeCell ref="A123:E123"/>
    <mergeCell ref="L195:M195"/>
    <mergeCell ref="A196:B196"/>
    <mergeCell ref="L196:M196"/>
    <mergeCell ref="A197:B197"/>
    <mergeCell ref="L197:M197"/>
    <mergeCell ref="A198:B198"/>
    <mergeCell ref="L198:M198"/>
    <mergeCell ref="C194:H194"/>
    <mergeCell ref="A216:B216"/>
    <mergeCell ref="A199:H199"/>
    <mergeCell ref="A200:B200"/>
    <mergeCell ref="A201:B201"/>
    <mergeCell ref="A202:B202"/>
    <mergeCell ref="A203:B203"/>
    <mergeCell ref="A204:B204"/>
    <mergeCell ref="A205:B205"/>
    <mergeCell ref="A206:B206"/>
    <mergeCell ref="A215:H215"/>
    <mergeCell ref="A207:H207"/>
    <mergeCell ref="A208:B208"/>
    <mergeCell ref="A209:B209"/>
    <mergeCell ref="A210:B210"/>
    <mergeCell ref="A211:B211"/>
    <mergeCell ref="A212:B212"/>
    <mergeCell ref="L192:M192"/>
    <mergeCell ref="A193:B193"/>
    <mergeCell ref="L193:M193"/>
    <mergeCell ref="A194:B194"/>
    <mergeCell ref="L194:M194"/>
    <mergeCell ref="A157:B157"/>
    <mergeCell ref="L157:M157"/>
    <mergeCell ref="A158:B158"/>
    <mergeCell ref="L158:M158"/>
    <mergeCell ref="A159:B159"/>
    <mergeCell ref="L159:M159"/>
    <mergeCell ref="A160:B160"/>
    <mergeCell ref="L160:M160"/>
    <mergeCell ref="A161:B161"/>
    <mergeCell ref="L161:M161"/>
    <mergeCell ref="A162:H162"/>
    <mergeCell ref="A163:B163"/>
    <mergeCell ref="A164:B164"/>
    <mergeCell ref="A165:B165"/>
    <mergeCell ref="A177:B177"/>
    <mergeCell ref="A192:B192"/>
    <mergeCell ref="A49:B49"/>
    <mergeCell ref="C49:H49"/>
    <mergeCell ref="B257:H257"/>
    <mergeCell ref="G108:H117"/>
    <mergeCell ref="A109:B109"/>
    <mergeCell ref="A110:B110"/>
    <mergeCell ref="A111:B111"/>
    <mergeCell ref="F120:H120"/>
    <mergeCell ref="A120:E120"/>
    <mergeCell ref="D143:D144"/>
    <mergeCell ref="A122:E122"/>
    <mergeCell ref="A121:E121"/>
    <mergeCell ref="A118:E118"/>
    <mergeCell ref="F122:H122"/>
    <mergeCell ref="G143:G144"/>
    <mergeCell ref="A241:B241"/>
    <mergeCell ref="A96:B96"/>
    <mergeCell ref="A103:B103"/>
    <mergeCell ref="A107:B107"/>
    <mergeCell ref="A117:B117"/>
    <mergeCell ref="E140:F140"/>
    <mergeCell ref="A128:E128"/>
    <mergeCell ref="G140:H140"/>
    <mergeCell ref="C134:D134"/>
    <mergeCell ref="A115:B115"/>
    <mergeCell ref="A116:B116"/>
    <mergeCell ref="A153:H153"/>
    <mergeCell ref="A154:H154"/>
    <mergeCell ref="A190:H190"/>
    <mergeCell ref="A191:H191"/>
    <mergeCell ref="A149:B149"/>
    <mergeCell ref="A148:B148"/>
    <mergeCell ref="A150:H150"/>
    <mergeCell ref="E137:F137"/>
    <mergeCell ref="A141:H141"/>
    <mergeCell ref="E134:F134"/>
    <mergeCell ref="G134:H134"/>
    <mergeCell ref="A135:B135"/>
    <mergeCell ref="C135:D135"/>
    <mergeCell ref="E135:F135"/>
    <mergeCell ref="G135:H135"/>
    <mergeCell ref="F118:H118"/>
    <mergeCell ref="F123:H123"/>
    <mergeCell ref="L227:M227"/>
    <mergeCell ref="A232:B232"/>
    <mergeCell ref="A229:B229"/>
    <mergeCell ref="A230:B230"/>
    <mergeCell ref="L226:M226"/>
    <mergeCell ref="L223:M223"/>
    <mergeCell ref="A224:B224"/>
    <mergeCell ref="L224:M224"/>
    <mergeCell ref="A225:B225"/>
    <mergeCell ref="L225:M225"/>
    <mergeCell ref="A226:B226"/>
    <mergeCell ref="A40:B40"/>
    <mergeCell ref="C40:H40"/>
    <mergeCell ref="F143:F144"/>
    <mergeCell ref="C133:D133"/>
    <mergeCell ref="E133:F133"/>
    <mergeCell ref="B143:B144"/>
    <mergeCell ref="A143:A144"/>
    <mergeCell ref="C151:C152"/>
    <mergeCell ref="G151:G152"/>
    <mergeCell ref="C58:H58"/>
    <mergeCell ref="A93:B93"/>
    <mergeCell ref="A102:B102"/>
    <mergeCell ref="A75:C75"/>
    <mergeCell ref="D75:H75"/>
    <mergeCell ref="A73:C73"/>
    <mergeCell ref="D74:H74"/>
    <mergeCell ref="A94:B94"/>
    <mergeCell ref="G93:H93"/>
    <mergeCell ref="E107:F107"/>
    <mergeCell ref="G107:H107"/>
    <mergeCell ref="A124:E124"/>
    <mergeCell ref="F124:H124"/>
    <mergeCell ref="A126:E126"/>
    <mergeCell ref="F121:H121"/>
    <mergeCell ref="A39:B39"/>
    <mergeCell ref="C39:H39"/>
    <mergeCell ref="A46:D46"/>
    <mergeCell ref="L149:M149"/>
    <mergeCell ref="L148:M148"/>
    <mergeCell ref="L147:M147"/>
    <mergeCell ref="L146:M146"/>
    <mergeCell ref="A101:B101"/>
    <mergeCell ref="C139:D139"/>
    <mergeCell ref="E139:F139"/>
    <mergeCell ref="G139:H139"/>
    <mergeCell ref="A119:E119"/>
    <mergeCell ref="A145:H145"/>
    <mergeCell ref="E143:E144"/>
    <mergeCell ref="A108:B108"/>
    <mergeCell ref="A47:D47"/>
    <mergeCell ref="A48:H48"/>
    <mergeCell ref="D67:H67"/>
    <mergeCell ref="A67:C67"/>
    <mergeCell ref="A100:B100"/>
    <mergeCell ref="C106:H106"/>
    <mergeCell ref="A45:D45"/>
    <mergeCell ref="E94:F103"/>
    <mergeCell ref="G94:H103"/>
    <mergeCell ref="A38:H38"/>
    <mergeCell ref="A37:B37"/>
    <mergeCell ref="C37:E37"/>
    <mergeCell ref="A42:D42"/>
    <mergeCell ref="E42:H42"/>
    <mergeCell ref="A41:H41"/>
    <mergeCell ref="A69:C69"/>
    <mergeCell ref="A70:C70"/>
    <mergeCell ref="D69:H69"/>
    <mergeCell ref="D70:H70"/>
    <mergeCell ref="A44:D44"/>
    <mergeCell ref="E44:H44"/>
    <mergeCell ref="E45:H45"/>
    <mergeCell ref="E46:H46"/>
    <mergeCell ref="E47:H47"/>
    <mergeCell ref="C60:H60"/>
    <mergeCell ref="C62:H62"/>
    <mergeCell ref="F37:H37"/>
    <mergeCell ref="C50:E50"/>
    <mergeCell ref="G50:H50"/>
    <mergeCell ref="A66:C66"/>
    <mergeCell ref="D66:H66"/>
    <mergeCell ref="G63:H63"/>
    <mergeCell ref="A57:B58"/>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12:D12"/>
    <mergeCell ref="E12:H12"/>
    <mergeCell ref="A17:B17"/>
    <mergeCell ref="A14:D14"/>
    <mergeCell ref="A19:B19"/>
    <mergeCell ref="C19:D19"/>
    <mergeCell ref="E19:F19"/>
    <mergeCell ref="G19:H19"/>
    <mergeCell ref="A20:B20"/>
    <mergeCell ref="C20:D20"/>
    <mergeCell ref="E20:F20"/>
    <mergeCell ref="G20:H20"/>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269:H26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B255:H255"/>
    <mergeCell ref="B256:H256"/>
    <mergeCell ref="A276:H279"/>
    <mergeCell ref="A275:B275"/>
    <mergeCell ref="E275:F275"/>
    <mergeCell ref="C275:D275"/>
    <mergeCell ref="G275:H275"/>
    <mergeCell ref="A131:H131"/>
    <mergeCell ref="A129:E129"/>
    <mergeCell ref="F129:H129"/>
    <mergeCell ref="A130:E130"/>
    <mergeCell ref="F130:H130"/>
    <mergeCell ref="A227:H227"/>
    <mergeCell ref="A139:B139"/>
    <mergeCell ref="A236:B236"/>
    <mergeCell ref="A133:B133"/>
    <mergeCell ref="A271:H271"/>
    <mergeCell ref="A136:H136"/>
    <mergeCell ref="A274:H274"/>
    <mergeCell ref="A272:H272"/>
    <mergeCell ref="A268:H268"/>
    <mergeCell ref="G137:H137"/>
    <mergeCell ref="A238:B238"/>
    <mergeCell ref="C143:C144"/>
    <mergeCell ref="B254:H254"/>
    <mergeCell ref="A248:B248"/>
    <mergeCell ref="A245:H245"/>
    <mergeCell ref="A246:B246"/>
    <mergeCell ref="A247:B247"/>
    <mergeCell ref="A250:B250"/>
    <mergeCell ref="A249:B249"/>
    <mergeCell ref="B252:H252"/>
    <mergeCell ref="B253:H253"/>
    <mergeCell ref="C55:E55"/>
    <mergeCell ref="A68:C68"/>
    <mergeCell ref="D68:H68"/>
    <mergeCell ref="C54:E54"/>
    <mergeCell ref="G55:H55"/>
    <mergeCell ref="A54:B54"/>
    <mergeCell ref="A64:H64"/>
    <mergeCell ref="A221:B221"/>
    <mergeCell ref="C217:H217"/>
    <mergeCell ref="A213:B213"/>
    <mergeCell ref="A65:C65"/>
    <mergeCell ref="A151:A152"/>
    <mergeCell ref="F151:F152"/>
    <mergeCell ref="A146:B146"/>
    <mergeCell ref="A140:B140"/>
    <mergeCell ref="C140:D140"/>
    <mergeCell ref="B151:B152"/>
    <mergeCell ref="A106:B106"/>
    <mergeCell ref="A92:B92"/>
    <mergeCell ref="A90:B90"/>
    <mergeCell ref="C90:H90"/>
    <mergeCell ref="A98:B98"/>
    <mergeCell ref="A125:E125"/>
    <mergeCell ref="E108:F117"/>
    <mergeCell ref="A273:H273"/>
    <mergeCell ref="A270:H270"/>
    <mergeCell ref="A228:B228"/>
    <mergeCell ref="A137:B137"/>
    <mergeCell ref="D151:D152"/>
    <mergeCell ref="E151:E152"/>
    <mergeCell ref="A112:B112"/>
    <mergeCell ref="A113:B113"/>
    <mergeCell ref="A114:B114"/>
    <mergeCell ref="F119:H119"/>
    <mergeCell ref="G133:H133"/>
    <mergeCell ref="F125:H125"/>
    <mergeCell ref="C132:D132"/>
    <mergeCell ref="A222:H222"/>
    <mergeCell ref="A237:B237"/>
    <mergeCell ref="A251:H251"/>
    <mergeCell ref="A243:B243"/>
    <mergeCell ref="A244:B244"/>
    <mergeCell ref="A233:H233"/>
    <mergeCell ref="A234:B234"/>
    <mergeCell ref="B261:H261"/>
    <mergeCell ref="B260:H260"/>
    <mergeCell ref="B258:H258"/>
    <mergeCell ref="A43:D43"/>
    <mergeCell ref="A104:B104"/>
    <mergeCell ref="C104:H104"/>
    <mergeCell ref="A99:B99"/>
    <mergeCell ref="A50:B50"/>
    <mergeCell ref="C57:E57"/>
    <mergeCell ref="G57:H57"/>
    <mergeCell ref="A59:B60"/>
    <mergeCell ref="C59:E59"/>
    <mergeCell ref="G59:H59"/>
    <mergeCell ref="A61:B62"/>
    <mergeCell ref="C61:E61"/>
    <mergeCell ref="G61:H61"/>
    <mergeCell ref="G54:H54"/>
    <mergeCell ref="A55:B56"/>
    <mergeCell ref="C56:H56"/>
    <mergeCell ref="A71:C71"/>
    <mergeCell ref="D71:H71"/>
    <mergeCell ref="C92:H92"/>
    <mergeCell ref="A95:B95"/>
    <mergeCell ref="A97:B97"/>
    <mergeCell ref="E93:F93"/>
    <mergeCell ref="A72:C72"/>
    <mergeCell ref="D72:H72"/>
    <mergeCell ref="I57:K57"/>
    <mergeCell ref="M57:N57"/>
    <mergeCell ref="I58:N58"/>
    <mergeCell ref="B263:H263"/>
    <mergeCell ref="B262:H262"/>
    <mergeCell ref="I15:P15"/>
    <mergeCell ref="F128:H128"/>
    <mergeCell ref="F126:H126"/>
    <mergeCell ref="A235:B235"/>
    <mergeCell ref="A142:H142"/>
    <mergeCell ref="G132:H132"/>
    <mergeCell ref="A127:E127"/>
    <mergeCell ref="A147:B147"/>
    <mergeCell ref="A63:B63"/>
    <mergeCell ref="C63:E63"/>
    <mergeCell ref="D65:H65"/>
    <mergeCell ref="F127:H127"/>
    <mergeCell ref="E132:F132"/>
    <mergeCell ref="A132:B132"/>
    <mergeCell ref="A134:B134"/>
    <mergeCell ref="C137:D137"/>
    <mergeCell ref="D73:H73"/>
    <mergeCell ref="A74:C74"/>
    <mergeCell ref="E43:H43"/>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 Sector, 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75:H275">
      <formula1>"Kunal Kadam,Pranita Mhatre,Shruti Fule,Pooja Kawale,Gaurav Panchal,Shruti Tathare, Hitakshi Mhatre, Sachin Sawant"</formula1>
    </dataValidation>
    <dataValidation type="list" allowBlank="1" showInputMessage="1" showErrorMessage="1" sqref="F118:H118">
      <formula1>"On Saleable Area,On Builtup Area,On Carpet Area,On Plot Area"</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area,Dry Area/Otla,Balcony Area,Chajja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99 C85">
      <formula1>0</formula1>
      <formula2>H77</formula2>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17" max="16383" man="1"/>
    <brk id="279" max="16383" man="1"/>
    <brk id="321" max="16383" man="1"/>
    <brk id="36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0" t="s">
        <v>101</v>
      </c>
      <c r="C3" s="260"/>
      <c r="D3" s="260"/>
      <c r="E3" s="260"/>
      <c r="F3" s="260"/>
      <c r="G3" s="260"/>
      <c r="H3" s="260"/>
    </row>
    <row r="4" spans="1:9" x14ac:dyDescent="0.25">
      <c r="A4" s="2"/>
      <c r="B4" s="3" t="s">
        <v>102</v>
      </c>
      <c r="C4" s="3" t="s">
        <v>103</v>
      </c>
      <c r="D4" s="3" t="s">
        <v>65</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0"/>
      <c r="C4" s="50" t="s">
        <v>11</v>
      </c>
      <c r="D4" s="51" t="s">
        <v>170</v>
      </c>
      <c r="E4" s="51" t="s">
        <v>180</v>
      </c>
      <c r="F4" s="51" t="s">
        <v>165</v>
      </c>
      <c r="G4" s="51" t="s">
        <v>185</v>
      </c>
      <c r="H4" s="51" t="s">
        <v>203</v>
      </c>
      <c r="J4" t="s">
        <v>185</v>
      </c>
      <c r="K4" t="s">
        <v>201</v>
      </c>
    </row>
    <row r="5" spans="2:11" x14ac:dyDescent="0.25">
      <c r="B5" s="50"/>
      <c r="C5" s="50"/>
      <c r="D5" s="51" t="s">
        <v>171</v>
      </c>
      <c r="E5" s="51" t="s">
        <v>178</v>
      </c>
      <c r="F5" s="51" t="s">
        <v>200</v>
      </c>
      <c r="G5" s="51" t="s">
        <v>186</v>
      </c>
      <c r="H5" s="51" t="s">
        <v>204</v>
      </c>
    </row>
    <row r="6" spans="2:11" x14ac:dyDescent="0.25">
      <c r="B6" s="50"/>
      <c r="C6" s="50"/>
      <c r="D6" s="51" t="s">
        <v>172</v>
      </c>
      <c r="E6" s="51" t="s">
        <v>179</v>
      </c>
      <c r="F6" s="51" t="s">
        <v>201</v>
      </c>
      <c r="G6" s="51" t="s">
        <v>187</v>
      </c>
      <c r="H6" s="51" t="s">
        <v>217</v>
      </c>
    </row>
    <row r="7" spans="2:11" x14ac:dyDescent="0.25">
      <c r="B7" s="50"/>
      <c r="C7" s="50"/>
      <c r="D7" s="51" t="s">
        <v>173</v>
      </c>
      <c r="E7" s="51" t="s">
        <v>181</v>
      </c>
      <c r="F7" s="51" t="s">
        <v>202</v>
      </c>
      <c r="G7" s="51" t="s">
        <v>188</v>
      </c>
      <c r="H7" s="51" t="s">
        <v>205</v>
      </c>
    </row>
    <row r="8" spans="2:11" x14ac:dyDescent="0.25">
      <c r="B8" s="50"/>
      <c r="C8" s="50"/>
      <c r="D8" s="51" t="s">
        <v>174</v>
      </c>
      <c r="E8" s="51" t="s">
        <v>182</v>
      </c>
      <c r="F8" s="51"/>
      <c r="G8" s="51" t="s">
        <v>189</v>
      </c>
      <c r="H8" s="51" t="s">
        <v>206</v>
      </c>
    </row>
    <row r="9" spans="2:11" x14ac:dyDescent="0.25">
      <c r="B9" s="50"/>
      <c r="C9" s="50"/>
      <c r="D9" s="51" t="s">
        <v>175</v>
      </c>
      <c r="E9" s="51" t="s">
        <v>180</v>
      </c>
      <c r="F9" s="51"/>
      <c r="G9" s="51" t="s">
        <v>190</v>
      </c>
      <c r="H9" s="51" t="s">
        <v>207</v>
      </c>
    </row>
    <row r="10" spans="2:11" x14ac:dyDescent="0.25">
      <c r="B10" s="50"/>
      <c r="C10" s="50"/>
      <c r="D10" s="51" t="s">
        <v>176</v>
      </c>
      <c r="E10" s="51" t="s">
        <v>183</v>
      </c>
      <c r="F10" s="51"/>
      <c r="G10" s="51" t="s">
        <v>191</v>
      </c>
      <c r="H10" s="51" t="s">
        <v>208</v>
      </c>
    </row>
    <row r="11" spans="2:11" x14ac:dyDescent="0.25">
      <c r="B11" s="50"/>
      <c r="C11" s="50"/>
      <c r="D11" s="51" t="s">
        <v>177</v>
      </c>
      <c r="E11" s="51" t="s">
        <v>184</v>
      </c>
      <c r="F11" s="51"/>
      <c r="G11" s="51" t="s">
        <v>192</v>
      </c>
      <c r="H11" s="51" t="s">
        <v>209</v>
      </c>
    </row>
    <row r="12" spans="2:11" x14ac:dyDescent="0.25">
      <c r="B12" s="50"/>
      <c r="C12" s="50"/>
      <c r="D12" s="51"/>
      <c r="E12" s="51"/>
      <c r="F12" s="51"/>
      <c r="G12" s="51" t="s">
        <v>193</v>
      </c>
      <c r="H12" s="51" t="s">
        <v>210</v>
      </c>
    </row>
    <row r="13" spans="2:11" x14ac:dyDescent="0.25">
      <c r="B13" s="50"/>
      <c r="C13" s="50"/>
      <c r="D13" s="51"/>
      <c r="E13" s="51"/>
      <c r="F13" s="51"/>
      <c r="G13" s="51" t="s">
        <v>194</v>
      </c>
      <c r="H13" s="51" t="s">
        <v>211</v>
      </c>
    </row>
    <row r="14" spans="2:11" x14ac:dyDescent="0.25">
      <c r="B14" s="50"/>
      <c r="C14" s="50"/>
      <c r="D14" s="51"/>
      <c r="E14" s="51"/>
      <c r="F14" s="51"/>
      <c r="G14" s="51" t="s">
        <v>195</v>
      </c>
      <c r="H14" s="51" t="s">
        <v>212</v>
      </c>
    </row>
    <row r="15" spans="2:11" x14ac:dyDescent="0.25">
      <c r="B15" s="50"/>
      <c r="C15" s="50"/>
      <c r="D15" s="51"/>
      <c r="E15" s="51"/>
      <c r="F15" s="51"/>
      <c r="G15" s="51" t="s">
        <v>196</v>
      </c>
      <c r="H15" s="51" t="s">
        <v>213</v>
      </c>
    </row>
    <row r="16" spans="2:11" x14ac:dyDescent="0.25">
      <c r="B16" s="50"/>
      <c r="C16" s="50"/>
      <c r="D16" s="51"/>
      <c r="E16" s="51"/>
      <c r="F16" s="51"/>
      <c r="G16" s="51" t="s">
        <v>197</v>
      </c>
      <c r="H16" s="51" t="s">
        <v>214</v>
      </c>
    </row>
    <row r="17" spans="2:8" x14ac:dyDescent="0.25">
      <c r="B17" s="50"/>
      <c r="C17" s="50"/>
      <c r="D17" s="51"/>
      <c r="E17" s="51"/>
      <c r="F17" s="51"/>
      <c r="G17" s="51" t="s">
        <v>198</v>
      </c>
      <c r="H17" s="51" t="s">
        <v>215</v>
      </c>
    </row>
    <row r="18" spans="2:8" x14ac:dyDescent="0.25">
      <c r="B18" s="50"/>
      <c r="C18" s="50"/>
      <c r="D18" s="51"/>
      <c r="E18" s="51"/>
      <c r="F18" s="51"/>
      <c r="G18" s="51" t="s">
        <v>199</v>
      </c>
      <c r="H18" s="51" t="s">
        <v>216</v>
      </c>
    </row>
    <row r="24" spans="2:8" x14ac:dyDescent="0.25">
      <c r="C24" t="s">
        <v>162</v>
      </c>
    </row>
    <row r="25" spans="2:8" x14ac:dyDescent="0.25">
      <c r="C25" t="s">
        <v>218</v>
      </c>
    </row>
    <row r="26" spans="2:8" x14ac:dyDescent="0.25">
      <c r="C26" t="s">
        <v>219</v>
      </c>
    </row>
    <row r="27" spans="2:8" x14ac:dyDescent="0.25">
      <c r="C27" t="s">
        <v>220</v>
      </c>
    </row>
    <row r="28" spans="2:8" x14ac:dyDescent="0.25">
      <c r="C28" t="s">
        <v>221</v>
      </c>
    </row>
    <row r="29" spans="2:8" x14ac:dyDescent="0.25">
      <c r="C29" t="s">
        <v>222</v>
      </c>
    </row>
    <row r="30" spans="2:8" x14ac:dyDescent="0.25">
      <c r="C30" t="s">
        <v>162</v>
      </c>
    </row>
    <row r="33" spans="3:11" x14ac:dyDescent="0.25">
      <c r="J33">
        <v>1</v>
      </c>
      <c r="K33">
        <v>2</v>
      </c>
    </row>
    <row r="34" spans="3:11" x14ac:dyDescent="0.25">
      <c r="C34" s="54" t="s">
        <v>227</v>
      </c>
      <c r="D34" s="51" t="s">
        <v>225</v>
      </c>
      <c r="E34" s="51" t="s">
        <v>230</v>
      </c>
      <c r="F34" s="51" t="s">
        <v>228</v>
      </c>
      <c r="G34" s="51" t="s">
        <v>229</v>
      </c>
      <c r="H34" s="51" t="s">
        <v>231</v>
      </c>
      <c r="J34" t="s">
        <v>185</v>
      </c>
      <c r="K34" t="s">
        <v>201</v>
      </c>
    </row>
    <row r="35" spans="3:11" x14ac:dyDescent="0.25">
      <c r="C35" s="50" t="s">
        <v>226</v>
      </c>
      <c r="D35" s="51" t="s">
        <v>163</v>
      </c>
      <c r="E35" s="51" t="s">
        <v>235</v>
      </c>
      <c r="F35" s="51" t="s">
        <v>237</v>
      </c>
      <c r="G35" s="51" t="s">
        <v>239</v>
      </c>
      <c r="H35" s="51"/>
    </row>
    <row r="36" spans="3:11" x14ac:dyDescent="0.25">
      <c r="C36" s="50"/>
      <c r="D36" s="51" t="s">
        <v>232</v>
      </c>
      <c r="E36" s="51" t="s">
        <v>236</v>
      </c>
      <c r="F36" s="51" t="s">
        <v>238</v>
      </c>
      <c r="G36" s="51" t="s">
        <v>240</v>
      </c>
      <c r="H36" s="51"/>
    </row>
    <row r="37" spans="3:11" x14ac:dyDescent="0.25">
      <c r="C37" s="50"/>
      <c r="D37" s="51" t="s">
        <v>233</v>
      </c>
      <c r="E37" s="51"/>
      <c r="F37" s="51"/>
      <c r="G37" s="51" t="s">
        <v>241</v>
      </c>
      <c r="H37" s="51"/>
    </row>
    <row r="38" spans="3:11" x14ac:dyDescent="0.25">
      <c r="C38" s="50"/>
      <c r="D38" s="51" t="s">
        <v>234</v>
      </c>
      <c r="E38" s="51"/>
      <c r="F38" s="51"/>
      <c r="G38" s="51" t="s">
        <v>241</v>
      </c>
      <c r="H38" s="51"/>
    </row>
    <row r="39" spans="3:11" x14ac:dyDescent="0.25">
      <c r="C39" s="50"/>
      <c r="D39" s="51"/>
      <c r="E39" s="51"/>
      <c r="F39" s="51"/>
      <c r="G39" s="51" t="s">
        <v>242</v>
      </c>
      <c r="H39" s="51"/>
    </row>
    <row r="40" spans="3:11" x14ac:dyDescent="0.25">
      <c r="C40" s="50"/>
      <c r="D40" s="51"/>
      <c r="E40" s="51"/>
      <c r="F40" s="51"/>
      <c r="G40" s="51" t="s">
        <v>243</v>
      </c>
      <c r="H40" s="51"/>
    </row>
    <row r="41" spans="3:11" x14ac:dyDescent="0.25">
      <c r="C41" s="50"/>
      <c r="D41" s="51"/>
      <c r="E41" s="51"/>
      <c r="F41" s="51"/>
      <c r="G41" s="51"/>
      <c r="H41" s="51"/>
    </row>
    <row r="43" spans="3:11" x14ac:dyDescent="0.25">
      <c r="C43" t="s">
        <v>244</v>
      </c>
    </row>
    <row r="44" spans="3:11" x14ac:dyDescent="0.25">
      <c r="C44" t="s">
        <v>165</v>
      </c>
      <c r="D44" t="s">
        <v>245</v>
      </c>
    </row>
    <row r="45" spans="3:11" x14ac:dyDescent="0.25">
      <c r="D45" t="s">
        <v>246</v>
      </c>
    </row>
    <row r="46" spans="3:11" x14ac:dyDescent="0.25">
      <c r="D46" t="s">
        <v>247</v>
      </c>
    </row>
    <row r="47" spans="3:11" x14ac:dyDescent="0.25">
      <c r="D47" t="s">
        <v>248</v>
      </c>
    </row>
    <row r="48" spans="3:11" x14ac:dyDescent="0.25">
      <c r="D48" t="s">
        <v>249</v>
      </c>
    </row>
    <row r="49" spans="3:4" x14ac:dyDescent="0.25">
      <c r="C49" t="s">
        <v>170</v>
      </c>
      <c r="D49" t="s">
        <v>250</v>
      </c>
    </row>
    <row r="50" spans="3:4" x14ac:dyDescent="0.25">
      <c r="D50" t="s">
        <v>251</v>
      </c>
    </row>
    <row r="51" spans="3:4" x14ac:dyDescent="0.25">
      <c r="D51" t="s">
        <v>252</v>
      </c>
    </row>
    <row r="52" spans="3:4" x14ac:dyDescent="0.25">
      <c r="D52" t="s">
        <v>255</v>
      </c>
    </row>
    <row r="53" spans="3:4" x14ac:dyDescent="0.25">
      <c r="D53" t="s">
        <v>253</v>
      </c>
    </row>
    <row r="54" spans="3:4" x14ac:dyDescent="0.25">
      <c r="D54" t="s">
        <v>254</v>
      </c>
    </row>
    <row r="55" spans="3:4" x14ac:dyDescent="0.25">
      <c r="D55" t="s">
        <v>256</v>
      </c>
    </row>
    <row r="56" spans="3:4" x14ac:dyDescent="0.25">
      <c r="D56" t="s">
        <v>257</v>
      </c>
    </row>
    <row r="57" spans="3:4" x14ac:dyDescent="0.25">
      <c r="D57" t="s">
        <v>258</v>
      </c>
    </row>
    <row r="58" spans="3:4" x14ac:dyDescent="0.25">
      <c r="D58" t="s">
        <v>260</v>
      </c>
    </row>
    <row r="59" spans="3:4" x14ac:dyDescent="0.25">
      <c r="D59" t="s">
        <v>269</v>
      </c>
    </row>
    <row r="60" spans="3:4" x14ac:dyDescent="0.25">
      <c r="C60" t="s">
        <v>185</v>
      </c>
      <c r="D60" t="s">
        <v>261</v>
      </c>
    </row>
    <row r="61" spans="3:4" x14ac:dyDescent="0.25">
      <c r="D61" t="s">
        <v>259</v>
      </c>
    </row>
    <row r="62" spans="3:4" x14ac:dyDescent="0.25">
      <c r="D62" t="s">
        <v>249</v>
      </c>
    </row>
    <row r="63" spans="3:4" x14ac:dyDescent="0.25">
      <c r="D63" t="s">
        <v>262</v>
      </c>
    </row>
    <row r="64" spans="3:4" x14ac:dyDescent="0.25">
      <c r="D64" t="s">
        <v>263</v>
      </c>
    </row>
    <row r="65" spans="3:4" x14ac:dyDescent="0.25">
      <c r="D65" t="s">
        <v>264</v>
      </c>
    </row>
    <row r="66" spans="3:4" x14ac:dyDescent="0.25">
      <c r="D66" t="s">
        <v>265</v>
      </c>
    </row>
    <row r="67" spans="3:4" x14ac:dyDescent="0.25">
      <c r="C67" t="s">
        <v>180</v>
      </c>
      <c r="D67" t="s">
        <v>266</v>
      </c>
    </row>
    <row r="68" spans="3:4" x14ac:dyDescent="0.25">
      <c r="D68" t="s">
        <v>267</v>
      </c>
    </row>
    <row r="69" spans="3:4" x14ac:dyDescent="0.25">
      <c r="D69" t="s">
        <v>268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5" x14ac:dyDescent="0.25"/>
  <cols>
    <col min="2" max="2" width="3" bestFit="1" customWidth="1"/>
    <col min="3" max="3" width="155.28515625" customWidth="1"/>
  </cols>
  <sheetData>
    <row r="2" spans="2:3" ht="15" customHeight="1" x14ac:dyDescent="0.25">
      <c r="B2" s="55">
        <v>1</v>
      </c>
      <c r="C2" s="58" t="s">
        <v>275</v>
      </c>
    </row>
    <row r="3" spans="2:3" x14ac:dyDescent="0.25">
      <c r="B3" s="55">
        <v>2</v>
      </c>
      <c r="C3" s="56" t="s">
        <v>276</v>
      </c>
    </row>
    <row r="4" spans="2:3" x14ac:dyDescent="0.25">
      <c r="B4" s="55">
        <v>3</v>
      </c>
      <c r="C4" s="57" t="s">
        <v>277</v>
      </c>
    </row>
    <row r="5" spans="2:3" x14ac:dyDescent="0.25">
      <c r="B5" s="55">
        <v>4</v>
      </c>
      <c r="C5" s="56" t="s">
        <v>278</v>
      </c>
    </row>
    <row r="6" spans="2:3" x14ac:dyDescent="0.25">
      <c r="B6" s="55">
        <v>5</v>
      </c>
      <c r="C6" s="57" t="s">
        <v>279</v>
      </c>
    </row>
    <row r="7" spans="2:3" ht="30" x14ac:dyDescent="0.25">
      <c r="B7" s="55">
        <v>6</v>
      </c>
      <c r="C7" s="56" t="s">
        <v>280</v>
      </c>
    </row>
    <row r="8" spans="2:3" ht="75" x14ac:dyDescent="0.25">
      <c r="B8" s="55">
        <v>7</v>
      </c>
      <c r="C8" s="56" t="s">
        <v>281</v>
      </c>
    </row>
    <row r="9" spans="2:3" x14ac:dyDescent="0.25">
      <c r="B9" s="55">
        <v>8</v>
      </c>
      <c r="C9" s="57" t="s">
        <v>282</v>
      </c>
    </row>
    <row r="10" spans="2:3" x14ac:dyDescent="0.25">
      <c r="B10" s="55">
        <v>9</v>
      </c>
      <c r="C10" s="57" t="s">
        <v>283</v>
      </c>
    </row>
    <row r="11" spans="2:3" x14ac:dyDescent="0.25">
      <c r="B11" s="55">
        <v>10</v>
      </c>
      <c r="C11" s="57" t="s">
        <v>284</v>
      </c>
    </row>
    <row r="12" spans="2:3" x14ac:dyDescent="0.25">
      <c r="B12" s="55">
        <v>11</v>
      </c>
      <c r="C12" s="57" t="s">
        <v>285</v>
      </c>
    </row>
    <row r="13" spans="2:3" x14ac:dyDescent="0.25">
      <c r="B13" s="55">
        <v>12</v>
      </c>
      <c r="C13" s="57" t="s">
        <v>286</v>
      </c>
    </row>
    <row r="14" spans="2:3" x14ac:dyDescent="0.25">
      <c r="B14" s="55">
        <v>13</v>
      </c>
      <c r="C14" s="57" t="s">
        <v>287</v>
      </c>
    </row>
    <row r="15" spans="2:3" x14ac:dyDescent="0.25">
      <c r="B15" s="55">
        <v>14</v>
      </c>
      <c r="C15" s="57" t="s">
        <v>277</v>
      </c>
    </row>
    <row r="16" spans="2:3" x14ac:dyDescent="0.25">
      <c r="B16" s="55">
        <v>15</v>
      </c>
      <c r="C16" s="57" t="s">
        <v>289</v>
      </c>
    </row>
    <row r="17" spans="2:3" ht="31.5" customHeight="1" x14ac:dyDescent="0.25">
      <c r="B17" s="61">
        <v>16</v>
      </c>
      <c r="C17" s="63" t="s">
        <v>290</v>
      </c>
    </row>
    <row r="18" spans="2:3" x14ac:dyDescent="0.25">
      <c r="B18" s="62">
        <v>17</v>
      </c>
      <c r="C18" s="63" t="s">
        <v>291</v>
      </c>
    </row>
    <row r="19" spans="2:3" x14ac:dyDescent="0.25">
      <c r="B19" s="61">
        <v>18</v>
      </c>
      <c r="C19" s="55" t="s">
        <v>292</v>
      </c>
    </row>
    <row r="20" spans="2:3" x14ac:dyDescent="0.25">
      <c r="B20" s="62">
        <v>19</v>
      </c>
      <c r="C20" s="55" t="s">
        <v>293</v>
      </c>
    </row>
    <row r="21" spans="2:3" x14ac:dyDescent="0.25">
      <c r="B21" s="64">
        <v>20</v>
      </c>
      <c r="C21" s="55" t="s">
        <v>294</v>
      </c>
    </row>
    <row r="22" spans="2:3" x14ac:dyDescent="0.25">
      <c r="B22" s="62">
        <v>21</v>
      </c>
      <c r="C22" s="55" t="s">
        <v>292</v>
      </c>
    </row>
    <row r="23" spans="2:3" s="72" customFormat="1" ht="29.25" customHeight="1" x14ac:dyDescent="0.25">
      <c r="B23" s="71">
        <v>22</v>
      </c>
      <c r="C23" s="58" t="s">
        <v>321</v>
      </c>
    </row>
    <row r="24" spans="2:3" s="72" customFormat="1" ht="30.75" customHeight="1" x14ac:dyDescent="0.25">
      <c r="B24" s="73">
        <v>23</v>
      </c>
      <c r="C24" s="58" t="s">
        <v>322</v>
      </c>
    </row>
    <row r="25" spans="2:3" x14ac:dyDescent="0.25">
      <c r="B25" s="64">
        <v>24</v>
      </c>
      <c r="C25" s="55" t="s">
        <v>325</v>
      </c>
    </row>
    <row r="26" spans="2:3" x14ac:dyDescent="0.25">
      <c r="B26" s="62">
        <v>25</v>
      </c>
      <c r="C26" s="55" t="s">
        <v>323</v>
      </c>
    </row>
    <row r="27" spans="2:3" x14ac:dyDescent="0.25">
      <c r="B27" s="73">
        <v>26</v>
      </c>
      <c r="C27" s="64" t="s">
        <v>324</v>
      </c>
    </row>
    <row r="28" spans="2:3" x14ac:dyDescent="0.25">
      <c r="B28" s="74">
        <v>27</v>
      </c>
      <c r="C28" s="55"/>
    </row>
    <row r="29" spans="2:3" x14ac:dyDescent="0.25">
      <c r="B29" s="62">
        <v>28</v>
      </c>
      <c r="C29" s="55"/>
    </row>
    <row r="30" spans="2:3" x14ac:dyDescent="0.25">
      <c r="B30" s="73">
        <v>29</v>
      </c>
      <c r="C30" s="55"/>
    </row>
    <row r="31" spans="2:3" x14ac:dyDescent="0.25">
      <c r="B31" s="74">
        <v>30</v>
      </c>
      <c r="C31" s="55"/>
    </row>
    <row r="32" spans="2:3" x14ac:dyDescent="0.25">
      <c r="B32" s="62">
        <v>31</v>
      </c>
      <c r="C32" s="55"/>
    </row>
    <row r="33" spans="2:3" x14ac:dyDescent="0.25">
      <c r="B33" s="73">
        <v>32</v>
      </c>
      <c r="C33" s="55"/>
    </row>
    <row r="34" spans="2:3" x14ac:dyDescent="0.25">
      <c r="B34" s="74">
        <v>33</v>
      </c>
      <c r="C34" s="55"/>
    </row>
    <row r="35" spans="2:3" x14ac:dyDescent="0.25">
      <c r="B35" s="62">
        <v>34</v>
      </c>
      <c r="C35"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40625" defaultRowHeight="15" x14ac:dyDescent="0.25"/>
  <cols>
    <col min="1" max="1" width="9.140625" style="50"/>
    <col min="2" max="2" width="12.28515625" style="50" customWidth="1"/>
    <col min="3" max="16384" width="9.140625" style="50"/>
  </cols>
  <sheetData>
    <row r="2" spans="1:12" x14ac:dyDescent="0.25">
      <c r="B2" s="65" t="s">
        <v>295</v>
      </c>
      <c r="C2" s="261"/>
      <c r="D2" s="261"/>
    </row>
    <row r="3" spans="1:12" x14ac:dyDescent="0.25">
      <c r="D3" s="66"/>
      <c r="E3" s="66"/>
      <c r="F3" s="66"/>
      <c r="G3" s="66"/>
      <c r="H3" s="66"/>
      <c r="I3" s="66"/>
    </row>
    <row r="4" spans="1:12" x14ac:dyDescent="0.25">
      <c r="A4" s="65" t="s">
        <v>65</v>
      </c>
      <c r="B4" s="67" t="s">
        <v>296</v>
      </c>
      <c r="C4" s="262" t="s">
        <v>297</v>
      </c>
      <c r="D4" s="262"/>
      <c r="E4" s="262"/>
      <c r="F4" s="67"/>
      <c r="G4" s="263" t="s">
        <v>298</v>
      </c>
      <c r="H4" s="263"/>
      <c r="I4" s="263"/>
      <c r="J4" s="264" t="s">
        <v>299</v>
      </c>
      <c r="K4" s="264"/>
      <c r="L4" s="264"/>
    </row>
    <row r="5" spans="1:12" x14ac:dyDescent="0.25">
      <c r="A5" s="65"/>
      <c r="B5" s="67"/>
      <c r="C5" s="67" t="s">
        <v>300</v>
      </c>
      <c r="D5" s="67" t="s">
        <v>301</v>
      </c>
      <c r="E5" s="67" t="s">
        <v>302</v>
      </c>
      <c r="F5" s="67"/>
      <c r="G5" s="67" t="s">
        <v>300</v>
      </c>
      <c r="H5" s="67" t="s">
        <v>301</v>
      </c>
      <c r="I5" s="67" t="s">
        <v>302</v>
      </c>
      <c r="J5" s="67" t="s">
        <v>300</v>
      </c>
      <c r="K5" s="67" t="s">
        <v>301</v>
      </c>
      <c r="L5" s="67" t="s">
        <v>302</v>
      </c>
    </row>
    <row r="6" spans="1:12" x14ac:dyDescent="0.25">
      <c r="B6" s="51" t="s">
        <v>303</v>
      </c>
      <c r="C6" s="51"/>
      <c r="D6" s="51"/>
      <c r="E6" s="51">
        <f>C6*D6</f>
        <v>0</v>
      </c>
      <c r="F6" s="51" t="s">
        <v>320</v>
      </c>
      <c r="G6" s="51"/>
      <c r="H6" s="51"/>
      <c r="I6" s="51">
        <f>G6*H6</f>
        <v>0</v>
      </c>
      <c r="J6" s="51"/>
      <c r="K6" s="51"/>
      <c r="L6" s="51">
        <f>J6*K6</f>
        <v>0</v>
      </c>
    </row>
    <row r="7" spans="1:12" x14ac:dyDescent="0.25">
      <c r="B7" s="51"/>
      <c r="C7" s="51"/>
      <c r="D7" s="51"/>
      <c r="E7" s="51">
        <f t="shared" ref="E7:E41" si="0">C7*D7</f>
        <v>0</v>
      </c>
      <c r="F7" s="51" t="s">
        <v>320</v>
      </c>
      <c r="G7" s="51"/>
      <c r="H7" s="51"/>
      <c r="I7" s="51">
        <f t="shared" ref="I7:I35" si="1">G7*H7</f>
        <v>0</v>
      </c>
      <c r="J7" s="51"/>
      <c r="K7" s="51"/>
      <c r="L7" s="51">
        <f t="shared" ref="L7:L35" si="2">J7*K7</f>
        <v>0</v>
      </c>
    </row>
    <row r="8" spans="1:12" x14ac:dyDescent="0.25">
      <c r="B8" s="51"/>
      <c r="C8" s="51"/>
      <c r="D8" s="51"/>
      <c r="E8" s="51">
        <f t="shared" si="0"/>
        <v>0</v>
      </c>
      <c r="F8" s="51"/>
      <c r="G8" s="51"/>
      <c r="H8" s="51"/>
      <c r="I8" s="51">
        <f t="shared" si="1"/>
        <v>0</v>
      </c>
      <c r="J8" s="51"/>
      <c r="K8" s="51"/>
      <c r="L8" s="51">
        <f t="shared" si="2"/>
        <v>0</v>
      </c>
    </row>
    <row r="9" spans="1:12" x14ac:dyDescent="0.25">
      <c r="B9" s="51"/>
      <c r="C9" s="51"/>
      <c r="D9" s="51"/>
      <c r="E9" s="51">
        <f t="shared" si="0"/>
        <v>0</v>
      </c>
      <c r="F9" s="51" t="s">
        <v>304</v>
      </c>
      <c r="G9" s="51"/>
      <c r="H9" s="51"/>
      <c r="I9" s="51">
        <f t="shared" si="1"/>
        <v>0</v>
      </c>
      <c r="J9" s="51"/>
      <c r="K9" s="51"/>
      <c r="L9" s="51">
        <f t="shared" si="2"/>
        <v>0</v>
      </c>
    </row>
    <row r="10" spans="1:12" x14ac:dyDescent="0.25">
      <c r="B10" s="51" t="s">
        <v>305</v>
      </c>
      <c r="C10" s="51"/>
      <c r="D10" s="51"/>
      <c r="E10" s="51">
        <f t="shared" si="0"/>
        <v>0</v>
      </c>
      <c r="F10" s="51" t="s">
        <v>304</v>
      </c>
      <c r="G10" s="51"/>
      <c r="H10" s="51"/>
      <c r="I10" s="51">
        <f t="shared" si="1"/>
        <v>0</v>
      </c>
      <c r="J10" s="51"/>
      <c r="K10" s="51"/>
      <c r="L10" s="51">
        <f t="shared" si="2"/>
        <v>0</v>
      </c>
    </row>
    <row r="11" spans="1:12" x14ac:dyDescent="0.25">
      <c r="B11" s="51"/>
      <c r="C11" s="51"/>
      <c r="D11" s="51"/>
      <c r="E11" s="51">
        <f t="shared" si="0"/>
        <v>0</v>
      </c>
      <c r="F11" s="51" t="s">
        <v>306</v>
      </c>
      <c r="G11" s="51"/>
      <c r="H11" s="51"/>
      <c r="I11" s="51">
        <f t="shared" si="1"/>
        <v>0</v>
      </c>
      <c r="J11" s="51"/>
      <c r="K11" s="51"/>
      <c r="L11" s="51">
        <f t="shared" si="2"/>
        <v>0</v>
      </c>
    </row>
    <row r="12" spans="1:12" x14ac:dyDescent="0.25">
      <c r="B12" s="51"/>
      <c r="C12" s="51"/>
      <c r="D12" s="51"/>
      <c r="E12" s="51">
        <f t="shared" si="0"/>
        <v>0</v>
      </c>
      <c r="F12" s="51"/>
      <c r="G12" s="51"/>
      <c r="H12" s="51"/>
      <c r="I12" s="51">
        <f t="shared" si="1"/>
        <v>0</v>
      </c>
      <c r="J12" s="51"/>
      <c r="K12" s="51"/>
      <c r="L12" s="51">
        <f t="shared" si="2"/>
        <v>0</v>
      </c>
    </row>
    <row r="13" spans="1:12" x14ac:dyDescent="0.25">
      <c r="B13" s="51"/>
      <c r="C13" s="51"/>
      <c r="D13" s="51"/>
      <c r="E13" s="51">
        <f t="shared" si="0"/>
        <v>0</v>
      </c>
      <c r="F13" s="51"/>
      <c r="G13" s="51"/>
      <c r="H13" s="51"/>
      <c r="I13" s="51">
        <f t="shared" si="1"/>
        <v>0</v>
      </c>
      <c r="J13" s="51"/>
      <c r="K13" s="51"/>
      <c r="L13" s="51">
        <f t="shared" si="2"/>
        <v>0</v>
      </c>
    </row>
    <row r="14" spans="1:12" x14ac:dyDescent="0.25">
      <c r="B14" s="51" t="s">
        <v>307</v>
      </c>
      <c r="C14" s="51"/>
      <c r="D14" s="51"/>
      <c r="E14" s="51">
        <f t="shared" si="0"/>
        <v>0</v>
      </c>
      <c r="F14" s="51" t="s">
        <v>304</v>
      </c>
      <c r="G14" s="51"/>
      <c r="H14" s="51"/>
      <c r="I14" s="51">
        <f t="shared" si="1"/>
        <v>0</v>
      </c>
      <c r="J14" s="51"/>
      <c r="K14" s="51"/>
      <c r="L14" s="51">
        <f t="shared" si="2"/>
        <v>0</v>
      </c>
    </row>
    <row r="15" spans="1:12" x14ac:dyDescent="0.25">
      <c r="B15" s="51"/>
      <c r="C15" s="51"/>
      <c r="D15" s="51"/>
      <c r="E15" s="51">
        <f t="shared" si="0"/>
        <v>0</v>
      </c>
      <c r="F15" s="51" t="s">
        <v>306</v>
      </c>
      <c r="G15" s="51"/>
      <c r="H15" s="51"/>
      <c r="I15" s="51">
        <f t="shared" si="1"/>
        <v>0</v>
      </c>
      <c r="J15" s="51"/>
      <c r="K15" s="51"/>
      <c r="L15" s="51">
        <f t="shared" si="2"/>
        <v>0</v>
      </c>
    </row>
    <row r="16" spans="1:12" x14ac:dyDescent="0.25">
      <c r="B16" s="51"/>
      <c r="C16" s="51"/>
      <c r="D16" s="51"/>
      <c r="E16" s="51">
        <f t="shared" si="0"/>
        <v>0</v>
      </c>
      <c r="F16" s="51"/>
      <c r="G16" s="51"/>
      <c r="H16" s="51"/>
      <c r="I16" s="51">
        <f t="shared" si="1"/>
        <v>0</v>
      </c>
      <c r="J16" s="51"/>
      <c r="K16" s="51"/>
      <c r="L16" s="51">
        <f t="shared" si="2"/>
        <v>0</v>
      </c>
    </row>
    <row r="17" spans="2:12" x14ac:dyDescent="0.25">
      <c r="B17" s="51"/>
      <c r="C17" s="51"/>
      <c r="D17" s="51"/>
      <c r="E17" s="51">
        <f t="shared" si="0"/>
        <v>0</v>
      </c>
      <c r="F17" s="51"/>
      <c r="G17" s="51"/>
      <c r="H17" s="51"/>
      <c r="I17" s="51">
        <f t="shared" si="1"/>
        <v>0</v>
      </c>
      <c r="J17" s="51"/>
      <c r="K17" s="51"/>
      <c r="L17" s="51">
        <f t="shared" si="2"/>
        <v>0</v>
      </c>
    </row>
    <row r="18" spans="2:12" x14ac:dyDescent="0.25">
      <c r="B18" s="51" t="s">
        <v>308</v>
      </c>
      <c r="C18" s="51"/>
      <c r="D18" s="51"/>
      <c r="E18" s="51">
        <f t="shared" si="0"/>
        <v>0</v>
      </c>
      <c r="F18" s="51" t="s">
        <v>304</v>
      </c>
      <c r="G18" s="51"/>
      <c r="H18" s="51"/>
      <c r="I18" s="51">
        <f t="shared" si="1"/>
        <v>0</v>
      </c>
      <c r="J18" s="51"/>
      <c r="K18" s="51"/>
      <c r="L18" s="51">
        <f t="shared" si="2"/>
        <v>0</v>
      </c>
    </row>
    <row r="19" spans="2:12" x14ac:dyDescent="0.25">
      <c r="B19" s="51"/>
      <c r="C19" s="51"/>
      <c r="D19" s="51"/>
      <c r="E19" s="51">
        <f t="shared" si="0"/>
        <v>0</v>
      </c>
      <c r="F19" s="51" t="s">
        <v>306</v>
      </c>
      <c r="G19" s="51"/>
      <c r="H19" s="51"/>
      <c r="I19" s="51">
        <f t="shared" si="1"/>
        <v>0</v>
      </c>
      <c r="J19" s="51"/>
      <c r="K19" s="51"/>
      <c r="L19" s="51">
        <f t="shared" si="2"/>
        <v>0</v>
      </c>
    </row>
    <row r="20" spans="2:12" x14ac:dyDescent="0.25">
      <c r="B20" s="51"/>
      <c r="C20" s="51"/>
      <c r="D20" s="51"/>
      <c r="E20" s="51">
        <f t="shared" si="0"/>
        <v>0</v>
      </c>
      <c r="F20" s="51"/>
      <c r="G20" s="51"/>
      <c r="H20" s="51"/>
      <c r="I20" s="51">
        <f t="shared" si="1"/>
        <v>0</v>
      </c>
      <c r="J20" s="51"/>
      <c r="K20" s="51"/>
      <c r="L20" s="51">
        <f t="shared" si="2"/>
        <v>0</v>
      </c>
    </row>
    <row r="21" spans="2:12" x14ac:dyDescent="0.25">
      <c r="B21" s="51" t="s">
        <v>309</v>
      </c>
      <c r="C21" s="51"/>
      <c r="D21" s="51"/>
      <c r="E21" s="51">
        <f t="shared" si="0"/>
        <v>0</v>
      </c>
      <c r="F21" s="51" t="s">
        <v>304</v>
      </c>
      <c r="G21" s="51"/>
      <c r="H21" s="51"/>
      <c r="I21" s="51">
        <f t="shared" si="1"/>
        <v>0</v>
      </c>
      <c r="J21" s="51"/>
      <c r="K21" s="51"/>
      <c r="L21" s="51">
        <f t="shared" si="2"/>
        <v>0</v>
      </c>
    </row>
    <row r="22" spans="2:12" x14ac:dyDescent="0.25">
      <c r="B22" s="51"/>
      <c r="C22" s="51"/>
      <c r="D22" s="51"/>
      <c r="E22" s="51">
        <f t="shared" si="0"/>
        <v>0</v>
      </c>
      <c r="F22" s="51" t="s">
        <v>306</v>
      </c>
      <c r="G22" s="51"/>
      <c r="H22" s="51"/>
      <c r="I22" s="51">
        <f t="shared" si="1"/>
        <v>0</v>
      </c>
      <c r="J22" s="51"/>
      <c r="K22" s="51"/>
      <c r="L22" s="51">
        <f t="shared" si="2"/>
        <v>0</v>
      </c>
    </row>
    <row r="23" spans="2:12" x14ac:dyDescent="0.25">
      <c r="B23" s="51"/>
      <c r="C23" s="51"/>
      <c r="D23" s="51"/>
      <c r="E23" s="51">
        <f t="shared" si="0"/>
        <v>0</v>
      </c>
      <c r="F23" s="51"/>
      <c r="G23" s="51"/>
      <c r="H23" s="51"/>
      <c r="I23" s="51">
        <f t="shared" si="1"/>
        <v>0</v>
      </c>
      <c r="J23" s="51"/>
      <c r="K23" s="51"/>
      <c r="L23" s="51">
        <f t="shared" si="2"/>
        <v>0</v>
      </c>
    </row>
    <row r="24" spans="2:12" x14ac:dyDescent="0.25">
      <c r="B24" s="51" t="s">
        <v>310</v>
      </c>
      <c r="C24" s="51"/>
      <c r="D24" s="51"/>
      <c r="E24" s="51">
        <f t="shared" si="0"/>
        <v>0</v>
      </c>
      <c r="F24" s="51" t="s">
        <v>311</v>
      </c>
      <c r="G24" s="51"/>
      <c r="H24" s="51"/>
      <c r="I24" s="51">
        <f t="shared" si="1"/>
        <v>0</v>
      </c>
      <c r="J24" s="51"/>
      <c r="K24" s="51"/>
      <c r="L24" s="51">
        <f t="shared" si="2"/>
        <v>0</v>
      </c>
    </row>
    <row r="25" spans="2:12" x14ac:dyDescent="0.25">
      <c r="B25" s="51"/>
      <c r="C25" s="51"/>
      <c r="D25" s="51"/>
      <c r="E25" s="51">
        <f t="shared" ref="E25:E27" si="3">C25*D25</f>
        <v>0</v>
      </c>
      <c r="F25" s="51" t="s">
        <v>311</v>
      </c>
      <c r="G25" s="51"/>
      <c r="H25" s="51"/>
      <c r="I25" s="51">
        <f t="shared" ref="I25:I27" si="4">G25*H25</f>
        <v>0</v>
      </c>
      <c r="J25" s="51"/>
      <c r="K25" s="51"/>
      <c r="L25" s="51">
        <f t="shared" ref="L25:L27" si="5">J25*K25</f>
        <v>0</v>
      </c>
    </row>
    <row r="26" spans="2:12" x14ac:dyDescent="0.25">
      <c r="B26" s="51"/>
      <c r="C26" s="51"/>
      <c r="D26" s="51"/>
      <c r="E26" s="51">
        <f t="shared" si="3"/>
        <v>0</v>
      </c>
      <c r="F26" s="51" t="s">
        <v>311</v>
      </c>
      <c r="G26" s="51"/>
      <c r="H26" s="51"/>
      <c r="I26" s="51">
        <f t="shared" si="4"/>
        <v>0</v>
      </c>
      <c r="J26" s="51"/>
      <c r="K26" s="51"/>
      <c r="L26" s="51">
        <f t="shared" si="5"/>
        <v>0</v>
      </c>
    </row>
    <row r="27" spans="2:12" x14ac:dyDescent="0.25">
      <c r="B27" s="51"/>
      <c r="C27" s="51"/>
      <c r="D27" s="51"/>
      <c r="E27" s="51">
        <f t="shared" si="3"/>
        <v>0</v>
      </c>
      <c r="F27" s="51" t="s">
        <v>311</v>
      </c>
      <c r="G27" s="51"/>
      <c r="H27" s="51"/>
      <c r="I27" s="51">
        <f t="shared" si="4"/>
        <v>0</v>
      </c>
      <c r="J27" s="51"/>
      <c r="K27" s="51"/>
      <c r="L27" s="51">
        <f t="shared" si="5"/>
        <v>0</v>
      </c>
    </row>
    <row r="28" spans="2:12" x14ac:dyDescent="0.25">
      <c r="B28" s="51" t="s">
        <v>312</v>
      </c>
      <c r="C28" s="51"/>
      <c r="D28" s="51"/>
      <c r="E28" s="51">
        <f t="shared" si="0"/>
        <v>0</v>
      </c>
      <c r="F28" s="51" t="s">
        <v>311</v>
      </c>
      <c r="G28" s="51"/>
      <c r="H28" s="51"/>
      <c r="I28" s="51">
        <f t="shared" si="1"/>
        <v>0</v>
      </c>
      <c r="J28" s="51"/>
      <c r="K28" s="51"/>
      <c r="L28" s="51">
        <f t="shared" si="2"/>
        <v>0</v>
      </c>
    </row>
    <row r="29" spans="2:12" x14ac:dyDescent="0.25">
      <c r="B29" s="51" t="s">
        <v>313</v>
      </c>
      <c r="C29" s="51"/>
      <c r="D29" s="51"/>
      <c r="E29" s="51">
        <f t="shared" si="0"/>
        <v>0</v>
      </c>
      <c r="F29" s="51" t="s">
        <v>311</v>
      </c>
      <c r="G29" s="51"/>
      <c r="H29" s="51"/>
      <c r="I29" s="51">
        <f t="shared" si="1"/>
        <v>0</v>
      </c>
      <c r="J29" s="51"/>
      <c r="K29" s="51"/>
      <c r="L29" s="51">
        <f t="shared" si="2"/>
        <v>0</v>
      </c>
    </row>
    <row r="30" spans="2:12" x14ac:dyDescent="0.25">
      <c r="B30" s="51" t="s">
        <v>317</v>
      </c>
      <c r="C30" s="51"/>
      <c r="D30" s="51"/>
      <c r="E30" s="51">
        <f t="shared" si="0"/>
        <v>0</v>
      </c>
      <c r="F30" s="51"/>
      <c r="G30" s="51"/>
      <c r="H30" s="51"/>
      <c r="I30" s="51">
        <f t="shared" si="1"/>
        <v>0</v>
      </c>
      <c r="J30" s="51"/>
      <c r="K30" s="51"/>
      <c r="L30" s="51">
        <f t="shared" si="2"/>
        <v>0</v>
      </c>
    </row>
    <row r="31" spans="2:12" x14ac:dyDescent="0.25">
      <c r="B31" s="51"/>
      <c r="C31" s="51"/>
      <c r="D31" s="51"/>
      <c r="E31" s="51">
        <f t="shared" ref="E31:E32" si="6">C31*D31</f>
        <v>0</v>
      </c>
      <c r="F31" s="51"/>
      <c r="G31" s="51"/>
      <c r="H31" s="51"/>
      <c r="I31" s="51">
        <f t="shared" ref="I31:I32" si="7">G31*H31</f>
        <v>0</v>
      </c>
      <c r="J31" s="51"/>
      <c r="K31" s="51"/>
      <c r="L31" s="51">
        <f t="shared" ref="L31:L32" si="8">J31*K31</f>
        <v>0</v>
      </c>
    </row>
    <row r="32" spans="2:12" x14ac:dyDescent="0.25">
      <c r="B32" s="51"/>
      <c r="C32" s="51"/>
      <c r="D32" s="51"/>
      <c r="E32" s="51">
        <f t="shared" si="6"/>
        <v>0</v>
      </c>
      <c r="F32" s="51"/>
      <c r="G32" s="51"/>
      <c r="H32" s="51"/>
      <c r="I32" s="51">
        <f t="shared" si="7"/>
        <v>0</v>
      </c>
      <c r="J32" s="51"/>
      <c r="K32" s="51"/>
      <c r="L32" s="51">
        <f t="shared" si="8"/>
        <v>0</v>
      </c>
    </row>
    <row r="33" spans="2:12" x14ac:dyDescent="0.25">
      <c r="B33" s="51" t="s">
        <v>314</v>
      </c>
      <c r="C33" s="51"/>
      <c r="D33" s="51"/>
      <c r="E33" s="51">
        <f t="shared" si="0"/>
        <v>0</v>
      </c>
      <c r="F33" s="51"/>
      <c r="G33" s="51"/>
      <c r="H33" s="51"/>
      <c r="I33" s="51">
        <f t="shared" si="1"/>
        <v>0</v>
      </c>
      <c r="J33" s="51"/>
      <c r="K33" s="51"/>
      <c r="L33" s="51">
        <f t="shared" si="2"/>
        <v>0</v>
      </c>
    </row>
    <row r="34" spans="2:12" x14ac:dyDescent="0.25">
      <c r="B34" s="51" t="s">
        <v>318</v>
      </c>
      <c r="C34" s="51"/>
      <c r="D34" s="51"/>
      <c r="E34" s="51">
        <f t="shared" si="0"/>
        <v>0</v>
      </c>
      <c r="F34" s="51"/>
      <c r="G34" s="51"/>
      <c r="H34" s="51"/>
      <c r="I34" s="51">
        <f t="shared" si="1"/>
        <v>0</v>
      </c>
      <c r="J34" s="51"/>
      <c r="K34" s="51"/>
      <c r="L34" s="51">
        <f t="shared" si="2"/>
        <v>0</v>
      </c>
    </row>
    <row r="35" spans="2:12" x14ac:dyDescent="0.25">
      <c r="B35" s="51" t="s">
        <v>315</v>
      </c>
      <c r="C35" s="51"/>
      <c r="D35" s="51"/>
      <c r="E35" s="51">
        <f t="shared" si="0"/>
        <v>0</v>
      </c>
      <c r="F35" s="51"/>
      <c r="G35" s="51"/>
      <c r="H35" s="51"/>
      <c r="I35" s="51">
        <f t="shared" si="1"/>
        <v>0</v>
      </c>
      <c r="J35" s="51"/>
      <c r="K35" s="51"/>
      <c r="L35" s="51">
        <f t="shared" si="2"/>
        <v>0</v>
      </c>
    </row>
    <row r="36" spans="2:12" x14ac:dyDescent="0.25">
      <c r="B36" s="51" t="s">
        <v>316</v>
      </c>
      <c r="C36" s="51"/>
      <c r="D36" s="51"/>
      <c r="E36" s="51">
        <f t="shared" si="0"/>
        <v>0</v>
      </c>
      <c r="F36" s="51"/>
      <c r="G36" s="51"/>
      <c r="H36" s="51"/>
      <c r="I36" s="51">
        <f>G36*H36</f>
        <v>0</v>
      </c>
      <c r="J36" s="51"/>
      <c r="K36" s="51"/>
      <c r="L36" s="51">
        <f>J36*K36</f>
        <v>0</v>
      </c>
    </row>
    <row r="37" spans="2:12" x14ac:dyDescent="0.25">
      <c r="B37" s="51"/>
      <c r="C37" s="51"/>
      <c r="D37" s="51"/>
      <c r="E37" s="51">
        <f t="shared" ref="E37:E38" si="9">C37*D37</f>
        <v>0</v>
      </c>
      <c r="F37" s="51"/>
      <c r="G37" s="51"/>
      <c r="H37" s="51"/>
      <c r="I37" s="51">
        <f t="shared" ref="I37:I38" si="10">G37*H37</f>
        <v>0</v>
      </c>
      <c r="J37" s="51"/>
      <c r="K37" s="51"/>
      <c r="L37" s="51">
        <f t="shared" ref="L37:L38" si="11">J37*K37</f>
        <v>0</v>
      </c>
    </row>
    <row r="38" spans="2:12" x14ac:dyDescent="0.25">
      <c r="B38" s="51" t="s">
        <v>319</v>
      </c>
      <c r="C38" s="51"/>
      <c r="D38" s="51"/>
      <c r="E38" s="51">
        <f t="shared" si="9"/>
        <v>0</v>
      </c>
      <c r="F38" s="51"/>
      <c r="G38" s="51"/>
      <c r="H38" s="51"/>
      <c r="I38" s="51">
        <f t="shared" si="10"/>
        <v>0</v>
      </c>
      <c r="J38" s="51"/>
      <c r="K38" s="51"/>
      <c r="L38" s="51">
        <f t="shared" si="11"/>
        <v>0</v>
      </c>
    </row>
    <row r="39" spans="2:12" x14ac:dyDescent="0.25">
      <c r="B39" s="51"/>
      <c r="C39" s="51"/>
      <c r="D39" s="51"/>
      <c r="E39" s="51">
        <f t="shared" si="0"/>
        <v>0</v>
      </c>
      <c r="F39" s="51"/>
      <c r="G39" s="51"/>
      <c r="H39" s="51"/>
      <c r="I39" s="51">
        <f>G39*H39</f>
        <v>0</v>
      </c>
      <c r="J39" s="51"/>
      <c r="K39" s="51"/>
      <c r="L39" s="51">
        <f>J39*K39</f>
        <v>0</v>
      </c>
    </row>
    <row r="40" spans="2:12" x14ac:dyDescent="0.25">
      <c r="B40" s="51"/>
      <c r="C40" s="51"/>
      <c r="D40" s="51"/>
      <c r="E40" s="51">
        <f t="shared" si="0"/>
        <v>0</v>
      </c>
      <c r="F40" s="51"/>
      <c r="G40" s="51"/>
      <c r="H40" s="51"/>
      <c r="I40" s="51">
        <f>G40*H40</f>
        <v>0</v>
      </c>
      <c r="J40" s="51"/>
      <c r="K40" s="51"/>
      <c r="L40" s="51">
        <f>J40*K40</f>
        <v>0</v>
      </c>
    </row>
    <row r="41" spans="2:12" x14ac:dyDescent="0.25">
      <c r="B41" s="51"/>
      <c r="C41" s="51"/>
      <c r="D41" s="51"/>
      <c r="E41" s="51">
        <f t="shared" si="0"/>
        <v>0</v>
      </c>
      <c r="F41" s="51"/>
      <c r="G41" s="51"/>
      <c r="H41" s="51"/>
      <c r="I41" s="51">
        <f>G41*H41</f>
        <v>0</v>
      </c>
      <c r="J41" s="51"/>
      <c r="K41" s="51"/>
      <c r="L41" s="51">
        <f>J41*K41</f>
        <v>0</v>
      </c>
    </row>
    <row r="42" spans="2:12" x14ac:dyDescent="0.25">
      <c r="B42" s="51" t="s">
        <v>146</v>
      </c>
      <c r="C42" s="51"/>
      <c r="D42" s="51">
        <f>E42*10.764</f>
        <v>0</v>
      </c>
      <c r="E42" s="70">
        <f>SUM(E6:E41)</f>
        <v>0</v>
      </c>
      <c r="F42" s="51"/>
      <c r="G42" s="51"/>
      <c r="H42" s="51">
        <f>I42*10.764</f>
        <v>0</v>
      </c>
      <c r="I42" s="69">
        <f>SUM(I6:I41)</f>
        <v>0</v>
      </c>
      <c r="J42" s="51"/>
      <c r="K42" s="51">
        <f>L42*10.764</f>
        <v>0</v>
      </c>
      <c r="L42" s="68">
        <f>SUM(L6:L41)</f>
        <v>0</v>
      </c>
    </row>
    <row r="44" spans="2:12" x14ac:dyDescent="0.25">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2025-09-16T05:43:19Z</cp:lastPrinted>
  <dcterms:created xsi:type="dcterms:W3CDTF">2019-07-16T09:29:46Z</dcterms:created>
  <dcterms:modified xsi:type="dcterms:W3CDTF">2025-09-16T05:45:30Z</dcterms:modified>
</cp:coreProperties>
</file>