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sjadon\common drive\APF\25-26\August 2025\AXIS\NEW\Saurav\16156 - Gladiolus Crown (Query Pending)\"/>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1" l="1"/>
  <c r="L135" i="1" l="1"/>
  <c r="K135" i="1"/>
  <c r="C108" i="1" l="1"/>
  <c r="J145" i="1" l="1"/>
  <c r="J137" i="1"/>
  <c r="K153" i="1"/>
  <c r="J153" i="1"/>
  <c r="I152" i="1"/>
  <c r="E150" i="1"/>
  <c r="E145" i="1"/>
  <c r="I139" i="1"/>
  <c r="G137" i="1"/>
  <c r="I136" i="1"/>
  <c r="I120" i="1"/>
  <c r="I117" i="1"/>
  <c r="C16" i="1"/>
  <c r="C109" i="1" l="1"/>
  <c r="C105" i="1"/>
  <c r="C104" i="1"/>
  <c r="E154" i="1"/>
  <c r="D154" i="1"/>
  <c r="E153" i="1"/>
  <c r="D153" i="1"/>
  <c r="E152" i="1"/>
  <c r="D152" i="1"/>
  <c r="D150" i="1"/>
  <c r="E149" i="1"/>
  <c r="D149" i="1"/>
  <c r="E147" i="1"/>
  <c r="D147" i="1"/>
  <c r="E146" i="1"/>
  <c r="D146" i="1"/>
  <c r="D145" i="1"/>
  <c r="E144" i="1"/>
  <c r="D144" i="1"/>
  <c r="E143" i="1"/>
  <c r="D143" i="1"/>
  <c r="E142" i="1"/>
  <c r="D142" i="1"/>
  <c r="G140" i="1"/>
  <c r="G139" i="1"/>
  <c r="G138" i="1"/>
  <c r="G136" i="1"/>
  <c r="G135" i="1"/>
  <c r="E140" i="1"/>
  <c r="D140" i="1"/>
  <c r="F140" i="1" s="1"/>
  <c r="H140" i="1" s="1"/>
  <c r="E139" i="1"/>
  <c r="D139" i="1"/>
  <c r="E138" i="1"/>
  <c r="D138" i="1"/>
  <c r="E137" i="1"/>
  <c r="D137" i="1"/>
  <c r="E136" i="1"/>
  <c r="D136" i="1"/>
  <c r="E135" i="1"/>
  <c r="D135" i="1"/>
  <c r="D129" i="1"/>
  <c r="D128" i="1"/>
  <c r="F128" i="1" s="1"/>
  <c r="H128" i="1" s="1"/>
  <c r="D127" i="1"/>
  <c r="D126" i="1"/>
  <c r="F126" i="1" s="1"/>
  <c r="H126" i="1" s="1"/>
  <c r="D125" i="1"/>
  <c r="D124" i="1"/>
  <c r="F124" i="1" s="1"/>
  <c r="H124" i="1" s="1"/>
  <c r="D123" i="1"/>
  <c r="D122" i="1"/>
  <c r="D121" i="1"/>
  <c r="D120" i="1"/>
  <c r="D119" i="1"/>
  <c r="D118" i="1"/>
  <c r="D117" i="1"/>
  <c r="I148" i="1"/>
  <c r="I113" i="1"/>
  <c r="I131" i="1"/>
  <c r="I150" i="1"/>
  <c r="I141" i="1"/>
  <c r="I134" i="1"/>
  <c r="I128" i="1"/>
  <c r="F129" i="1"/>
  <c r="H129" i="1" s="1"/>
  <c r="F127" i="1"/>
  <c r="H127" i="1" s="1"/>
  <c r="F125" i="1"/>
  <c r="H125" i="1" s="1"/>
  <c r="F122" i="1"/>
  <c r="H122" i="1" s="1"/>
  <c r="F121" i="1"/>
  <c r="H121" i="1" s="1"/>
  <c r="F123" i="1"/>
  <c r="H123" i="1" s="1"/>
  <c r="D63" i="1"/>
  <c r="F154" i="1" l="1"/>
  <c r="H154" i="1" s="1"/>
  <c r="F147" i="1"/>
  <c r="H147" i="1" s="1"/>
  <c r="F139" i="1"/>
  <c r="H139" i="1" s="1"/>
  <c r="C74" i="1"/>
  <c r="F117" i="1" l="1"/>
  <c r="B38" i="6"/>
  <c r="B39" i="6" s="1"/>
  <c r="B40" i="6" s="1"/>
  <c r="B41" i="6" s="1"/>
  <c r="B42" i="6" s="1"/>
  <c r="B43" i="6" s="1"/>
  <c r="B44" i="6" s="1"/>
  <c r="B45" i="6" s="1"/>
  <c r="B46" i="6" s="1"/>
  <c r="B47" i="6" s="1"/>
  <c r="B48" i="6" s="1"/>
  <c r="B49" i="6" s="1"/>
  <c r="B50" i="6" s="1"/>
  <c r="B51" i="6" s="1"/>
  <c r="B52" i="6" s="1"/>
  <c r="B53" i="6" s="1"/>
  <c r="B54" i="6" s="1"/>
  <c r="H117"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5" i="1"/>
  <c r="B158" i="1"/>
  <c r="B157" i="1"/>
  <c r="F153" i="1"/>
  <c r="H153" i="1" s="1"/>
  <c r="F152" i="1"/>
  <c r="H152" i="1" s="1"/>
  <c r="F150" i="1"/>
  <c r="H150" i="1" s="1"/>
  <c r="F149" i="1"/>
  <c r="H149" i="1" s="1"/>
  <c r="F146" i="1"/>
  <c r="H146" i="1" s="1"/>
  <c r="F145" i="1"/>
  <c r="F144" i="1"/>
  <c r="H144" i="1" s="1"/>
  <c r="F143" i="1"/>
  <c r="H143" i="1" s="1"/>
  <c r="F142" i="1"/>
  <c r="H142" i="1" s="1"/>
  <c r="A143" i="1"/>
  <c r="A144" i="1" s="1"/>
  <c r="A145" i="1" s="1"/>
  <c r="A146" i="1" s="1"/>
  <c r="A147" i="1" s="1"/>
  <c r="F138" i="1"/>
  <c r="H138" i="1" s="1"/>
  <c r="F137" i="1"/>
  <c r="H137" i="1" s="1"/>
  <c r="F136" i="1"/>
  <c r="H136" i="1" s="1"/>
  <c r="A136" i="1"/>
  <c r="A137" i="1" s="1"/>
  <c r="A138" i="1" s="1"/>
  <c r="A139" i="1" s="1"/>
  <c r="A140" i="1" s="1"/>
  <c r="F135" i="1"/>
  <c r="H135" i="1" s="1"/>
  <c r="F120" i="1"/>
  <c r="H120" i="1" s="1"/>
  <c r="F119" i="1"/>
  <c r="H119" i="1" s="1"/>
  <c r="F118" i="1"/>
  <c r="C110" i="1"/>
  <c r="F101" i="1"/>
  <c r="B75" i="1"/>
  <c r="D68" i="1"/>
  <c r="C56" i="1"/>
  <c r="K54" i="1"/>
  <c r="E44" i="1"/>
  <c r="E45" i="1" s="1"/>
  <c r="S33" i="1"/>
  <c r="E31" i="1"/>
  <c r="E28" i="1"/>
  <c r="E26" i="1"/>
  <c r="I15" i="1"/>
  <c r="Z13" i="1"/>
  <c r="E8" i="1"/>
  <c r="E3" i="1"/>
  <c r="B171" i="1" s="1"/>
  <c r="H118" i="1" l="1"/>
  <c r="G104" i="1" s="1"/>
  <c r="G105" i="1" s="1"/>
  <c r="E104" i="1"/>
  <c r="E105" i="1" s="1"/>
  <c r="H145" i="1"/>
  <c r="G108" i="1" s="1"/>
  <c r="G109" i="1" s="1"/>
  <c r="G110" i="1" s="1"/>
  <c r="E108" i="1"/>
  <c r="E109" i="1" s="1"/>
  <c r="E110" i="1" s="1"/>
  <c r="E42" i="7"/>
  <c r="J82" i="1"/>
  <c r="J83" i="1"/>
  <c r="I42" i="7"/>
  <c r="H42" i="7" s="1"/>
  <c r="L42" i="7"/>
  <c r="K42" i="7" s="1"/>
  <c r="D42" i="7"/>
  <c r="L54" i="1"/>
  <c r="J84" i="1"/>
  <c r="J85" i="1"/>
  <c r="I52" i="1"/>
  <c r="H75" i="1"/>
  <c r="C78" i="1" l="1"/>
  <c r="C79" i="1"/>
  <c r="D86" i="1"/>
  <c r="D80" i="1"/>
  <c r="J80" i="1"/>
  <c r="J81" i="1" s="1"/>
  <c r="J86" i="1" s="1"/>
  <c r="J87" i="1" s="1"/>
  <c r="J79" i="1"/>
  <c r="D85" i="1"/>
  <c r="D84" i="1"/>
  <c r="J74" i="1"/>
  <c r="J76" i="1" s="1"/>
  <c r="D83" i="1"/>
  <c r="D87" i="1"/>
  <c r="D81" i="1"/>
  <c r="J78" i="1"/>
  <c r="J77" i="1"/>
  <c r="D82" i="1"/>
  <c r="D44" i="7"/>
  <c r="E44" i="7"/>
  <c r="D78" i="1" l="1"/>
  <c r="E78" i="1"/>
  <c r="G78" i="1"/>
  <c r="D72" i="1" s="1"/>
  <c r="D73" i="1" s="1"/>
  <c r="D79" i="1"/>
  <c r="J75" i="1"/>
  <c r="I75" i="1" l="1"/>
  <c r="I76" i="1" s="1"/>
  <c r="F73" i="1"/>
  <c r="I74" i="1" l="1"/>
  <c r="C7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<sst xmlns="http://schemas.openxmlformats.org/spreadsheetml/2006/main" count="664" uniqueCount="436">
  <si>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</si>
  <si>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</si>
  <si>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</si>
  <si>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</si>
  <si>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</si>
  <si>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</si>
  <si>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</si>
  <si>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</si>
  <si>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</si>
  <si>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</si>
  <si>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</si>
  <si>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</si>
  <si>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</si>
  <si>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</si>
  <si>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</si>
  <si>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</si>
  <si>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</si>
  <si>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</si>
  <si>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</si>
  <si>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</si>
  <si>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</si>
  <si>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</si>
  <si>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</si>
  <si>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</si>
  <si>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</si>
  <si>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</si>
  <si>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</si>
  <si>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</si>
  <si>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</si>
  <si>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</si>
  <si>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</si>
  <si>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</si>
  <si>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</si>
  <si>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</si>
  <si>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</si>
  <si>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</si>
  <si>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</si>
  <si>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</si>
  <si>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</si>
  <si>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</si>
  <si>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</si>
  <si>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</si>
  <si>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</si>
  <si>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</si>
  <si>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</si>
  <si>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</si>
  <si>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</si>
  <si>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</si>
  <si>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</si>
  <si>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</si>
  <si>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</si>
  <si>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</si>
  <si>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</si>
  <si>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</si>
  <si>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</si>
  <si>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</si>
  <si>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</si>
  <si>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</si>
  <si>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</si>
  <si>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</si>
  <si>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</si>
  <si>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</si>
  <si>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</si>
  <si>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</si>
  <si>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</si>
  <si>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</si>
  <si>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</si>
  <si>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</si>
  <si>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</si>
  <si>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</si>
  <si>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</si>
  <si>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</si>
  <si>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</si>
  <si>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</si>
  <si>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</si>
  <si>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</si>
  <si>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</si>
  <si>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</si>
  <si>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</si>
  <si>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</si>
  <si>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</si>
  <si>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</si>
  <si>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</si>
  <si>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</si>
  <si>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</si>
  <si>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</si>
  <si>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</si>
  <si>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</si>
  <si>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</si>
  <si>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</si>
  <si>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</si>
  <si>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</si>
  <si>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</si>
  <si>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</si>
  <si>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</si>
  <si>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</si>
  <si>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</si>
  <si>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</si>
  <si>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</si>
  <si>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</si>
  <si>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</si>
  <si>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</si>
  <si>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</si>
  <si>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</si>
  <si>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</si>
  <si>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</si>
  <si>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</si>
  <si>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</si>
  <si>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</si>
  <si>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</si>
  <si>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</si>
  <si>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</si>
  <si>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</si>
  <si>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</si>
  <si>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</si>
  <si>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</si>
  <si>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</si>
  <si>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</si>
  <si>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</si>
  <si>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</si>
  <si>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</si>
  <si>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</si>
  <si>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</si>
  <si>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</si>
  <si>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</si>
  <si>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</si>
  <si>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</si>
  <si>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</si>
  <si>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</si>
  <si>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</si>
  <si>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</si>
  <si>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</si>
  <si>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</si>
  <si>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</si>
  <si>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</si>
  <si>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</si>
  <si>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</si>
  <si>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</si>
  <si>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</si>
  <si>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</si>
  <si>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</si>
  <si>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</si>
  <si>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</si>
  <si>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</si>
  <si>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</si>
  <si>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</si>
  <si>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</si>
  <si>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</si>
  <si>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</si>
  <si>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</si>
  <si>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</si>
  <si>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</si>
  <si>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</si>
  <si>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</si>
  <si>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</si>
  <si>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</si>
  <si>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</si>
  <si>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</si>
  <si>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</si>
  <si>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</si>
  <si>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</si>
  <si>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</si>
  <si>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</si>
  <si>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</si>
  <si>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</si>
  <si>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</si>
  <si>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</si>
  <si>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</si>
  <si>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</si>
  <si>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</si>
  <si>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</si>
  <si>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</si>
  <si>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</si>
  <si>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</si>
  <si>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</si>
  <si>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</si>
  <si>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</si>
  <si>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</si>
  <si>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</si>
  <si>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</si>
  <si>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</si>
  <si>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</si>
  <si>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</si>
  <si>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</si>
  <si>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</si>
  <si>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</si>
  <si>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</si>
  <si>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</si>
  <si>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</si>
  <si>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</si>
  <si>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</si>
  <si>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</si>
  <si>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</si>
  <si>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</si>
  <si>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</si>
  <si>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</si>
  <si>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</si>
  <si>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</si>
  <si>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</si>
  <si>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</si>
  <si>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</si>
  <si>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</si>
  <si>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</si>
  <si>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</si>
  <si>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</si>
  <si>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</si>
  <si>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</si>
  <si>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</si>
  <si>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</si>
  <si>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</si>
  <si>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</si>
  <si>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</si>
  <si>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</si>
  <si>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</si>
  <si>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</si>
  <si>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</si>
  <si>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</si>
  <si>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</si>
  <si>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</si>
  <si>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</si>
  <si>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</si>
  <si>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</si>
  <si>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</si>
  <si>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</si>
  <si>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</si>
  <si>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</si>
  <si>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</si>
  <si>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</si>
  <si>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</si>
  <si>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</si>
  <si>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</si>
  <si>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</si>
  <si>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</si>
  <si>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</si>
  <si>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</si>
  <si>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</si>
  <si>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</si>
  <si>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</si>
  <si>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</si>
  <si>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</si>
  <si>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</si>
  <si>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</si>
  <si>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</si>
  <si>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</si>
  <si>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</si>
  <si>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</si>
  <si>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</si>
  <si>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</si>
  <si>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</si>
  <si>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</si>
  <si>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</si>
  <si>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</si>
  <si>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</si>
  <si>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</si>
  <si>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</si>
  <si>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</si>
  <si>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</si>
  <si>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</si>
  <si>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</si>
  <si>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</si>
  <si>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</si>
  <si>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</si>
  <si>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</si>
  <si>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</si>
  <si>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</si>
  <si>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</si>
  <si>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</si>
  <si>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</si>
  <si>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</si>
  <si>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</si>
  <si>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</si>
  <si>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</si>
  <si>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</si>
  <si>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</si>
  <si>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</si>
  <si>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</si>
  <si>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</si>
  <si>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</si>
  <si>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</si>
  <si>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</si>
  <si>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</si>
  <si>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</si>
  <si>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</si>
  <si>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</si>
  <si>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</si>
  <si>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</si>
  <si>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</si>
  <si>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</si>
  <si>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</si>
  <si>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</si>
  <si>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</si>
  <si>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</si>
  <si>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</si>
  <si>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</si>
  <si>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</si>
  <si>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</si>
  <si>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</si>
  <si>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</si>
  <si>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</si>
  <si>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</si>
  <si>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</si>
  <si>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</si>
  <si>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</si>
  <si>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</si>
  <si>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</si>
  <si>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</si>
  <si>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</si>
  <si>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</si>
  <si>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</si>
  <si>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</si>
  <si>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</si>
  <si>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</si>
  <si>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</si>
  <si>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</si>
  <si>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</si>
  <si>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</si>
  <si>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</si>
  <si>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</si>
  <si>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</si>
  <si>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</si>
  <si>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</si>
  <si>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</si>
  <si>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</si>
  <si>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</si>
  <si>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</si>
  <si>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</si>
  <si>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</si>
  <si>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</si>
  <si>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</si>
  <si>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</si>
  <si>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</si>
  <si>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</si>
  <si>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</si>
  <si>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</si>
  <si>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</si>
  <si>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</si>
  <si>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</si>
  <si>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</si>
  <si>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</si>
  <si>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</si>
  <si>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</si>
  <si>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</si>
  <si>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</si>
  <si>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</si>
  <si>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</si>
  <si>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</si>
  <si>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</si>
  <si>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</si>
  <si>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</si>
  <si>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</si>
  <si>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</si>
  <si>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</si>
  <si>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</si>
  <si>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</si>
  <si>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</si>
  <si>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</si>
  <si>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</si>
  <si>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</si>
  <si>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</si>
  <si>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</si>
  <si>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</si>
  <si>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</si>
  <si>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</si>
  <si>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</si>
  <si>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</si>
  <si>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</si>
  <si>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</si>
  <si>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</si>
  <si>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</si>
  <si>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</si>
  <si>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</si>
  <si>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</si>
  <si>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</si>
  <si>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</si>
  <si>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</si>
  <si>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</si>
  <si>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</si>
  <si>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</si>
  <si>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Shellproof Realty Private Limited</t>
  </si>
  <si>
    <t>Gladiolus Crown</t>
  </si>
  <si>
    <t>PM1240002500380</t>
  </si>
  <si>
    <t>Gokhiware</t>
  </si>
  <si>
    <t>Survey No</t>
  </si>
  <si>
    <t xml:space="preserve">Refered from Gladiolus Tower </t>
  </si>
  <si>
    <t>19.395846,72.844600</t>
  </si>
  <si>
    <t>https://maps.app.goo.gl/EHMTqmX85ucqPKDDA</t>
  </si>
  <si>
    <t>20.00 M Wide DP Road</t>
  </si>
  <si>
    <t>12.00 M Wide Internal Road</t>
  </si>
  <si>
    <t>Open Plot</t>
  </si>
  <si>
    <t>Veer Savarkar Road</t>
  </si>
  <si>
    <t>Other Plot</t>
  </si>
  <si>
    <t>Internal Road</t>
  </si>
  <si>
    <t>3.90 KM from Vasai Road Railway Station</t>
  </si>
  <si>
    <t>Vasai East</t>
  </si>
  <si>
    <t>Golani Naka</t>
  </si>
  <si>
    <t>01 Wing</t>
  </si>
  <si>
    <t>As per RERA - 31/12/2030</t>
  </si>
  <si>
    <t>Ground Floor For Commercial, Parking, Entrance Lobby &amp; Society Office / Fitness Center</t>
  </si>
  <si>
    <t>Shop</t>
  </si>
  <si>
    <t>1st Floor For Residential</t>
  </si>
  <si>
    <t>1BHK</t>
  </si>
  <si>
    <t>AP + Enclosed Balcony Area</t>
  </si>
  <si>
    <t>2BHK</t>
  </si>
  <si>
    <t>3BHK</t>
  </si>
  <si>
    <t xml:space="preserve"> - </t>
  </si>
  <si>
    <t>Refuge Area</t>
  </si>
  <si>
    <r>
      <t xml:space="preserve">Flat No.
</t>
    </r>
    <r>
      <rPr>
        <b/>
        <sz val="11"/>
        <rFont val="Times New Roman"/>
        <family val="1"/>
      </rPr>
      <t>(Approved Plan)</t>
    </r>
  </si>
  <si>
    <r>
      <t xml:space="preserve">Shop No.
</t>
    </r>
    <r>
      <rPr>
        <b/>
        <sz val="11"/>
        <rFont val="Times New Roman"/>
        <family val="1"/>
      </rPr>
      <t>(Approved Plan)</t>
    </r>
  </si>
  <si>
    <t>Shops</t>
  </si>
  <si>
    <t xml:space="preserve">Flats </t>
  </si>
  <si>
    <t>OK</t>
  </si>
  <si>
    <t>We considered Gross carpet area = Net carpet + AP + Enclosed Balcony Area.</t>
  </si>
  <si>
    <t>Mr. Navnath Bhatkar</t>
  </si>
  <si>
    <t>Work not yet Started.</t>
  </si>
  <si>
    <t>Flats - 135, Shops - 13</t>
  </si>
  <si>
    <r>
      <t xml:space="preserve">Proposed Amenities :                                                                                                                                                                                                                         </t>
    </r>
    <r>
      <rPr>
        <b/>
        <sz val="12"/>
        <rFont val="Times New Roman"/>
        <family val="1"/>
      </rPr>
      <t xml:space="preserve">                                               </t>
    </r>
  </si>
  <si>
    <t>Mr. Suraj 8149607968</t>
  </si>
  <si>
    <t>Building 11 (Wing A)</t>
  </si>
  <si>
    <t>85 H. No. 3B, 7, 9 &amp; 12</t>
  </si>
  <si>
    <t>VVCMC/TP/CC/VP/0329, 0815 &amp; 0509/ 221/2022-23</t>
  </si>
  <si>
    <t>Building 11 (Wing A) = G + 1st to 23rd Floor</t>
  </si>
  <si>
    <t>Fitness Center, Children's Play Area, Vitrified tiles flooring, Granite Kitchen Platform, Decorative Entrance etc.</t>
  </si>
  <si>
    <t>8th, 13th &amp; 19th Floor (Part Refuge Area)</t>
  </si>
  <si>
    <t>2nd to 7th, 9th to 12th, 14th to 18th &amp; 20th to 23rd Floor For Residential</t>
  </si>
  <si>
    <t>Shruti Tathare</t>
  </si>
  <si>
    <t>Not Provided</t>
  </si>
  <si>
    <t>Building No. 11 (Wing A) = G + 1st to 23rd Floor (BUA = 8009.09 Sq. Mtrs &amp; FSI Area = 5005.68 Sq. Mtrs)
No. of Units = 135, No. of Shops = 13</t>
  </si>
  <si>
    <t>We have referred Survey No. from CC &amp; Development Agreement.</t>
  </si>
  <si>
    <t>VVCMC/TP/CC/VP-0329,0815&amp;0509/ 221/2022-23</t>
  </si>
  <si>
    <t>Other Charges</t>
  </si>
  <si>
    <t>Development agree. Taken from IDBI Report</t>
  </si>
  <si>
    <t>Konark Residency</t>
  </si>
  <si>
    <t>Approved area of building (Sq.Mt)
Building No. 11 (Wing A)</t>
  </si>
  <si>
    <t xml:space="preserve">Please check for Fire NOC &amp; Environmental Clearance Certificate.
</t>
  </si>
  <si>
    <t>Please Provide approved layout plan.</t>
  </si>
  <si>
    <t>area statement table referred from CC dtd. 16/2/24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</si>
</sst>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4" fillId="0" borderId="0" xfId="0" applyFont="1" applyAlignment="1">
      <alignment horizontal="center" vertical="center"/>
    </xf>
    <xf numFmtId="1" fontId="11"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7" fillId="0" borderId="1" xfId="0" applyNumberFormat="1" applyFont="1" applyFill="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5" fillId="0" borderId="21"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6" xfId="1" applyFont="1" applyFill="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9" fillId="0" borderId="33"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wrapText="1"/>
      <protection locked="0"/>
    </xf>
    <xf numFmtId="0" fontId="6" fillId="0" borderId="0" xfId="1" applyFont="1" applyAlignment="1">
      <alignment horizontal="center" vertical="center"/>
    </xf>
    <xf numFmtId="1" fontId="9" fillId="0" borderId="33" xfId="0"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14" fillId="0" borderId="8"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11</xdr:col>
      <xdr:colOff>569259</xdr:colOff>
      <xdr:row>19</xdr:row>
      <xdr:rowOff>198343</xdr:rowOff>
    </xdr:from>
    <xdr:to>
      <xdr:col>21</xdr:col>
      <xdr:colOff>124076</xdr:colOff>
      <xdr:row>32</xdr:row>
      <xdr:rowOff>58497</xdr:rowOff>
    </xdr:to>
    <xdr:pic>
      <xdr:nvPicPr>
        <xdr:cNvPr id="2" name="Picture 1"/>
        <xdr:cNvPicPr>
          <a:picLocks noChangeAspect="1"/>
        </xdr:cNvPicPr>
      </xdr:nvPicPr>
      <xdr:blipFill>
        <a:blip xmlns:r="http://schemas.openxmlformats.org/officeDocument/2006/relationships" r:embed="rId1"/>
        <a:stretch>
          <a:fillRect/>
        </a:stretch>
      </xdr:blipFill>
      <xdr:spPr>
        <a:xfrm>
          <a:off x="9556377" y="4803961"/>
          <a:ext cx="6961905" cy="2684036"/>
        </a:xfrm>
        <a:prstGeom prst="rect">
          <a:avLst/>
        </a:prstGeom>
      </xdr:spPr>
    </xdr:pic>
    <xdr:clientData/>
  </xdr:twoCellAnchor>
  <xdr:twoCellAnchor editAs="oneCell">
    <xdr:from>
      <xdr:col>12</xdr:col>
      <xdr:colOff>349063</xdr:colOff>
      <xdr:row>39</xdr:row>
      <xdr:rowOff>179294</xdr:rowOff>
    </xdr:from>
    <xdr:to>
      <xdr:col>17</xdr:col>
      <xdr:colOff>456146</xdr:colOff>
      <xdr:row>52</xdr:row>
      <xdr:rowOff>336288</xdr:rowOff>
    </xdr:to>
    <xdr:pic>
      <xdr:nvPicPr>
        <xdr:cNvPr id="3" name="Picture 2"/>
        <xdr:cNvPicPr>
          <a:picLocks noChangeAspect="1"/>
        </xdr:cNvPicPr>
      </xdr:nvPicPr>
      <xdr:blipFill>
        <a:blip xmlns:r="http://schemas.openxmlformats.org/officeDocument/2006/relationships" r:embed="rId2"/>
        <a:stretch>
          <a:fillRect/>
        </a:stretch>
      </xdr:blipFill>
      <xdr:spPr>
        <a:xfrm>
          <a:off x="10255063" y="9020735"/>
          <a:ext cx="3939495" cy="3608406"/>
        </a:xfrm>
        <a:prstGeom prst="rect">
          <a:avLst/>
        </a:prstGeom>
      </xdr:spPr>
    </xdr:pic>
    <xdr:clientData/>
  </xdr:twoCellAnchor>
  <xdr:twoCellAnchor editAs="oneCell">
    <xdr:from>
      <xdr:col>8</xdr:col>
      <xdr:colOff>723900</xdr:colOff>
      <xdr:row>102</xdr:row>
      <xdr:rowOff>104775</xdr:rowOff>
    </xdr:from>
    <xdr:to>
      <xdr:col>11</xdr:col>
      <xdr:colOff>799756</xdr:colOff>
      <xdr:row>111</xdr:row>
      <xdr:rowOff>179729</xdr:rowOff>
    </xdr:to>
    <xdr:pic>
      <xdr:nvPicPr>
        <xdr:cNvPr id="7" name="Picture 6"/>
        <xdr:cNvPicPr>
          <a:picLocks noChangeAspect="1"/>
        </xdr:cNvPicPr>
      </xdr:nvPicPr>
      <xdr:blipFill>
        <a:blip xmlns:r="http://schemas.openxmlformats.org/officeDocument/2006/relationships" r:embed="rId3"/>
        <a:stretch>
          <a:fillRect/>
        </a:stretch>
      </xdr:blipFill>
      <xdr:spPr>
        <a:xfrm>
          <a:off x="7038975" y="23602950"/>
          <a:ext cx="2752381" cy="1495238"/>
        </a:xfrm>
        <a:prstGeom prst="rect">
          <a:avLst/>
        </a:prstGeom>
      </xdr:spPr>
    </xdr:pic>
    <xdr:clientData/>
  </xdr:twoCellAnchor>
  <xdr:twoCellAnchor>
    <xdr:from>
      <xdr:col>0</xdr:col>
      <xdr:colOff>107909</xdr:colOff>
      <xdr:row>185</xdr:row>
      <xdr:rowOff>152400</xdr:rowOff>
    </xdr:from>
    <xdr:to>
      <xdr:col>7</xdr:col>
      <xdr:colOff>624075</xdr:colOff>
      <xdr:row>219</xdr:row>
      <xdr:rowOff>180975</xdr:rowOff>
    </xdr:to>
    <xdr:grpSp>
      <xdr:nvGrpSpPr>
        <xdr:cNvPr id="20" name="Group 19"/>
        <xdr:cNvGrpSpPr/>
      </xdr:nvGrpSpPr>
      <xdr:grpSpPr>
        <a:xfrm>
          <a:off x="107909" y="36918900"/>
          <a:ext cx="6097816" cy="6819900"/>
          <a:chOff x="208478" y="322085"/>
          <a:chExt cx="6364780" cy="6819900"/>
        </a:xfrm>
      </xdr:grpSpPr>
      <xdr:grpSp>
        <xdr:nvGrpSpPr>
          <xdr:cNvPr id="21" name="Group 20"/>
          <xdr:cNvGrpSpPr/>
        </xdr:nvGrpSpPr>
        <xdr:grpSpPr>
          <a:xfrm>
            <a:off x="208478" y="2752157"/>
            <a:ext cx="6361509" cy="2160000"/>
            <a:chOff x="-29362" y="2825309"/>
            <a:chExt cx="6361509" cy="2160000"/>
          </a:xfrm>
        </xdr:grpSpPr>
        <xdr:pic>
          <xdr:nvPicPr>
            <xdr:cNvPr id="29" name="Picture 2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362" y="2825309"/>
              <a:ext cx="2927524"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73684" y="2825309"/>
              <a:ext cx="1646542"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13835" y="2825309"/>
              <a:ext cx="1618312" cy="2160000"/>
            </a:xfrm>
            <a:prstGeom prst="rect">
              <a:avLst/>
            </a:prstGeom>
            <a:ln>
              <a:solidFill>
                <a:schemeClr val="tx1"/>
              </a:solidFill>
            </a:ln>
          </xdr:spPr>
        </xdr:pic>
      </xdr:grpSp>
      <xdr:grpSp>
        <xdr:nvGrpSpPr>
          <xdr:cNvPr id="22" name="Group 21"/>
          <xdr:cNvGrpSpPr/>
        </xdr:nvGrpSpPr>
        <xdr:grpSpPr>
          <a:xfrm>
            <a:off x="235033" y="322085"/>
            <a:ext cx="6338225" cy="2340000"/>
            <a:chOff x="8470" y="322085"/>
            <a:chExt cx="6338225" cy="2340000"/>
          </a:xfrm>
        </xdr:grpSpPr>
        <xdr:pic>
          <xdr:nvPicPr>
            <xdr:cNvPr id="27" name="Picture 2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470" y="322085"/>
              <a:ext cx="3131732" cy="234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29586" y="322085"/>
              <a:ext cx="3117109" cy="2340000"/>
            </a:xfrm>
            <a:prstGeom prst="rect">
              <a:avLst/>
            </a:prstGeom>
            <a:ln>
              <a:solidFill>
                <a:schemeClr val="tx1"/>
              </a:solidFill>
            </a:ln>
          </xdr:spPr>
        </xdr:pic>
      </xdr:grpSp>
      <xdr:grpSp>
        <xdr:nvGrpSpPr>
          <xdr:cNvPr id="23" name="Group 22"/>
          <xdr:cNvGrpSpPr/>
        </xdr:nvGrpSpPr>
        <xdr:grpSpPr>
          <a:xfrm>
            <a:off x="268646" y="4996981"/>
            <a:ext cx="6261047" cy="2145004"/>
            <a:chOff x="-1265543" y="5070133"/>
            <a:chExt cx="6261047" cy="2145004"/>
          </a:xfrm>
        </xdr:grpSpPr>
        <xdr:pic>
          <xdr:nvPicPr>
            <xdr:cNvPr id="24" name="Picture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65543" y="5070133"/>
              <a:ext cx="2857359" cy="2145004"/>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85456" y="5070133"/>
              <a:ext cx="1607077" cy="2145004"/>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388427" y="5070133"/>
              <a:ext cx="1607077" cy="2145004"/>
            </a:xfrm>
            <a:prstGeom prst="rect">
              <a:avLst/>
            </a:prstGeom>
            <a:ln>
              <a:solidFill>
                <a:schemeClr val="tx1"/>
              </a:solidFill>
            </a:ln>
          </xdr:spPr>
        </xdr:pic>
      </xdr:grpSp>
    </xdr:grpSp>
    <xdr:clientData/>
  </xdr:twoCellAnchor>
  <xdr:twoCellAnchor editAs="oneCell">
    <xdr:from>
      <xdr:col>1</xdr:col>
      <xdr:colOff>546840</xdr:colOff>
      <xdr:row>229</xdr:row>
      <xdr:rowOff>89646</xdr:rowOff>
    </xdr:from>
    <xdr:to>
      <xdr:col>6</xdr:col>
      <xdr:colOff>388896</xdr:colOff>
      <xdr:row>249</xdr:row>
      <xdr:rowOff>23051</xdr:rowOff>
    </xdr:to>
    <xdr:pic>
      <xdr:nvPicPr>
        <xdr:cNvPr id="41" name="Picture 40"/>
        <xdr:cNvPicPr>
          <a:picLocks noChangeAspect="1"/>
        </xdr:cNvPicPr>
      </xdr:nvPicPr>
      <xdr:blipFill>
        <a:blip xmlns:r="http://schemas.openxmlformats.org/officeDocument/2006/relationships" r:embed="rId12"/>
        <a:stretch>
          <a:fillRect/>
        </a:stretch>
      </xdr:blipFill>
      <xdr:spPr>
        <a:xfrm>
          <a:off x="1308840" y="45383822"/>
          <a:ext cx="3932203" cy="3967523"/>
        </a:xfrm>
        <a:prstGeom prst="rect">
          <a:avLst/>
        </a:prstGeom>
        <a:ln>
          <a:solidFill>
            <a:schemeClr val="tx1"/>
          </a:solidFill>
        </a:ln>
      </xdr:spPr>
    </xdr:pic>
    <xdr:clientData/>
  </xdr:twoCellAnchor>
  <xdr:twoCellAnchor editAs="oneCell">
    <xdr:from>
      <xdr:col>1</xdr:col>
      <xdr:colOff>401510</xdr:colOff>
      <xdr:row>249</xdr:row>
      <xdr:rowOff>131670</xdr:rowOff>
    </xdr:from>
    <xdr:to>
      <xdr:col>6</xdr:col>
      <xdr:colOff>495860</xdr:colOff>
      <xdr:row>271</xdr:row>
      <xdr:rowOff>33619</xdr:rowOff>
    </xdr:to>
    <xdr:pic>
      <xdr:nvPicPr>
        <xdr:cNvPr id="42" name="Picture 41"/>
        <xdr:cNvPicPr>
          <a:picLocks noChangeAspect="1"/>
        </xdr:cNvPicPr>
      </xdr:nvPicPr>
      <xdr:blipFill>
        <a:blip xmlns:r="http://schemas.openxmlformats.org/officeDocument/2006/relationships" r:embed="rId13"/>
        <a:stretch>
          <a:fillRect/>
        </a:stretch>
      </xdr:blipFill>
      <xdr:spPr>
        <a:xfrm>
          <a:off x="1163510" y="48843641"/>
          <a:ext cx="4184497" cy="4339478"/>
        </a:xfrm>
        <a:prstGeom prst="rect">
          <a:avLst/>
        </a:prstGeom>
        <a:ln>
          <a:solidFill>
            <a:schemeClr val="tx1"/>
          </a:solidFill>
        </a:ln>
      </xdr:spPr>
    </xdr:pic>
    <xdr:clientData/>
  </xdr:twoCellAnchor>
  <xdr:twoCellAnchor>
    <xdr:from>
      <xdr:col>1</xdr:col>
      <xdr:colOff>123825</xdr:colOff>
      <xdr:row>273</xdr:row>
      <xdr:rowOff>28575</xdr:rowOff>
    </xdr:from>
    <xdr:to>
      <xdr:col>6</xdr:col>
      <xdr:colOff>717600</xdr:colOff>
      <xdr:row>313</xdr:row>
      <xdr:rowOff>109633</xdr:rowOff>
    </xdr:to>
    <xdr:grpSp>
      <xdr:nvGrpSpPr>
        <xdr:cNvPr id="9" name="Group 8"/>
        <xdr:cNvGrpSpPr/>
      </xdr:nvGrpSpPr>
      <xdr:grpSpPr>
        <a:xfrm>
          <a:off x="885825" y="54387750"/>
          <a:ext cx="4680000" cy="8082058"/>
          <a:chOff x="885825" y="54197810"/>
          <a:chExt cx="4683922" cy="8149294"/>
        </a:xfrm>
      </xdr:grpSpPr>
      <xdr:grpSp>
        <xdr:nvGrpSpPr>
          <xdr:cNvPr id="32" name="Group 31"/>
          <xdr:cNvGrpSpPr/>
        </xdr:nvGrpSpPr>
        <xdr:grpSpPr>
          <a:xfrm>
            <a:off x="885825" y="54197810"/>
            <a:ext cx="4683922" cy="8149294"/>
            <a:chOff x="1089000" y="771281"/>
            <a:chExt cx="4680000" cy="8082058"/>
          </a:xfrm>
        </xdr:grpSpPr>
        <xdr:pic>
          <xdr:nvPicPr>
            <xdr:cNvPr id="33" name="Picture 32"/>
            <xdr:cNvPicPr>
              <a:picLocks noChangeAspect="1"/>
            </xdr:cNvPicPr>
          </xdr:nvPicPr>
          <xdr:blipFill rotWithShape="1">
            <a:blip xmlns:r="http://schemas.openxmlformats.org/officeDocument/2006/relationships" r:embed="rId14"/>
            <a:srcRect l="28151" t="19311" r="22249" b="14103"/>
            <a:stretch/>
          </xdr:blipFill>
          <xdr:spPr>
            <a:xfrm>
              <a:off x="1089000" y="771281"/>
              <a:ext cx="4680000" cy="3960000"/>
            </a:xfrm>
            <a:prstGeom prst="rect">
              <a:avLst/>
            </a:prstGeom>
            <a:ln>
              <a:solidFill>
                <a:schemeClr val="tx1"/>
              </a:solidFill>
            </a:ln>
          </xdr:spPr>
        </xdr:pic>
        <xdr:grpSp>
          <xdr:nvGrpSpPr>
            <xdr:cNvPr id="34" name="Group 33"/>
            <xdr:cNvGrpSpPr/>
          </xdr:nvGrpSpPr>
          <xdr:grpSpPr>
            <a:xfrm>
              <a:off x="1089000" y="4893339"/>
              <a:ext cx="4680000" cy="3960000"/>
              <a:chOff x="1222548" y="4893339"/>
              <a:chExt cx="4680000" cy="3960000"/>
            </a:xfrm>
          </xdr:grpSpPr>
          <xdr:pic>
            <xdr:nvPicPr>
              <xdr:cNvPr id="35" name="Picture 34"/>
              <xdr:cNvPicPr>
                <a:picLocks noChangeAspect="1"/>
              </xdr:cNvPicPr>
            </xdr:nvPicPr>
            <xdr:blipFill rotWithShape="1">
              <a:blip xmlns:r="http://schemas.openxmlformats.org/officeDocument/2006/relationships" r:embed="rId15"/>
              <a:srcRect l="19186" t="18510" r="27971" b="17548"/>
              <a:stretch/>
            </xdr:blipFill>
            <xdr:spPr>
              <a:xfrm>
                <a:off x="1222548" y="4893339"/>
                <a:ext cx="4680000" cy="3960000"/>
              </a:xfrm>
              <a:prstGeom prst="rect">
                <a:avLst/>
              </a:prstGeom>
              <a:ln>
                <a:solidFill>
                  <a:schemeClr val="tx1"/>
                </a:solidFill>
              </a:ln>
            </xdr:spPr>
          </xdr:pic>
          <xdr:sp macro="" textlink="">
            <xdr:nvSpPr>
              <xdr:cNvPr id="37" name="TextBox 63"/>
              <xdr:cNvSpPr txBox="1"/>
            </xdr:nvSpPr>
            <xdr:spPr>
              <a:xfrm>
                <a:off x="3748670" y="6993073"/>
                <a:ext cx="174753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Gladiolus Crown</a:t>
                </a:r>
                <a:endParaRPr lang="en-IN" b="1">
                  <a:solidFill>
                    <a:srgbClr val="FFFF00"/>
                  </a:solidFill>
                </a:endParaRPr>
              </a:p>
            </xdr:txBody>
          </xdr:sp>
        </xdr:grpSp>
      </xdr:grpSp>
      <xdr:sp macro="" textlink="">
        <xdr:nvSpPr>
          <xdr:cNvPr id="43" name="Freeform 42"/>
          <xdr:cNvSpPr/>
        </xdr:nvSpPr>
        <xdr:spPr>
          <a:xfrm>
            <a:off x="2801471" y="59279118"/>
            <a:ext cx="1000125" cy="1695450"/>
          </a:xfrm>
          <a:custGeom>
            <a:avLst/>
            <a:gdLst>
              <a:gd name="connsiteX0" fmla="*/ 857250 w 2286000"/>
              <a:gd name="connsiteY0" fmla="*/ 2733675 h 2733675"/>
              <a:gd name="connsiteX1" fmla="*/ 0 w 2286000"/>
              <a:gd name="connsiteY1" fmla="*/ 809625 h 2733675"/>
              <a:gd name="connsiteX2" fmla="*/ 0 w 2286000"/>
              <a:gd name="connsiteY2" fmla="*/ 714375 h 2733675"/>
              <a:gd name="connsiteX3" fmla="*/ 76200 w 2286000"/>
              <a:gd name="connsiteY3" fmla="*/ 685800 h 2733675"/>
              <a:gd name="connsiteX4" fmla="*/ 2190750 w 2286000"/>
              <a:gd name="connsiteY4" fmla="*/ 0 h 2733675"/>
              <a:gd name="connsiteX5" fmla="*/ 2057400 w 2286000"/>
              <a:gd name="connsiteY5" fmla="*/ 257175 h 2733675"/>
              <a:gd name="connsiteX6" fmla="*/ 2286000 w 2286000"/>
              <a:gd name="connsiteY6" fmla="*/ 485775 h 2733675"/>
              <a:gd name="connsiteX7" fmla="*/ 1647825 w 2286000"/>
              <a:gd name="connsiteY7" fmla="*/ 685800 h 2733675"/>
              <a:gd name="connsiteX8" fmla="*/ 1685925 w 2286000"/>
              <a:gd name="connsiteY8" fmla="*/ 1323975 h 2733675"/>
              <a:gd name="connsiteX9" fmla="*/ 1085850 w 2286000"/>
              <a:gd name="connsiteY9" fmla="*/ 2085975 h 2733675"/>
              <a:gd name="connsiteX10" fmla="*/ 857250 w 2286000"/>
              <a:gd name="connsiteY10" fmla="*/ 2733675 h 27336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286000" h="2733675">
                <a:moveTo>
                  <a:pt x="857250" y="2733675"/>
                </a:moveTo>
                <a:lnTo>
                  <a:pt x="0" y="809625"/>
                </a:lnTo>
                <a:lnTo>
                  <a:pt x="0" y="714375"/>
                </a:lnTo>
                <a:lnTo>
                  <a:pt x="76200" y="685800"/>
                </a:lnTo>
                <a:lnTo>
                  <a:pt x="2190750" y="0"/>
                </a:lnTo>
                <a:lnTo>
                  <a:pt x="2057400" y="257175"/>
                </a:lnTo>
                <a:lnTo>
                  <a:pt x="2286000" y="485775"/>
                </a:lnTo>
                <a:lnTo>
                  <a:pt x="1647825" y="685800"/>
                </a:lnTo>
                <a:lnTo>
                  <a:pt x="1685925" y="1323975"/>
                </a:lnTo>
                <a:lnTo>
                  <a:pt x="1085850" y="2085975"/>
                </a:lnTo>
                <a:lnTo>
                  <a:pt x="857250" y="273367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11</xdr:col>
      <xdr:colOff>862853</xdr:colOff>
      <xdr:row>37</xdr:row>
      <xdr:rowOff>100853</xdr:rowOff>
    </xdr:from>
    <xdr:to>
      <xdr:col>21</xdr:col>
      <xdr:colOff>227193</xdr:colOff>
      <xdr:row>50</xdr:row>
      <xdr:rowOff>5234</xdr:rowOff>
    </xdr:to>
    <xdr:pic>
      <xdr:nvPicPr>
        <xdr:cNvPr id="4" name="Picture 3"/>
        <xdr:cNvPicPr>
          <a:picLocks noChangeAspect="1"/>
        </xdr:cNvPicPr>
      </xdr:nvPicPr>
      <xdr:blipFill>
        <a:blip xmlns:r="http://schemas.openxmlformats.org/officeDocument/2006/relationships" r:embed="rId16"/>
        <a:stretch>
          <a:fillRect/>
        </a:stretch>
      </xdr:blipFill>
      <xdr:spPr>
        <a:xfrm>
          <a:off x="9849971" y="8538882"/>
          <a:ext cx="6771428" cy="2952381"/>
        </a:xfrm>
        <a:prstGeom prst="rect">
          <a:avLst/>
        </a:prstGeom>
      </xdr:spPr>
    </xdr:pic>
    <xdr:clientData/>
  </xdr:twoCellAnchor>
  <xdr:twoCellAnchor editAs="oneCell">
    <xdr:from>
      <xdr:col>10</xdr:col>
      <xdr:colOff>67235</xdr:colOff>
      <xdr:row>50</xdr:row>
      <xdr:rowOff>403411</xdr:rowOff>
    </xdr:from>
    <xdr:to>
      <xdr:col>16</xdr:col>
      <xdr:colOff>332170</xdr:colOff>
      <xdr:row>60</xdr:row>
      <xdr:rowOff>18359</xdr:rowOff>
    </xdr:to>
    <xdr:pic>
      <xdr:nvPicPr>
        <xdr:cNvPr id="8" name="Picture 7"/>
        <xdr:cNvPicPr>
          <a:picLocks noChangeAspect="1"/>
        </xdr:cNvPicPr>
      </xdr:nvPicPr>
      <xdr:blipFill>
        <a:blip xmlns:r="http://schemas.openxmlformats.org/officeDocument/2006/relationships" r:embed="rId17"/>
        <a:stretch>
          <a:fillRect/>
        </a:stretch>
      </xdr:blipFill>
      <xdr:spPr>
        <a:xfrm>
          <a:off x="8303559" y="11082617"/>
          <a:ext cx="5161905" cy="10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HMTqmX85ucqPKDD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3"/>
  <sheetViews>
    <sheetView tabSelected="1" view="pageBreakPreview" zoomScaleNormal="100" zoomScaleSheetLayoutView="100" zoomScalePageLayoutView="85" workbookViewId="0">
      <selection activeCell="L181" sqref="L181"/>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70" t="s">
        <v>371</v>
      </c>
      <c r="B1" s="170"/>
      <c r="C1" s="170"/>
      <c r="D1" s="170"/>
      <c r="E1" s="170"/>
      <c r="F1" s="170"/>
      <c r="G1" s="170"/>
      <c r="H1" s="170"/>
    </row>
    <row r="2" spans="1:26" ht="16.5" customHeight="1" x14ac:dyDescent="0.25">
      <c r="A2" s="171" t="s">
        <v>0</v>
      </c>
      <c r="B2" s="171"/>
      <c r="C2" s="171"/>
      <c r="D2" s="171"/>
      <c r="E2" s="171"/>
      <c r="F2" s="171"/>
      <c r="G2" s="171"/>
      <c r="H2" s="171"/>
    </row>
    <row r="3" spans="1:26" x14ac:dyDescent="0.25">
      <c r="A3" s="123" t="s">
        <v>1</v>
      </c>
      <c r="B3" s="123"/>
      <c r="C3" s="123"/>
      <c r="D3" s="123"/>
      <c r="E3" s="123" t="str">
        <f ca="1">TEXT(TODAY(),"DD/MM/YYYY")</f>
        <v>24/09/2025</v>
      </c>
      <c r="F3" s="123"/>
      <c r="G3" s="123"/>
      <c r="H3" s="123"/>
      <c r="K3" s="53" t="s">
        <v>229</v>
      </c>
      <c r="L3" s="52" t="s">
        <v>227</v>
      </c>
      <c r="M3" s="52" t="s">
        <v>232</v>
      </c>
      <c r="N3" s="52" t="s">
        <v>230</v>
      </c>
      <c r="O3" s="52" t="s">
        <v>348</v>
      </c>
      <c r="P3" s="52" t="s">
        <v>374</v>
      </c>
    </row>
    <row r="4" spans="1:26" ht="15" customHeight="1" x14ac:dyDescent="0.25">
      <c r="A4" s="123" t="s">
        <v>226</v>
      </c>
      <c r="B4" s="123"/>
      <c r="C4" s="123"/>
      <c r="D4" s="123"/>
      <c r="E4" s="123" t="s">
        <v>227</v>
      </c>
      <c r="F4" s="123"/>
      <c r="G4" s="123"/>
      <c r="H4" s="123"/>
      <c r="K4" s="51" t="s">
        <v>228</v>
      </c>
      <c r="L4" s="52" t="s">
        <v>163</v>
      </c>
      <c r="M4" s="52" t="s">
        <v>237</v>
      </c>
      <c r="N4" s="52" t="s">
        <v>239</v>
      </c>
      <c r="O4" s="52" t="s">
        <v>334</v>
      </c>
      <c r="P4" s="52" t="s">
        <v>375</v>
      </c>
    </row>
    <row r="5" spans="1:26" ht="15" customHeight="1" x14ac:dyDescent="0.25">
      <c r="A5" s="123" t="s">
        <v>2</v>
      </c>
      <c r="B5" s="123"/>
      <c r="C5" s="123"/>
      <c r="D5" s="123"/>
      <c r="E5" s="123" t="s">
        <v>163</v>
      </c>
      <c r="F5" s="123"/>
      <c r="G5" s="123"/>
      <c r="H5" s="123"/>
      <c r="K5" s="51"/>
      <c r="L5" s="52" t="s">
        <v>234</v>
      </c>
      <c r="M5" s="52" t="s">
        <v>238</v>
      </c>
      <c r="N5" s="52" t="s">
        <v>240</v>
      </c>
      <c r="O5" s="52" t="s">
        <v>335</v>
      </c>
      <c r="P5" s="52"/>
    </row>
    <row r="6" spans="1:26" x14ac:dyDescent="0.25">
      <c r="A6" s="123" t="s">
        <v>3</v>
      </c>
      <c r="B6" s="123"/>
      <c r="C6" s="123"/>
      <c r="D6" s="123"/>
      <c r="E6" s="173">
        <v>45870</v>
      </c>
      <c r="F6" s="123"/>
      <c r="G6" s="123"/>
      <c r="H6" s="123"/>
      <c r="K6" s="51"/>
      <c r="L6" s="52" t="s">
        <v>235</v>
      </c>
      <c r="M6" s="52" t="s">
        <v>346</v>
      </c>
      <c r="N6" s="52"/>
      <c r="O6" s="52" t="s">
        <v>336</v>
      </c>
      <c r="P6" s="52"/>
    </row>
    <row r="7" spans="1:26" ht="16.5" customHeight="1" x14ac:dyDescent="0.25">
      <c r="A7" s="123" t="s">
        <v>4</v>
      </c>
      <c r="B7" s="123"/>
      <c r="C7" s="123"/>
      <c r="D7" s="123"/>
      <c r="E7" s="123" t="s">
        <v>378</v>
      </c>
      <c r="F7" s="123"/>
      <c r="G7" s="123"/>
      <c r="H7" s="123"/>
      <c r="K7" s="51"/>
      <c r="L7" s="52" t="s">
        <v>236</v>
      </c>
      <c r="M7" s="52"/>
      <c r="N7" s="52"/>
      <c r="O7" s="52" t="s">
        <v>336</v>
      </c>
      <c r="P7" s="52"/>
    </row>
    <row r="8" spans="1:26" ht="15" customHeight="1" x14ac:dyDescent="0.25">
      <c r="A8" s="123" t="s">
        <v>5</v>
      </c>
      <c r="B8" s="123"/>
      <c r="C8" s="123"/>
      <c r="D8" s="123"/>
      <c r="E8" s="123" t="str">
        <f>E7</f>
        <v>M/s. Shellproof Realty Private Limited</v>
      </c>
      <c r="F8" s="123"/>
      <c r="G8" s="123"/>
      <c r="H8" s="123"/>
      <c r="K8" s="51"/>
      <c r="L8" s="52"/>
      <c r="M8" s="52"/>
      <c r="N8" s="52"/>
      <c r="O8" s="52" t="s">
        <v>337</v>
      </c>
      <c r="P8" s="52"/>
    </row>
    <row r="9" spans="1:26" x14ac:dyDescent="0.25">
      <c r="A9" s="123" t="s">
        <v>6</v>
      </c>
      <c r="B9" s="123"/>
      <c r="C9" s="123"/>
      <c r="D9" s="123"/>
      <c r="E9" s="172" t="s">
        <v>379</v>
      </c>
      <c r="F9" s="172"/>
      <c r="G9" s="172"/>
      <c r="H9" s="172"/>
      <c r="K9" s="51"/>
      <c r="L9" s="52"/>
      <c r="M9" s="52"/>
      <c r="N9" s="52"/>
      <c r="O9" s="52" t="s">
        <v>338</v>
      </c>
      <c r="P9" s="52"/>
    </row>
    <row r="10" spans="1:26" x14ac:dyDescent="0.25">
      <c r="A10" s="123" t="s">
        <v>160</v>
      </c>
      <c r="B10" s="123"/>
      <c r="C10" s="123"/>
      <c r="D10" s="123"/>
      <c r="E10" s="123">
        <v>8779086429</v>
      </c>
      <c r="F10" s="123"/>
      <c r="G10" s="123"/>
      <c r="H10" s="123"/>
      <c r="K10" s="51"/>
      <c r="L10" s="52"/>
      <c r="M10" s="52"/>
      <c r="N10" s="52"/>
      <c r="O10" s="52" t="s">
        <v>339</v>
      </c>
      <c r="P10" s="52"/>
    </row>
    <row r="11" spans="1:26" x14ac:dyDescent="0.25">
      <c r="A11" s="123" t="s">
        <v>161</v>
      </c>
      <c r="B11" s="123"/>
      <c r="C11" s="123"/>
      <c r="D11" s="123"/>
      <c r="E11" s="123" t="s">
        <v>416</v>
      </c>
      <c r="F11" s="123"/>
      <c r="G11" s="123"/>
      <c r="H11" s="123"/>
      <c r="O11" s="52" t="s">
        <v>340</v>
      </c>
    </row>
    <row r="12" spans="1:26" x14ac:dyDescent="0.25">
      <c r="A12" s="123" t="s">
        <v>7</v>
      </c>
      <c r="B12" s="123"/>
      <c r="C12" s="123"/>
      <c r="D12" s="123"/>
      <c r="E12" s="123" t="s">
        <v>417</v>
      </c>
      <c r="F12" s="123"/>
      <c r="G12" s="123"/>
      <c r="H12" s="123"/>
    </row>
    <row r="13" spans="1:26" x14ac:dyDescent="0.25">
      <c r="A13" s="123" t="s">
        <v>164</v>
      </c>
      <c r="B13" s="123"/>
      <c r="C13" s="123"/>
      <c r="D13" s="123"/>
      <c r="E13" s="123" t="s">
        <v>28</v>
      </c>
      <c r="F13" s="123"/>
      <c r="G13" s="123"/>
      <c r="H13" s="123"/>
      <c r="S13" s="52" t="s">
        <v>173</v>
      </c>
      <c r="T13" s="52" t="s">
        <v>182</v>
      </c>
      <c r="U13" s="52" t="s">
        <v>165</v>
      </c>
      <c r="V13" s="52" t="s">
        <v>187</v>
      </c>
      <c r="W13" s="52" t="s">
        <v>205</v>
      </c>
      <c r="X13"/>
      <c r="Y13" t="s">
        <v>187</v>
      </c>
      <c r="Z13" t="e">
        <f ca="1">OFFSET($S$13,1,MATCH($G20,$S$13:$W$13,0)-1,15,1)</f>
        <v>#VALUE!</v>
      </c>
    </row>
    <row r="14" spans="1:26" x14ac:dyDescent="0.25">
      <c r="A14" s="109" t="s">
        <v>272</v>
      </c>
      <c r="B14" s="109"/>
      <c r="C14" s="109"/>
      <c r="D14" s="109"/>
      <c r="E14" s="174" t="s">
        <v>220</v>
      </c>
      <c r="F14" s="174"/>
      <c r="G14" s="174"/>
      <c r="H14" s="174"/>
      <c r="S14" s="52" t="s">
        <v>173</v>
      </c>
      <c r="T14" s="52" t="s">
        <v>180</v>
      </c>
      <c r="U14" s="52" t="s">
        <v>202</v>
      </c>
      <c r="V14" s="52" t="s">
        <v>188</v>
      </c>
      <c r="W14" s="52" t="s">
        <v>206</v>
      </c>
      <c r="X14"/>
      <c r="Y14"/>
      <c r="Z14"/>
    </row>
    <row r="15" spans="1:26" x14ac:dyDescent="0.25">
      <c r="A15" s="109" t="s">
        <v>8</v>
      </c>
      <c r="B15" s="109"/>
      <c r="C15" s="109"/>
      <c r="D15" s="109"/>
      <c r="E15" s="174" t="s">
        <v>380</v>
      </c>
      <c r="F15" s="123"/>
      <c r="G15" s="123"/>
      <c r="H15" s="123"/>
      <c r="I15" s="111" t="e">
        <f ca="1">OFFSET($D$5,1,MATCH($J13,$D$5:$H$5,0)-1,15,1)</f>
        <v>#N/A</v>
      </c>
      <c r="J15" s="112"/>
      <c r="K15" s="112"/>
      <c r="L15" s="112"/>
      <c r="M15" s="112"/>
      <c r="N15" s="112"/>
      <c r="O15" s="112"/>
      <c r="P15" s="112"/>
      <c r="S15" s="52" t="s">
        <v>174</v>
      </c>
      <c r="T15" s="52" t="s">
        <v>181</v>
      </c>
      <c r="U15" s="52" t="s">
        <v>203</v>
      </c>
      <c r="V15" s="52" t="s">
        <v>189</v>
      </c>
      <c r="W15" s="52" t="s">
        <v>219</v>
      </c>
      <c r="X15"/>
      <c r="Y15"/>
      <c r="Z15"/>
    </row>
    <row r="16" spans="1:26" ht="46.5" customHeight="1" x14ac:dyDescent="0.25">
      <c r="A16" s="122" t="s">
        <v>9</v>
      </c>
      <c r="B16" s="122"/>
      <c r="C16" s="122" t="str">
        <f>CONCATENATE((IF(OR(E9="",E9="NA"),"",E9)),", ",(IF(OR(A17="",A17="NA"),"",A17)),".",(IF(OR(C17="",C17="NA"),"",C17)),", near ",(IF(OR(C22="",C22="NA"),"",C22)),", ",(IF(OR(C19="",C19="NA"),"",C19)),", ",(IF(OR(C18="",C18="NA"),"",C18)),", ",(IF(OR(G19="",G19="NA"),"",G19)),", ",(IF(OR(C20="",C20="NA"),"",C20)),", ",(IF(OR(C21="",C21="NA"),"",C21)),", ",(IF(OR(G20="",G20="NA"),"",G20))," - ",(IF(OR(G21="",G21="NA"),"",G21)),".")</f>
        <v>Gladiolus Crown, Survey No.85 H. No. 3B, 7, 9 &amp; 12, near Konark Residency, Veer Savarkar Road, Golani Naka, Gokhiware, Vasai East, Vasai, Palghar - 401208.</v>
      </c>
      <c r="D16" s="122"/>
      <c r="E16" s="122"/>
      <c r="F16" s="122"/>
      <c r="G16" s="122"/>
      <c r="H16" s="122"/>
      <c r="S16" s="52" t="s">
        <v>175</v>
      </c>
      <c r="T16" s="52" t="s">
        <v>183</v>
      </c>
      <c r="U16" s="52" t="s">
        <v>204</v>
      </c>
      <c r="V16" s="52" t="s">
        <v>190</v>
      </c>
      <c r="W16" s="52" t="s">
        <v>207</v>
      </c>
      <c r="X16"/>
      <c r="Y16"/>
      <c r="Z16"/>
    </row>
    <row r="17" spans="1:26" x14ac:dyDescent="0.25">
      <c r="A17" s="174" t="s">
        <v>382</v>
      </c>
      <c r="B17" s="174"/>
      <c r="C17" s="174" t="s">
        <v>418</v>
      </c>
      <c r="D17" s="174"/>
      <c r="E17" s="174"/>
      <c r="F17" s="174"/>
      <c r="G17" s="174"/>
      <c r="H17" s="174"/>
      <c r="I17" s="21" t="s">
        <v>383</v>
      </c>
      <c r="S17" s="52" t="s">
        <v>176</v>
      </c>
      <c r="T17" s="52" t="s">
        <v>184</v>
      </c>
      <c r="U17" s="52" t="s">
        <v>165</v>
      </c>
      <c r="V17" s="52" t="s">
        <v>191</v>
      </c>
      <c r="W17" s="52" t="s">
        <v>208</v>
      </c>
      <c r="X17"/>
      <c r="Y17"/>
      <c r="Z17"/>
    </row>
    <row r="18" spans="1:26" ht="15.75" customHeight="1" x14ac:dyDescent="0.25">
      <c r="A18" s="174" t="s">
        <v>156</v>
      </c>
      <c r="B18" s="174"/>
      <c r="C18" s="174" t="s">
        <v>394</v>
      </c>
      <c r="D18" s="174"/>
      <c r="E18" s="174"/>
      <c r="F18" s="174"/>
      <c r="G18" s="174"/>
      <c r="H18" s="174"/>
      <c r="S18" s="52" t="s">
        <v>177</v>
      </c>
      <c r="T18" s="52" t="s">
        <v>182</v>
      </c>
      <c r="U18" s="52"/>
      <c r="V18" s="52" t="s">
        <v>192</v>
      </c>
      <c r="W18" s="52" t="s">
        <v>209</v>
      </c>
      <c r="X18"/>
      <c r="Y18"/>
      <c r="Z18"/>
    </row>
    <row r="19" spans="1:26" ht="15.75" customHeight="1" x14ac:dyDescent="0.25">
      <c r="A19" s="122" t="s">
        <v>10</v>
      </c>
      <c r="B19" s="122"/>
      <c r="C19" s="123" t="s">
        <v>389</v>
      </c>
      <c r="D19" s="123"/>
      <c r="E19" s="122" t="s">
        <v>69</v>
      </c>
      <c r="F19" s="122"/>
      <c r="G19" s="174" t="s">
        <v>381</v>
      </c>
      <c r="H19" s="174"/>
      <c r="S19" s="52" t="s">
        <v>178</v>
      </c>
      <c r="T19" s="52" t="s">
        <v>185</v>
      </c>
      <c r="U19" s="52"/>
      <c r="V19" s="52" t="s">
        <v>193</v>
      </c>
      <c r="W19" s="52" t="s">
        <v>210</v>
      </c>
      <c r="X19"/>
      <c r="Y19"/>
      <c r="Z19"/>
    </row>
    <row r="20" spans="1:26" x14ac:dyDescent="0.25">
      <c r="A20" s="109" t="s">
        <v>12</v>
      </c>
      <c r="B20" s="109"/>
      <c r="C20" s="174" t="s">
        <v>393</v>
      </c>
      <c r="D20" s="174"/>
      <c r="E20" s="122" t="s">
        <v>11</v>
      </c>
      <c r="F20" s="122"/>
      <c r="G20" s="175" t="s">
        <v>182</v>
      </c>
      <c r="H20" s="175"/>
      <c r="S20" s="52" t="s">
        <v>179</v>
      </c>
      <c r="T20" s="52" t="s">
        <v>186</v>
      </c>
      <c r="U20" s="52"/>
      <c r="V20" s="52" t="s">
        <v>194</v>
      </c>
      <c r="W20" s="52" t="s">
        <v>211</v>
      </c>
      <c r="X20"/>
      <c r="Y20"/>
      <c r="Z20"/>
    </row>
    <row r="21" spans="1:26" x14ac:dyDescent="0.25">
      <c r="A21" s="109" t="s">
        <v>70</v>
      </c>
      <c r="B21" s="109"/>
      <c r="C21" s="174" t="s">
        <v>183</v>
      </c>
      <c r="D21" s="174"/>
      <c r="E21" s="122" t="s">
        <v>13</v>
      </c>
      <c r="F21" s="122"/>
      <c r="G21" s="174">
        <v>401208</v>
      </c>
      <c r="H21" s="174"/>
      <c r="S21" s="52"/>
      <c r="T21" s="52"/>
      <c r="U21" s="52"/>
      <c r="V21" s="52" t="s">
        <v>195</v>
      </c>
      <c r="W21" s="52" t="s">
        <v>212</v>
      </c>
      <c r="X21"/>
      <c r="Y21"/>
      <c r="Z21"/>
    </row>
    <row r="22" spans="1:26" ht="32.25" customHeight="1" x14ac:dyDescent="0.25">
      <c r="A22" s="109" t="s">
        <v>115</v>
      </c>
      <c r="B22" s="109"/>
      <c r="C22" s="174" t="s">
        <v>431</v>
      </c>
      <c r="D22" s="174"/>
      <c r="E22" s="122" t="s">
        <v>14</v>
      </c>
      <c r="F22" s="122"/>
      <c r="G22" s="174" t="s">
        <v>392</v>
      </c>
      <c r="H22" s="174"/>
      <c r="S22" s="52"/>
      <c r="T22" s="52"/>
      <c r="U22" s="52"/>
      <c r="V22" s="52" t="s">
        <v>196</v>
      </c>
      <c r="W22" s="52" t="s">
        <v>213</v>
      </c>
      <c r="X22"/>
      <c r="Y22"/>
      <c r="Z22"/>
    </row>
    <row r="23" spans="1:26" ht="15" customHeight="1" x14ac:dyDescent="0.25">
      <c r="A23" s="122" t="s">
        <v>72</v>
      </c>
      <c r="B23" s="122"/>
      <c r="C23" s="122"/>
      <c r="D23" s="122"/>
      <c r="E23" s="123" t="s">
        <v>15</v>
      </c>
      <c r="F23" s="123"/>
      <c r="G23" s="123"/>
      <c r="H23" s="123"/>
      <c r="S23" s="52"/>
      <c r="T23" s="52"/>
      <c r="U23" s="52"/>
      <c r="V23" s="52" t="s">
        <v>197</v>
      </c>
      <c r="W23" s="52" t="s">
        <v>214</v>
      </c>
      <c r="X23"/>
      <c r="Y23"/>
      <c r="Z23"/>
    </row>
    <row r="24" spans="1:26" ht="18.75" customHeight="1" x14ac:dyDescent="0.25">
      <c r="A24" s="122"/>
      <c r="B24" s="122"/>
      <c r="C24" s="122"/>
      <c r="D24" s="122"/>
      <c r="E24" s="123"/>
      <c r="F24" s="123"/>
      <c r="G24" s="123"/>
      <c r="H24" s="123"/>
      <c r="S24" s="52"/>
      <c r="T24" s="52"/>
      <c r="U24" s="52"/>
      <c r="V24" s="52" t="s">
        <v>198</v>
      </c>
      <c r="W24" s="52" t="s">
        <v>215</v>
      </c>
      <c r="X24"/>
      <c r="Y24"/>
      <c r="Z24"/>
    </row>
    <row r="25" spans="1:26" ht="15" customHeight="1" x14ac:dyDescent="0.25">
      <c r="A25" s="122" t="s">
        <v>16</v>
      </c>
      <c r="B25" s="122"/>
      <c r="C25" s="122"/>
      <c r="D25" s="122"/>
      <c r="E25" s="174" t="s">
        <v>17</v>
      </c>
      <c r="F25" s="174"/>
      <c r="G25" s="174"/>
      <c r="H25" s="174"/>
      <c r="S25" s="52"/>
      <c r="T25" s="52"/>
      <c r="U25" s="52"/>
      <c r="V25" s="52" t="s">
        <v>199</v>
      </c>
      <c r="W25" s="52" t="s">
        <v>216</v>
      </c>
      <c r="X25"/>
      <c r="Y25"/>
      <c r="Z25"/>
    </row>
    <row r="26" spans="1:26" ht="15" customHeight="1" x14ac:dyDescent="0.25">
      <c r="A26" s="109" t="s">
        <v>18</v>
      </c>
      <c r="B26" s="109"/>
      <c r="C26" s="109"/>
      <c r="D26" s="109"/>
      <c r="E26" s="174" t="str">
        <f>IF(AND(G20="Mumbai"),"Upper Class","Middle Class")</f>
        <v>Middle Class</v>
      </c>
      <c r="F26" s="174"/>
      <c r="G26" s="174"/>
      <c r="H26" s="174"/>
      <c r="S26" s="52"/>
      <c r="T26" s="52"/>
      <c r="U26" s="52"/>
      <c r="V26" s="52" t="s">
        <v>200</v>
      </c>
      <c r="W26" s="52" t="s">
        <v>217</v>
      </c>
      <c r="X26"/>
      <c r="Y26"/>
      <c r="Z26"/>
    </row>
    <row r="27" spans="1:26" x14ac:dyDescent="0.25">
      <c r="A27" s="109" t="s">
        <v>19</v>
      </c>
      <c r="B27" s="109"/>
      <c r="C27" s="109"/>
      <c r="D27" s="109"/>
      <c r="E27" s="174" t="s">
        <v>20</v>
      </c>
      <c r="F27" s="174"/>
      <c r="G27" s="174"/>
      <c r="H27" s="174"/>
      <c r="S27" s="52"/>
      <c r="T27" s="52"/>
      <c r="U27" s="52"/>
      <c r="V27" s="52" t="s">
        <v>201</v>
      </c>
      <c r="W27" s="52" t="s">
        <v>218</v>
      </c>
      <c r="X27"/>
      <c r="Y27"/>
      <c r="Z27"/>
    </row>
    <row r="28" spans="1:26" ht="15.75" customHeight="1" x14ac:dyDescent="0.25">
      <c r="A28" s="109" t="s">
        <v>21</v>
      </c>
      <c r="B28" s="109"/>
      <c r="C28" s="109"/>
      <c r="D28" s="109"/>
      <c r="E28" s="174" t="str">
        <f>IF(AND(G20="Mumbai"),"Developed","Developing")</f>
        <v>Developing</v>
      </c>
      <c r="F28" s="174"/>
      <c r="G28" s="174"/>
      <c r="H28" s="174"/>
    </row>
    <row r="29" spans="1:26" x14ac:dyDescent="0.25">
      <c r="A29" s="109" t="s">
        <v>22</v>
      </c>
      <c r="B29" s="109"/>
      <c r="C29" s="109"/>
      <c r="D29" s="109"/>
      <c r="E29" s="174" t="s">
        <v>23</v>
      </c>
      <c r="F29" s="174"/>
      <c r="G29" s="174"/>
      <c r="H29" s="174"/>
    </row>
    <row r="30" spans="1:26" ht="15.75" customHeight="1" x14ac:dyDescent="0.25">
      <c r="A30" s="109" t="s">
        <v>77</v>
      </c>
      <c r="B30" s="109"/>
      <c r="C30" s="109"/>
      <c r="D30" s="109"/>
      <c r="E30" s="174" t="s">
        <v>78</v>
      </c>
      <c r="F30" s="174"/>
      <c r="G30" s="174"/>
      <c r="H30" s="174"/>
    </row>
    <row r="31" spans="1:26" ht="15" customHeight="1" x14ac:dyDescent="0.25">
      <c r="A31" s="109" t="s">
        <v>30</v>
      </c>
      <c r="B31" s="109"/>
      <c r="C31" s="109"/>
      <c r="D31" s="109"/>
      <c r="E31" s="17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74"/>
      <c r="G31" s="174"/>
      <c r="H31" s="174"/>
    </row>
    <row r="32" spans="1:26" ht="15.75" customHeight="1" x14ac:dyDescent="0.25">
      <c r="A32" s="109" t="s">
        <v>88</v>
      </c>
      <c r="B32" s="109"/>
      <c r="C32" s="109"/>
      <c r="D32" s="109"/>
      <c r="E32" s="174" t="s">
        <v>31</v>
      </c>
      <c r="F32" s="174"/>
      <c r="G32" s="174"/>
      <c r="H32" s="174"/>
    </row>
    <row r="33" spans="1:19" s="21" customFormat="1" x14ac:dyDescent="0.25">
      <c r="A33" s="192" t="s">
        <v>89</v>
      </c>
      <c r="B33" s="192"/>
      <c r="C33" s="189" t="s">
        <v>166</v>
      </c>
      <c r="D33" s="190"/>
      <c r="E33" s="191"/>
      <c r="F33" s="189" t="s">
        <v>29</v>
      </c>
      <c r="G33" s="190"/>
      <c r="H33" s="191"/>
      <c r="S33" s="21" t="e">
        <f ca="1">OFFSET($S$13,1,MATCH($G20,$S$13:$W$13,0)-1,15,1)</f>
        <v>#VALUE!</v>
      </c>
    </row>
    <row r="34" spans="1:19" s="21" customFormat="1" x14ac:dyDescent="0.25">
      <c r="A34" s="185" t="s">
        <v>24</v>
      </c>
      <c r="B34" s="185" t="s">
        <v>28</v>
      </c>
      <c r="C34" s="186" t="s">
        <v>390</v>
      </c>
      <c r="D34" s="187"/>
      <c r="E34" s="188"/>
      <c r="F34" s="186" t="s">
        <v>388</v>
      </c>
      <c r="G34" s="187"/>
      <c r="H34" s="188"/>
    </row>
    <row r="35" spans="1:19" x14ac:dyDescent="0.25">
      <c r="A35" s="185" t="s">
        <v>25</v>
      </c>
      <c r="B35" s="185" t="s">
        <v>28</v>
      </c>
      <c r="C35" s="186" t="s">
        <v>387</v>
      </c>
      <c r="D35" s="187"/>
      <c r="E35" s="188"/>
      <c r="F35" s="186" t="s">
        <v>391</v>
      </c>
      <c r="G35" s="187"/>
      <c r="H35" s="188"/>
    </row>
    <row r="36" spans="1:19" s="21" customFormat="1" x14ac:dyDescent="0.25">
      <c r="A36" s="185" t="s">
        <v>27</v>
      </c>
      <c r="B36" s="185" t="s">
        <v>28</v>
      </c>
      <c r="C36" s="186" t="s">
        <v>386</v>
      </c>
      <c r="D36" s="187"/>
      <c r="E36" s="188"/>
      <c r="F36" s="186" t="s">
        <v>389</v>
      </c>
      <c r="G36" s="187"/>
      <c r="H36" s="188"/>
    </row>
    <row r="37" spans="1:19" x14ac:dyDescent="0.25">
      <c r="A37" s="185" t="s">
        <v>26</v>
      </c>
      <c r="B37" s="185" t="s">
        <v>28</v>
      </c>
      <c r="C37" s="186" t="s">
        <v>390</v>
      </c>
      <c r="D37" s="187"/>
      <c r="E37" s="188"/>
      <c r="F37" s="186" t="s">
        <v>388</v>
      </c>
      <c r="G37" s="187"/>
      <c r="H37" s="188"/>
    </row>
    <row r="38" spans="1:19" x14ac:dyDescent="0.25">
      <c r="A38" s="109" t="s">
        <v>273</v>
      </c>
      <c r="B38" s="109"/>
      <c r="C38" s="109"/>
      <c r="D38" s="109"/>
      <c r="E38" s="109"/>
      <c r="F38" s="109"/>
      <c r="G38" s="109"/>
      <c r="H38" s="109"/>
    </row>
    <row r="39" spans="1:19" ht="15.75" customHeight="1" x14ac:dyDescent="0.25">
      <c r="A39" s="109" t="s">
        <v>158</v>
      </c>
      <c r="B39" s="109"/>
      <c r="C39" s="165" t="s">
        <v>384</v>
      </c>
      <c r="D39" s="165"/>
      <c r="E39" s="165"/>
      <c r="F39" s="165"/>
      <c r="G39" s="165"/>
      <c r="H39" s="165"/>
    </row>
    <row r="40" spans="1:19" x14ac:dyDescent="0.25">
      <c r="A40" s="109" t="s">
        <v>155</v>
      </c>
      <c r="B40" s="109"/>
      <c r="C40" s="222" t="s">
        <v>385</v>
      </c>
      <c r="D40" s="174"/>
      <c r="E40" s="174"/>
      <c r="F40" s="174"/>
      <c r="G40" s="174"/>
      <c r="H40" s="174"/>
    </row>
    <row r="41" spans="1:19" x14ac:dyDescent="0.25">
      <c r="A41" s="165" t="s">
        <v>32</v>
      </c>
      <c r="B41" s="165"/>
      <c r="C41" s="165"/>
      <c r="D41" s="165"/>
      <c r="E41" s="165"/>
      <c r="F41" s="165"/>
      <c r="G41" s="165"/>
      <c r="H41" s="165"/>
    </row>
    <row r="42" spans="1:19" x14ac:dyDescent="0.25">
      <c r="A42" s="109" t="s">
        <v>33</v>
      </c>
      <c r="B42" s="109"/>
      <c r="C42" s="109"/>
      <c r="D42" s="109"/>
      <c r="E42" s="216">
        <v>228418.9</v>
      </c>
      <c r="F42" s="216"/>
      <c r="G42" s="216"/>
      <c r="H42" s="216"/>
    </row>
    <row r="43" spans="1:19" x14ac:dyDescent="0.25">
      <c r="A43" s="109" t="s">
        <v>34</v>
      </c>
      <c r="B43" s="109"/>
      <c r="C43" s="109"/>
      <c r="D43" s="109"/>
      <c r="E43" s="256">
        <f>251260.79/E42</f>
        <v>1.1000000000000001</v>
      </c>
      <c r="F43" s="256"/>
      <c r="G43" s="256"/>
      <c r="H43" s="256"/>
    </row>
    <row r="44" spans="1:19" x14ac:dyDescent="0.25">
      <c r="A44" s="109" t="s">
        <v>35</v>
      </c>
      <c r="B44" s="109"/>
      <c r="C44" s="109"/>
      <c r="D44" s="109"/>
      <c r="E44" s="256">
        <f>E46/E42-E43</f>
        <v>3.3772585368373629</v>
      </c>
      <c r="F44" s="256"/>
      <c r="G44" s="256"/>
      <c r="H44" s="256"/>
      <c r="I44" s="20" t="s">
        <v>435</v>
      </c>
    </row>
    <row r="45" spans="1:19" x14ac:dyDescent="0.25">
      <c r="A45" s="109" t="s">
        <v>36</v>
      </c>
      <c r="B45" s="109"/>
      <c r="C45" s="109"/>
      <c r="D45" s="109"/>
      <c r="E45" s="256">
        <f>E43+E44</f>
        <v>4.477258536837363</v>
      </c>
      <c r="F45" s="256"/>
      <c r="G45" s="256"/>
      <c r="H45" s="256"/>
    </row>
    <row r="46" spans="1:19" x14ac:dyDescent="0.25">
      <c r="A46" s="109" t="s">
        <v>87</v>
      </c>
      <c r="B46" s="109"/>
      <c r="C46" s="109"/>
      <c r="D46" s="109"/>
      <c r="E46" s="257">
        <v>1022690.47</v>
      </c>
      <c r="F46" s="257"/>
      <c r="G46" s="257"/>
      <c r="H46" s="257"/>
    </row>
    <row r="47" spans="1:19" x14ac:dyDescent="0.25">
      <c r="A47" s="123" t="s">
        <v>37</v>
      </c>
      <c r="B47" s="123"/>
      <c r="C47" s="123"/>
      <c r="D47" s="123"/>
      <c r="E47" s="123" t="s">
        <v>395</v>
      </c>
      <c r="F47" s="123"/>
      <c r="G47" s="123"/>
      <c r="H47" s="123"/>
    </row>
    <row r="48" spans="1:19" x14ac:dyDescent="0.25">
      <c r="A48" s="165" t="s">
        <v>38</v>
      </c>
      <c r="B48" s="165"/>
      <c r="C48" s="165"/>
      <c r="D48" s="165"/>
      <c r="E48" s="165"/>
      <c r="F48" s="165"/>
      <c r="G48" s="165"/>
      <c r="H48" s="165"/>
    </row>
    <row r="49" spans="1:24" ht="33.75" customHeight="1" x14ac:dyDescent="0.25">
      <c r="A49" s="131" t="s">
        <v>144</v>
      </c>
      <c r="B49" s="132"/>
      <c r="C49" s="229" t="s">
        <v>268</v>
      </c>
      <c r="D49" s="230"/>
      <c r="E49" s="230"/>
      <c r="F49" s="230"/>
      <c r="G49" s="230"/>
      <c r="H49" s="231"/>
      <c r="R49" t="s">
        <v>246</v>
      </c>
      <c r="S49" s="54" t="s">
        <v>165</v>
      </c>
      <c r="T49" s="54" t="s">
        <v>173</v>
      </c>
      <c r="U49" s="54" t="s">
        <v>187</v>
      </c>
      <c r="V49" s="54" t="s">
        <v>182</v>
      </c>
    </row>
    <row r="50" spans="1:24" ht="31.5" customHeight="1" x14ac:dyDescent="0.25">
      <c r="A50" s="131" t="s">
        <v>39</v>
      </c>
      <c r="B50" s="132"/>
      <c r="C50" s="203" t="s">
        <v>425</v>
      </c>
      <c r="D50" s="204"/>
      <c r="E50" s="205"/>
      <c r="F50" s="17" t="s">
        <v>40</v>
      </c>
      <c r="G50" s="206" t="s">
        <v>28</v>
      </c>
      <c r="H50" s="207"/>
      <c r="I50" s="248" t="s">
        <v>419</v>
      </c>
      <c r="J50" s="249"/>
      <c r="K50" s="250"/>
      <c r="L50" s="206">
        <v>44771</v>
      </c>
      <c r="M50" s="207"/>
      <c r="R50"/>
      <c r="S50" s="54" t="s">
        <v>247</v>
      </c>
      <c r="T50" s="54" t="s">
        <v>252</v>
      </c>
      <c r="U50" s="54" t="s">
        <v>263</v>
      </c>
      <c r="V50" s="54" t="s">
        <v>268</v>
      </c>
    </row>
    <row r="51" spans="1:24" ht="31.5" customHeight="1" x14ac:dyDescent="0.25">
      <c r="A51" s="131" t="s">
        <v>41</v>
      </c>
      <c r="B51" s="132"/>
      <c r="C51" s="131" t="s">
        <v>419</v>
      </c>
      <c r="D51" s="178"/>
      <c r="E51" s="132"/>
      <c r="F51" s="17" t="s">
        <v>40</v>
      </c>
      <c r="G51" s="206">
        <v>44771</v>
      </c>
      <c r="H51" s="207"/>
      <c r="R51"/>
      <c r="S51" s="54" t="s">
        <v>248</v>
      </c>
      <c r="T51" s="54" t="s">
        <v>349</v>
      </c>
      <c r="U51" s="54" t="s">
        <v>261</v>
      </c>
      <c r="V51" s="54" t="s">
        <v>269</v>
      </c>
    </row>
    <row r="52" spans="1:24" s="22" customFormat="1" ht="31.5" customHeight="1" x14ac:dyDescent="0.25">
      <c r="A52" s="211" t="s">
        <v>148</v>
      </c>
      <c r="B52" s="212"/>
      <c r="C52" s="211" t="s">
        <v>428</v>
      </c>
      <c r="D52" s="215"/>
      <c r="E52" s="212"/>
      <c r="F52" s="17" t="s">
        <v>40</v>
      </c>
      <c r="G52" s="206">
        <v>44771</v>
      </c>
      <c r="H52" s="207"/>
      <c r="I52" s="21" t="str">
        <f ca="1">IF(G52&gt;EDATE(E3,-48),"NO REMARK","CC REMARK FOR CC")</f>
        <v>NO REMARK</v>
      </c>
      <c r="J52" s="73"/>
      <c r="R52"/>
      <c r="S52" s="54" t="s">
        <v>249</v>
      </c>
      <c r="T52" s="54" t="s">
        <v>254</v>
      </c>
      <c r="U52" s="54" t="s">
        <v>251</v>
      </c>
      <c r="V52" s="54" t="s">
        <v>270</v>
      </c>
    </row>
    <row r="53" spans="1:24" s="22" customFormat="1" ht="48.75" customHeight="1" x14ac:dyDescent="0.25">
      <c r="A53" s="213"/>
      <c r="B53" s="214"/>
      <c r="C53" s="131" t="s">
        <v>426</v>
      </c>
      <c r="D53" s="178"/>
      <c r="E53" s="178"/>
      <c r="F53" s="178"/>
      <c r="G53" s="178"/>
      <c r="H53" s="132"/>
      <c r="R53"/>
      <c r="S53" s="54"/>
      <c r="T53" s="54"/>
      <c r="U53" s="54"/>
      <c r="V53" s="69"/>
    </row>
    <row r="54" spans="1:24" s="22" customFormat="1" hidden="1" x14ac:dyDescent="0.25">
      <c r="A54" s="126" t="s">
        <v>274</v>
      </c>
      <c r="B54" s="127"/>
      <c r="C54" s="131"/>
      <c r="D54" s="178"/>
      <c r="E54" s="132"/>
      <c r="F54" s="17" t="s">
        <v>40</v>
      </c>
      <c r="G54" s="206"/>
      <c r="H54" s="207"/>
      <c r="K54" s="74">
        <f>EDATE(G52,-48)</f>
        <v>43310</v>
      </c>
      <c r="L54" s="22" t="str">
        <f ca="1">IF(G52&gt;EDATE(E3,-48),"NO REMARK","CC REMARK FOR CC")</f>
        <v>NO REMARK</v>
      </c>
      <c r="R54"/>
      <c r="S54" s="54" t="s">
        <v>249</v>
      </c>
      <c r="T54" s="54" t="s">
        <v>254</v>
      </c>
      <c r="U54" s="54" t="s">
        <v>251</v>
      </c>
      <c r="V54" s="54" t="s">
        <v>270</v>
      </c>
    </row>
    <row r="55" spans="1:24" s="22" customFormat="1" ht="32.25" hidden="1" customHeight="1" x14ac:dyDescent="0.25">
      <c r="A55" s="128"/>
      <c r="B55" s="129"/>
      <c r="C55" s="208"/>
      <c r="D55" s="209"/>
      <c r="E55" s="209"/>
      <c r="F55" s="209"/>
      <c r="G55" s="209"/>
      <c r="H55" s="210"/>
      <c r="R55"/>
      <c r="S55" s="54" t="s">
        <v>251</v>
      </c>
      <c r="T55" s="54" t="s">
        <v>255</v>
      </c>
      <c r="U55" s="54" t="s">
        <v>265</v>
      </c>
      <c r="V55" s="70"/>
      <c r="W55" s="20"/>
      <c r="X55" s="20"/>
    </row>
    <row r="56" spans="1:24" s="22" customFormat="1" ht="34.5" hidden="1" customHeight="1" x14ac:dyDescent="0.25">
      <c r="A56" s="126" t="s">
        <v>275</v>
      </c>
      <c r="B56" s="127"/>
      <c r="C56" s="131">
        <f>C55</f>
        <v>0</v>
      </c>
      <c r="D56" s="178"/>
      <c r="E56" s="132"/>
      <c r="F56" s="17" t="s">
        <v>40</v>
      </c>
      <c r="G56" s="206"/>
      <c r="H56" s="207"/>
      <c r="R56"/>
      <c r="S56" s="70"/>
      <c r="T56" s="54" t="s">
        <v>256</v>
      </c>
      <c r="U56" s="54" t="s">
        <v>266</v>
      </c>
      <c r="V56" s="70"/>
      <c r="W56" s="20"/>
      <c r="X56" s="20"/>
    </row>
    <row r="57" spans="1:24" s="22" customFormat="1" ht="41.25" hidden="1" customHeight="1" x14ac:dyDescent="0.25">
      <c r="A57" s="128"/>
      <c r="B57" s="129"/>
      <c r="C57" s="131"/>
      <c r="D57" s="178"/>
      <c r="E57" s="178"/>
      <c r="F57" s="178"/>
      <c r="G57" s="178"/>
      <c r="H57" s="132"/>
      <c r="R57"/>
      <c r="S57" s="70"/>
      <c r="T57" s="54" t="s">
        <v>258</v>
      </c>
      <c r="U57" s="54" t="s">
        <v>267</v>
      </c>
      <c r="V57" s="70"/>
      <c r="W57" s="20"/>
      <c r="X57" s="20"/>
    </row>
    <row r="58" spans="1:24" s="22" customFormat="1" ht="15.75" hidden="1" customHeight="1" x14ac:dyDescent="0.25">
      <c r="A58" s="126" t="s">
        <v>344</v>
      </c>
      <c r="B58" s="127"/>
      <c r="C58" s="179"/>
      <c r="D58" s="180"/>
      <c r="E58" s="181"/>
      <c r="F58" s="17" t="s">
        <v>40</v>
      </c>
      <c r="G58" s="206"/>
      <c r="H58" s="207"/>
      <c r="R58"/>
      <c r="S58" s="70"/>
      <c r="T58" s="54" t="s">
        <v>259</v>
      </c>
      <c r="U58" s="70" t="s">
        <v>289</v>
      </c>
      <c r="V58" s="70"/>
      <c r="W58" s="20"/>
      <c r="X58" s="20"/>
    </row>
    <row r="59" spans="1:24" s="22" customFormat="1" ht="33.75" hidden="1" customHeight="1" x14ac:dyDescent="0.25">
      <c r="A59" s="176"/>
      <c r="B59" s="177"/>
      <c r="C59" s="182"/>
      <c r="D59" s="183"/>
      <c r="E59" s="184"/>
      <c r="F59" s="17" t="s">
        <v>345</v>
      </c>
      <c r="G59" s="206"/>
      <c r="H59" s="207"/>
      <c r="R59"/>
      <c r="S59" s="70"/>
      <c r="T59" s="54" t="s">
        <v>260</v>
      </c>
      <c r="U59" s="70"/>
      <c r="V59" s="70"/>
      <c r="W59" s="20"/>
      <c r="X59" s="20"/>
    </row>
    <row r="60" spans="1:24" s="22" customFormat="1" ht="33.75" hidden="1" customHeight="1" x14ac:dyDescent="0.25">
      <c r="A60" s="128"/>
      <c r="B60" s="129"/>
      <c r="C60" s="131" t="s">
        <v>367</v>
      </c>
      <c r="D60" s="178"/>
      <c r="E60" s="178"/>
      <c r="F60" s="178"/>
      <c r="G60" s="178"/>
      <c r="H60" s="132"/>
      <c r="R60"/>
      <c r="S60" s="70"/>
      <c r="T60" s="54"/>
      <c r="U60" s="70"/>
      <c r="V60" s="70"/>
      <c r="W60" s="20"/>
      <c r="X60" s="20"/>
    </row>
    <row r="61" spans="1:24" x14ac:dyDescent="0.25">
      <c r="A61" s="117" t="s">
        <v>42</v>
      </c>
      <c r="B61" s="118"/>
      <c r="C61" s="117" t="s">
        <v>101</v>
      </c>
      <c r="D61" s="119"/>
      <c r="E61" s="118"/>
      <c r="F61" s="43" t="s">
        <v>40</v>
      </c>
      <c r="G61" s="124" t="s">
        <v>28</v>
      </c>
      <c r="H61" s="125"/>
      <c r="R61"/>
      <c r="S61" s="70"/>
      <c r="T61" s="54" t="s">
        <v>262</v>
      </c>
      <c r="U61" s="70"/>
      <c r="V61" s="70"/>
    </row>
    <row r="62" spans="1:24" x14ac:dyDescent="0.25">
      <c r="A62" s="168" t="s">
        <v>44</v>
      </c>
      <c r="B62" s="168"/>
      <c r="C62" s="168"/>
      <c r="D62" s="168"/>
      <c r="E62" s="168"/>
      <c r="F62" s="168"/>
      <c r="G62" s="168"/>
      <c r="H62" s="168"/>
      <c r="S62" s="70"/>
      <c r="T62" s="54" t="s">
        <v>271</v>
      </c>
      <c r="U62" s="70"/>
      <c r="V62" s="70"/>
    </row>
    <row r="63" spans="1:24" ht="31.5" customHeight="1" x14ac:dyDescent="0.25">
      <c r="A63" s="122" t="s">
        <v>432</v>
      </c>
      <c r="B63" s="122"/>
      <c r="C63" s="122"/>
      <c r="D63" s="109">
        <f>8009.09</f>
        <v>8009.09</v>
      </c>
      <c r="E63" s="109"/>
      <c r="F63" s="109"/>
      <c r="G63" s="109"/>
      <c r="H63" s="109"/>
      <c r="R63"/>
    </row>
    <row r="64" spans="1:24" x14ac:dyDescent="0.25">
      <c r="A64" s="220" t="s">
        <v>45</v>
      </c>
      <c r="B64" s="221"/>
      <c r="C64" s="221"/>
      <c r="D64" s="123" t="s">
        <v>414</v>
      </c>
      <c r="E64" s="123"/>
      <c r="F64" s="123"/>
      <c r="G64" s="123"/>
      <c r="H64" s="123"/>
      <c r="I64" s="23"/>
      <c r="R64"/>
    </row>
    <row r="65" spans="1:19" x14ac:dyDescent="0.25">
      <c r="A65" s="226" t="s">
        <v>46</v>
      </c>
      <c r="B65" s="227"/>
      <c r="C65" s="228"/>
      <c r="D65" s="201" t="s">
        <v>420</v>
      </c>
      <c r="E65" s="225"/>
      <c r="F65" s="225"/>
      <c r="G65" s="225"/>
      <c r="H65" s="225"/>
      <c r="R65"/>
    </row>
    <row r="66" spans="1:19" ht="15.75" customHeight="1" x14ac:dyDescent="0.25">
      <c r="A66" s="226" t="s">
        <v>85</v>
      </c>
      <c r="B66" s="227"/>
      <c r="C66" s="227"/>
      <c r="D66" s="201" t="s">
        <v>420</v>
      </c>
      <c r="E66" s="225"/>
      <c r="F66" s="225"/>
      <c r="G66" s="225"/>
      <c r="H66" s="225"/>
      <c r="R66"/>
    </row>
    <row r="67" spans="1:19" ht="15.75" customHeight="1" x14ac:dyDescent="0.25">
      <c r="A67" s="109" t="s">
        <v>43</v>
      </c>
      <c r="B67" s="109"/>
      <c r="C67" s="109"/>
      <c r="D67" s="219" t="s">
        <v>396</v>
      </c>
      <c r="E67" s="219"/>
      <c r="F67" s="219"/>
      <c r="G67" s="219"/>
      <c r="H67" s="219"/>
      <c r="J67" s="24"/>
      <c r="K67" s="23"/>
      <c r="N67" s="23"/>
      <c r="S67"/>
    </row>
    <row r="68" spans="1:19" ht="15.75" customHeight="1" x14ac:dyDescent="0.25">
      <c r="A68" s="109" t="s">
        <v>83</v>
      </c>
      <c r="B68" s="109"/>
      <c r="C68" s="109"/>
      <c r="D68" s="219" t="str">
        <f>(IF(G61="NA","60 Years After Completion",IF(G61&lt;&gt;"NA",""&amp;60-ROUNDDOWN((E3-G61)/360,0)&amp;" Years"," ")))</f>
        <v>60 Years After Completion</v>
      </c>
      <c r="E68" s="219"/>
      <c r="F68" s="219"/>
      <c r="G68" s="219"/>
      <c r="H68" s="219"/>
      <c r="N68" s="23"/>
      <c r="S68"/>
    </row>
    <row r="69" spans="1:19" ht="15.75" customHeight="1" x14ac:dyDescent="0.25">
      <c r="A69" s="109" t="s">
        <v>84</v>
      </c>
      <c r="B69" s="109"/>
      <c r="C69" s="109"/>
      <c r="D69" s="122" t="s">
        <v>23</v>
      </c>
      <c r="E69" s="122"/>
      <c r="F69" s="122"/>
      <c r="G69" s="122"/>
      <c r="H69" s="122"/>
      <c r="J69" s="25"/>
      <c r="K69" s="25"/>
      <c r="S69"/>
    </row>
    <row r="70" spans="1:19" ht="33" customHeight="1" x14ac:dyDescent="0.25">
      <c r="A70" s="123" t="s">
        <v>415</v>
      </c>
      <c r="B70" s="123"/>
      <c r="C70" s="123"/>
      <c r="D70" s="174" t="s">
        <v>421</v>
      </c>
      <c r="E70" s="122"/>
      <c r="F70" s="122"/>
      <c r="G70" s="122"/>
      <c r="H70" s="122"/>
      <c r="S70"/>
    </row>
    <row r="71" spans="1:19" x14ac:dyDescent="0.25">
      <c r="A71" s="122" t="s">
        <v>141</v>
      </c>
      <c r="B71" s="122"/>
      <c r="C71" s="122"/>
      <c r="D71" s="122" t="s">
        <v>28</v>
      </c>
      <c r="E71" s="122"/>
      <c r="F71" s="122"/>
      <c r="G71" s="122"/>
      <c r="H71" s="122"/>
      <c r="I71" s="26"/>
      <c r="J71" s="26"/>
      <c r="K71" s="26"/>
      <c r="L71" s="26"/>
      <c r="M71" s="26"/>
      <c r="N71" s="26"/>
    </row>
    <row r="72" spans="1:19" ht="15.75" customHeight="1" x14ac:dyDescent="0.25">
      <c r="A72" s="202" t="s">
        <v>82</v>
      </c>
      <c r="B72" s="202"/>
      <c r="C72" s="202"/>
      <c r="D72" s="201" t="str">
        <f ca="1">(IF(G78&gt;95%,"Nothing",IF(G78&gt;0%,"Cement, Aggregate, Steel, etc",IF(G78=0%,"Work not yet Started"))))</f>
        <v>Work not yet Started</v>
      </c>
      <c r="E72" s="201"/>
      <c r="F72" s="201"/>
      <c r="G72" s="201"/>
      <c r="H72" s="201"/>
      <c r="J72" s="25"/>
      <c r="S72"/>
    </row>
    <row r="73" spans="1:19" ht="33.75" customHeight="1" thickBot="1" x14ac:dyDescent="0.3">
      <c r="A73" s="200" t="s">
        <v>114</v>
      </c>
      <c r="B73" s="200"/>
      <c r="C73" s="200"/>
      <c r="D73" s="201" t="str">
        <f ca="1">(IF(D72="Nothing","Yes",IF(D72="Cement, Aggregate, Steel, etc","Under Construction",IF(D72="Work not yet Started","Work not yet Started"))))</f>
        <v>Work not yet Started</v>
      </c>
      <c r="E73" s="201"/>
      <c r="F73" s="201" t="str">
        <f ca="1">(IF(D72="Nothing","Yes",IF(D72="Cement, Aggregate, Steel, etc","Under Construction",IF(D72="Work not yet Started","Work not yet Started"))))</f>
        <v>Work not yet Started</v>
      </c>
      <c r="G73" s="201"/>
      <c r="H73" s="201"/>
      <c r="S73"/>
    </row>
    <row r="74" spans="1:19" ht="15.75" customHeight="1" x14ac:dyDescent="0.25">
      <c r="A74" s="193" t="s">
        <v>133</v>
      </c>
      <c r="B74" s="194"/>
      <c r="C74" s="195" t="str">
        <f>D66</f>
        <v>Building 11 (Wing A) = G + 1st to 23rd Floor</v>
      </c>
      <c r="D74" s="196"/>
      <c r="E74" s="196"/>
      <c r="F74" s="196"/>
      <c r="G74" s="196"/>
      <c r="H74" s="197"/>
      <c r="I74" s="47" t="str">
        <f ca="1">IF(D87=100%,"All work Completed. Possession granted to the Building.",IF(D86=100%,"All work Completed, Waiting for OC",I75&amp;""&amp;I76&amp;""&amp;J75&amp;""&amp;J74&amp;" "&amp;J76))</f>
        <v xml:space="preserve">Work not yet Started. </v>
      </c>
      <c r="J74" s="48"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15" t="s">
        <v>135</v>
      </c>
      <c r="B75" s="45">
        <f>IF(AND(ISNUMBER(SEARCH("1B",C74))),1,IF(AND(ISNUMBER(SEARCH("2B",C74))),2,IF(AND(ISNUMBER(SEARCH("3B",C74))),3,IF(AND(ISNUMBER(SEARCH("4B",C74))),4,IF(ISNUMBER(SEARCH("5B",C74)),5,0)))))</f>
        <v>0</v>
      </c>
      <c r="C75" s="45" t="s">
        <v>68</v>
      </c>
      <c r="D75" s="45">
        <v>1</v>
      </c>
      <c r="E75" s="45" t="s">
        <v>67</v>
      </c>
      <c r="F75" s="45">
        <v>0</v>
      </c>
      <c r="G75" s="46" t="s">
        <v>76</v>
      </c>
      <c r="H75" s="16">
        <f ca="1">--TRIM(RIGHT(SUBSTITUTE(LEFT(C74,_xlfn.AGGREGATE(16,6,FIND({0,1,2,3,4,5,6,7,8,9},C74,ROW(INDIRECT("1:"&amp;LEN(C74)))),1))," ",REPT(" ",LEN(C74))),LEN(C74)))</f>
        <v>23</v>
      </c>
      <c r="I75" s="49" t="str">
        <f ca="1">IF(D78=100%,"Excavation","")&amp;IF(D79=100%,", Plinth","")&amp;IF(D80=100%,", RCC Slab","")&amp;IF(D81=100%,", Brickwork","")&amp;IF(D82=100%,", Internal Plaster","")&amp;IF(D83=100%,", External Plaster","")&amp;IF(D84=100%,", Flooring","")&amp;IF(D85=100%,", Painting","")&amp;IF(D86=100%,", Building common Amenities","")</f>
        <v/>
      </c>
      <c r="J75" s="50" t="str">
        <f>(IF(C78=0,"Work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Work not yet Started.</v>
      </c>
      <c r="S75"/>
    </row>
    <row r="76" spans="1:19" x14ac:dyDescent="0.25">
      <c r="A76" s="232" t="s">
        <v>86</v>
      </c>
      <c r="B76" s="172"/>
      <c r="C76" s="198" t="str">
        <f ca="1">I74</f>
        <v xml:space="preserve">Work not yet Started. </v>
      </c>
      <c r="D76" s="198"/>
      <c r="E76" s="198"/>
      <c r="F76" s="198"/>
      <c r="G76" s="198"/>
      <c r="H76" s="199"/>
      <c r="I76" s="49" t="str">
        <f ca="1">IF(I75&lt;&gt;""," Completed","")</f>
        <v/>
      </c>
      <c r="J76" s="50" t="str">
        <f ca="1">IF(J74&lt;&gt;"","Completed","")</f>
        <v/>
      </c>
      <c r="S76"/>
    </row>
    <row r="77" spans="1:19" ht="15.75" customHeight="1" x14ac:dyDescent="0.25">
      <c r="A77" s="103" t="s">
        <v>47</v>
      </c>
      <c r="B77" s="104"/>
      <c r="C77" s="42" t="s">
        <v>132</v>
      </c>
      <c r="D77" s="42" t="s">
        <v>79</v>
      </c>
      <c r="E77" s="104" t="s">
        <v>81</v>
      </c>
      <c r="F77" s="104"/>
      <c r="G77" s="104" t="s">
        <v>80</v>
      </c>
      <c r="H77" s="105"/>
      <c r="I77" s="13" t="s">
        <v>134</v>
      </c>
      <c r="J77" s="27">
        <f ca="1">H75*25%</f>
        <v>5.75</v>
      </c>
      <c r="S77"/>
    </row>
    <row r="78" spans="1:19" x14ac:dyDescent="0.25">
      <c r="A78" s="103" t="s">
        <v>121</v>
      </c>
      <c r="B78" s="104"/>
      <c r="C78" s="97">
        <f>J82</f>
        <v>0</v>
      </c>
      <c r="D78" s="18">
        <f ca="1">((100/H75)*C78)/100</f>
        <v>0</v>
      </c>
      <c r="E78" s="233">
        <f ca="1">(((C79/H75*10)+(40/(D75+F75+H75)*C80)+(7.5/(H75)*C81)+(7.5/(H75)*C82)+(10/H75*C83)+(10/H75*C84)+(5/H75*C85)+(5/H75*C86)+(5/H75*C87))/100)</f>
        <v>0</v>
      </c>
      <c r="F78" s="234"/>
      <c r="G78" s="233">
        <f ca="1">((((C78/H75)*20)+((C79/H75)*25)+(30/(H75+F75+D75)*C80)+(5/H75*C81)+(5/H75*C82)+(5/H75*C83)+(5/H75*C84)+(0/H75*C85)+(0/H75*C86)+(5/H75*C87))/100)</f>
        <v>0</v>
      </c>
      <c r="H78" s="239"/>
      <c r="I78" s="13" t="s">
        <v>96</v>
      </c>
      <c r="J78" s="28">
        <f ca="1">H75*50%</f>
        <v>11.5</v>
      </c>
    </row>
    <row r="79" spans="1:19" x14ac:dyDescent="0.25">
      <c r="A79" s="103" t="s">
        <v>48</v>
      </c>
      <c r="B79" s="104"/>
      <c r="C79" s="97">
        <f>J82</f>
        <v>0</v>
      </c>
      <c r="D79" s="18">
        <f ca="1">((100/H75)*C79)/100</f>
        <v>0</v>
      </c>
      <c r="E79" s="235"/>
      <c r="F79" s="236"/>
      <c r="G79" s="235"/>
      <c r="H79" s="240"/>
      <c r="I79" s="13" t="s">
        <v>97</v>
      </c>
      <c r="J79" s="28">
        <f ca="1">H75</f>
        <v>23</v>
      </c>
      <c r="L79" s="90"/>
      <c r="S79"/>
    </row>
    <row r="80" spans="1:19" ht="15.75" customHeight="1" x14ac:dyDescent="0.25">
      <c r="A80" s="103" t="s">
        <v>122</v>
      </c>
      <c r="B80" s="104"/>
      <c r="C80" s="98">
        <v>0</v>
      </c>
      <c r="D80" s="18">
        <f ca="1">((100/(D75+F75+H75))*C80)/100</f>
        <v>0</v>
      </c>
      <c r="E80" s="235"/>
      <c r="F80" s="236"/>
      <c r="G80" s="235"/>
      <c r="H80" s="240"/>
      <c r="I80" s="13" t="s">
        <v>98</v>
      </c>
      <c r="J80" s="29">
        <f ca="1">(IF(B75&gt;1,(H75/(B75+2)),H75/4))</f>
        <v>5.75</v>
      </c>
      <c r="S80"/>
    </row>
    <row r="81" spans="1:22" ht="15.75" customHeight="1" x14ac:dyDescent="0.25">
      <c r="A81" s="103" t="s">
        <v>129</v>
      </c>
      <c r="B81" s="104" t="s">
        <v>123</v>
      </c>
      <c r="C81" s="98">
        <v>0</v>
      </c>
      <c r="D81" s="18">
        <f ca="1">((100/H75)*C81)/100</f>
        <v>0</v>
      </c>
      <c r="E81" s="235"/>
      <c r="F81" s="236"/>
      <c r="G81" s="235"/>
      <c r="H81" s="240"/>
      <c r="I81" s="13" t="s">
        <v>99</v>
      </c>
      <c r="J81" s="29">
        <f ca="1">(IF(B75&gt;1,(H75/(B75+2)+J80),H75/4+J80))</f>
        <v>11.5</v>
      </c>
    </row>
    <row r="82" spans="1:22" ht="15.75" customHeight="1" x14ac:dyDescent="0.25">
      <c r="A82" s="103" t="s">
        <v>130</v>
      </c>
      <c r="B82" s="104" t="s">
        <v>123</v>
      </c>
      <c r="C82" s="98">
        <v>0</v>
      </c>
      <c r="D82" s="18">
        <f ca="1">((100/H75)*C82)/100</f>
        <v>0</v>
      </c>
      <c r="E82" s="235"/>
      <c r="F82" s="236"/>
      <c r="G82" s="235"/>
      <c r="H82" s="240"/>
      <c r="I82" s="13" t="s">
        <v>139</v>
      </c>
      <c r="J82" s="29">
        <f>(IF(B75&gt;1,(H75/(B75+2)+J81),0))</f>
        <v>0</v>
      </c>
    </row>
    <row r="83" spans="1:22" ht="15" customHeight="1" x14ac:dyDescent="0.25">
      <c r="A83" s="103" t="s">
        <v>128</v>
      </c>
      <c r="B83" s="104" t="s">
        <v>125</v>
      </c>
      <c r="C83" s="98">
        <v>0</v>
      </c>
      <c r="D83" s="18">
        <f ca="1">((100/(H75))*C83)/100</f>
        <v>0</v>
      </c>
      <c r="E83" s="235"/>
      <c r="F83" s="236"/>
      <c r="G83" s="235"/>
      <c r="H83" s="240"/>
      <c r="I83" s="13" t="s">
        <v>136</v>
      </c>
      <c r="J83" s="29">
        <f>(IF(B75&gt;2,(H75/(B75+2)+J82),0))</f>
        <v>0</v>
      </c>
    </row>
    <row r="84" spans="1:22" ht="15.75" customHeight="1" x14ac:dyDescent="0.25">
      <c r="A84" s="103" t="s">
        <v>124</v>
      </c>
      <c r="B84" s="104" t="s">
        <v>124</v>
      </c>
      <c r="C84" s="98">
        <v>0</v>
      </c>
      <c r="D84" s="18">
        <f ca="1">((100/H75)*C84)/100</f>
        <v>0</v>
      </c>
      <c r="E84" s="235"/>
      <c r="F84" s="236"/>
      <c r="G84" s="235"/>
      <c r="H84" s="240"/>
      <c r="I84" s="13" t="s">
        <v>137</v>
      </c>
      <c r="J84" s="30">
        <f>(IF(B75&gt;3,(H75/(B75+2)+J83),0))</f>
        <v>0</v>
      </c>
    </row>
    <row r="85" spans="1:22" ht="15.75" customHeight="1" x14ac:dyDescent="0.25">
      <c r="A85" s="103" t="s">
        <v>131</v>
      </c>
      <c r="B85" s="104"/>
      <c r="C85" s="98">
        <v>0</v>
      </c>
      <c r="D85" s="18">
        <f ca="1">((100/H75)*C85)/100</f>
        <v>0</v>
      </c>
      <c r="E85" s="235"/>
      <c r="F85" s="236"/>
      <c r="G85" s="235"/>
      <c r="H85" s="240"/>
      <c r="I85" s="13" t="s">
        <v>138</v>
      </c>
      <c r="J85" s="29">
        <f>(IF(B75&gt;4,(H75/(B75+2)+J84),0))</f>
        <v>0</v>
      </c>
    </row>
    <row r="86" spans="1:22" ht="15.75" customHeight="1" x14ac:dyDescent="0.25">
      <c r="A86" s="103" t="s">
        <v>126</v>
      </c>
      <c r="B86" s="104" t="s">
        <v>126</v>
      </c>
      <c r="C86" s="98">
        <v>0</v>
      </c>
      <c r="D86" s="18">
        <f ca="1">((100/(H75))*C86)/100</f>
        <v>0</v>
      </c>
      <c r="E86" s="235"/>
      <c r="F86" s="236"/>
      <c r="G86" s="235"/>
      <c r="H86" s="240"/>
      <c r="I86" s="13" t="s">
        <v>140</v>
      </c>
      <c r="J86" s="29">
        <f ca="1">(IF(B75=1,(H75/(B75+3)+J81),IF(B75=0,(H75/4+J81),IF(B75&gt;1,0))))</f>
        <v>17.25</v>
      </c>
    </row>
    <row r="87" spans="1:22" ht="16.5" thickBot="1" x14ac:dyDescent="0.3">
      <c r="A87" s="106" t="s">
        <v>127</v>
      </c>
      <c r="B87" s="107"/>
      <c r="C87" s="99">
        <v>0</v>
      </c>
      <c r="D87" s="19">
        <f ca="1">((100/(H75))*C87)/100</f>
        <v>0</v>
      </c>
      <c r="E87" s="237"/>
      <c r="F87" s="238"/>
      <c r="G87" s="237"/>
      <c r="H87" s="241"/>
      <c r="I87" s="14" t="s">
        <v>100</v>
      </c>
      <c r="J87" s="31">
        <f ca="1">(IF(B75&gt;1.5,(H75/(B75+2)+J81+MAX(0,J82-J81)+MAX(0,J83-J82)+MAX(0,J84-J83)+MAX(0,J85-J84)+MAX(0,J86-J85)),IF(B75=1,(H75/(B75+3)+J86),IF(B75=0,H75/4+J86))))</f>
        <v>23</v>
      </c>
    </row>
    <row r="88" spans="1:22" x14ac:dyDescent="0.25">
      <c r="A88" s="155" t="s">
        <v>150</v>
      </c>
      <c r="B88" s="155"/>
      <c r="C88" s="155"/>
      <c r="D88" s="155"/>
      <c r="E88" s="155"/>
      <c r="F88" s="161" t="s">
        <v>154</v>
      </c>
      <c r="G88" s="161"/>
      <c r="H88" s="161"/>
      <c r="R88" t="s">
        <v>246</v>
      </c>
      <c r="S88" t="s">
        <v>165</v>
      </c>
      <c r="T88" t="s">
        <v>173</v>
      </c>
      <c r="U88" t="s">
        <v>187</v>
      </c>
      <c r="V88" t="s">
        <v>182</v>
      </c>
    </row>
    <row r="89" spans="1:22" x14ac:dyDescent="0.25">
      <c r="A89" s="109" t="s">
        <v>152</v>
      </c>
      <c r="B89" s="109"/>
      <c r="C89" s="109"/>
      <c r="D89" s="109"/>
      <c r="E89" s="109"/>
      <c r="F89" s="110">
        <v>5800</v>
      </c>
      <c r="G89" s="110"/>
      <c r="H89" s="110"/>
      <c r="R89"/>
      <c r="S89">
        <v>800000</v>
      </c>
      <c r="T89">
        <v>150000</v>
      </c>
      <c r="U89">
        <v>100000</v>
      </c>
      <c r="V89">
        <v>100000</v>
      </c>
    </row>
    <row r="90" spans="1:22" x14ac:dyDescent="0.25">
      <c r="A90" s="109" t="s">
        <v>151</v>
      </c>
      <c r="B90" s="109"/>
      <c r="C90" s="109"/>
      <c r="D90" s="109"/>
      <c r="E90" s="109"/>
      <c r="F90" s="110">
        <v>12000</v>
      </c>
      <c r="G90" s="110"/>
      <c r="H90" s="110"/>
      <c r="R90"/>
      <c r="S90">
        <v>900000</v>
      </c>
      <c r="T90">
        <v>200000</v>
      </c>
      <c r="U90">
        <v>150000</v>
      </c>
      <c r="V90">
        <v>150000</v>
      </c>
    </row>
    <row r="91" spans="1:22" hidden="1" x14ac:dyDescent="0.25">
      <c r="A91" s="109" t="s">
        <v>153</v>
      </c>
      <c r="B91" s="109"/>
      <c r="C91" s="109"/>
      <c r="D91" s="109"/>
      <c r="E91" s="109"/>
      <c r="F91" s="110"/>
      <c r="G91" s="110"/>
      <c r="H91" s="110"/>
      <c r="R91"/>
      <c r="S91">
        <v>1000000</v>
      </c>
      <c r="T91">
        <v>250000</v>
      </c>
      <c r="U91">
        <v>200000</v>
      </c>
      <c r="V91">
        <v>200000</v>
      </c>
    </row>
    <row r="92" spans="1:22" s="32" customFormat="1" hidden="1" x14ac:dyDescent="0.25">
      <c r="A92" s="109" t="s">
        <v>168</v>
      </c>
      <c r="B92" s="109"/>
      <c r="C92" s="109"/>
      <c r="D92" s="109"/>
      <c r="E92" s="109"/>
      <c r="F92" s="110"/>
      <c r="G92" s="110"/>
      <c r="H92" s="110"/>
      <c r="R92"/>
      <c r="S92">
        <v>1100000</v>
      </c>
      <c r="T92">
        <v>300000</v>
      </c>
      <c r="U92">
        <v>250000</v>
      </c>
      <c r="V92" s="22">
        <v>250000</v>
      </c>
    </row>
    <row r="93" spans="1:22" s="32" customFormat="1" x14ac:dyDescent="0.25">
      <c r="A93" s="109" t="s">
        <v>429</v>
      </c>
      <c r="B93" s="109"/>
      <c r="C93" s="109"/>
      <c r="D93" s="109"/>
      <c r="E93" s="109"/>
      <c r="F93" s="110">
        <v>250000</v>
      </c>
      <c r="G93" s="110"/>
      <c r="H93" s="110"/>
      <c r="R93"/>
      <c r="S93">
        <v>1200000</v>
      </c>
      <c r="T93">
        <v>350000</v>
      </c>
      <c r="U93">
        <v>300000</v>
      </c>
      <c r="V93">
        <v>300000</v>
      </c>
    </row>
    <row r="94" spans="1:22" s="32" customFormat="1" hidden="1" x14ac:dyDescent="0.25">
      <c r="A94" s="109" t="s">
        <v>90</v>
      </c>
      <c r="B94" s="109"/>
      <c r="C94" s="109"/>
      <c r="D94" s="109"/>
      <c r="E94" s="109"/>
      <c r="F94" s="110"/>
      <c r="G94" s="110"/>
      <c r="H94" s="110"/>
      <c r="R94"/>
      <c r="S94">
        <v>1200000</v>
      </c>
      <c r="T94">
        <v>350000</v>
      </c>
      <c r="U94">
        <v>300000</v>
      </c>
      <c r="V94">
        <v>300000</v>
      </c>
    </row>
    <row r="95" spans="1:22" s="32" customFormat="1" hidden="1" x14ac:dyDescent="0.25">
      <c r="A95" s="109" t="s">
        <v>91</v>
      </c>
      <c r="B95" s="109"/>
      <c r="C95" s="109"/>
      <c r="D95" s="109"/>
      <c r="E95" s="109"/>
      <c r="F95" s="110"/>
      <c r="G95" s="110"/>
      <c r="H95" s="110"/>
      <c r="R95"/>
      <c r="S95">
        <v>1300000</v>
      </c>
      <c r="T95">
        <v>400000</v>
      </c>
      <c r="U95">
        <v>350000</v>
      </c>
      <c r="V95" s="22">
        <v>400000</v>
      </c>
    </row>
    <row r="96" spans="1:22" s="32" customFormat="1" hidden="1" x14ac:dyDescent="0.25">
      <c r="A96" s="109" t="s">
        <v>92</v>
      </c>
      <c r="B96" s="109"/>
      <c r="C96" s="109"/>
      <c r="D96" s="109"/>
      <c r="E96" s="109"/>
      <c r="F96" s="110"/>
      <c r="G96" s="110"/>
      <c r="H96" s="110"/>
      <c r="R96"/>
      <c r="S96">
        <v>1400000</v>
      </c>
      <c r="T96">
        <v>500000</v>
      </c>
      <c r="U96">
        <v>400000</v>
      </c>
      <c r="V96"/>
    </row>
    <row r="97" spans="1:22" s="32" customFormat="1" hidden="1" x14ac:dyDescent="0.25">
      <c r="A97" s="109" t="s">
        <v>93</v>
      </c>
      <c r="B97" s="109"/>
      <c r="C97" s="109"/>
      <c r="D97" s="109"/>
      <c r="E97" s="109"/>
      <c r="F97" s="110"/>
      <c r="G97" s="110"/>
      <c r="H97" s="110"/>
      <c r="R97"/>
      <c r="S97">
        <v>1500000</v>
      </c>
      <c r="T97">
        <v>600000</v>
      </c>
      <c r="U97">
        <v>500000</v>
      </c>
      <c r="V97" s="22"/>
    </row>
    <row r="98" spans="1:22" s="32" customFormat="1" hidden="1" x14ac:dyDescent="0.25">
      <c r="A98" s="109" t="s">
        <v>94</v>
      </c>
      <c r="B98" s="109"/>
      <c r="C98" s="109"/>
      <c r="D98" s="109"/>
      <c r="E98" s="109"/>
      <c r="F98" s="110"/>
      <c r="G98" s="110"/>
      <c r="H98" s="110"/>
      <c r="R98"/>
      <c r="S98">
        <v>1600000</v>
      </c>
      <c r="T98">
        <v>700000</v>
      </c>
      <c r="U98">
        <v>600000</v>
      </c>
      <c r="V98"/>
    </row>
    <row r="99" spans="1:22" s="32" customFormat="1" hidden="1" x14ac:dyDescent="0.25">
      <c r="A99" s="109" t="s">
        <v>95</v>
      </c>
      <c r="B99" s="109"/>
      <c r="C99" s="109"/>
      <c r="D99" s="109"/>
      <c r="E99" s="109"/>
      <c r="F99" s="110"/>
      <c r="G99" s="110"/>
      <c r="H99" s="110"/>
      <c r="R99"/>
      <c r="S99">
        <v>1700000</v>
      </c>
      <c r="T99">
        <v>800000</v>
      </c>
      <c r="U99"/>
      <c r="V99" s="22"/>
    </row>
    <row r="100" spans="1:22" x14ac:dyDescent="0.25">
      <c r="A100" s="109" t="s">
        <v>49</v>
      </c>
      <c r="B100" s="109"/>
      <c r="C100" s="109"/>
      <c r="D100" s="109"/>
      <c r="E100" s="109"/>
      <c r="F100" s="110">
        <v>300000</v>
      </c>
      <c r="G100" s="110"/>
      <c r="H100" s="110"/>
      <c r="R100"/>
      <c r="S100">
        <v>1800000</v>
      </c>
      <c r="T100">
        <v>900000</v>
      </c>
      <c r="U100"/>
    </row>
    <row r="101" spans="1:22" s="33" customFormat="1" x14ac:dyDescent="0.25">
      <c r="A101" s="165" t="s">
        <v>50</v>
      </c>
      <c r="B101" s="165"/>
      <c r="C101" s="165"/>
      <c r="D101" s="165"/>
      <c r="E101" s="165"/>
      <c r="F101" s="110">
        <f>F89*0.8</f>
        <v>4640</v>
      </c>
      <c r="G101" s="110"/>
      <c r="H101" s="110"/>
      <c r="R101" s="20"/>
      <c r="S101" s="20"/>
      <c r="T101">
        <v>1000000</v>
      </c>
      <c r="U101"/>
      <c r="V101" s="20"/>
    </row>
    <row r="102" spans="1:22" s="34" customFormat="1" ht="15.75" customHeight="1" x14ac:dyDescent="0.25">
      <c r="A102" s="164" t="s">
        <v>71</v>
      </c>
      <c r="B102" s="164"/>
      <c r="C102" s="164"/>
      <c r="D102" s="164"/>
      <c r="E102" s="164"/>
      <c r="F102" s="164"/>
      <c r="G102" s="164"/>
      <c r="H102" s="164"/>
      <c r="R102"/>
      <c r="S102" s="20"/>
      <c r="T102"/>
      <c r="U102"/>
      <c r="V102" s="20"/>
    </row>
    <row r="103" spans="1:22" s="34" customFormat="1" ht="15.75" customHeight="1" x14ac:dyDescent="0.25">
      <c r="A103" s="120" t="s">
        <v>51</v>
      </c>
      <c r="B103" s="120"/>
      <c r="C103" s="121" t="s">
        <v>74</v>
      </c>
      <c r="D103" s="121"/>
      <c r="E103" s="108" t="s">
        <v>52</v>
      </c>
      <c r="F103" s="108"/>
      <c r="G103" s="116" t="s">
        <v>53</v>
      </c>
      <c r="H103" s="116"/>
      <c r="R103"/>
      <c r="S103" s="20"/>
      <c r="T103"/>
      <c r="U103" s="20"/>
      <c r="V103" s="20"/>
    </row>
    <row r="104" spans="1:22" s="34" customFormat="1" x14ac:dyDescent="0.25">
      <c r="A104" s="167" t="s">
        <v>408</v>
      </c>
      <c r="B104" s="167"/>
      <c r="C104" s="140">
        <f>COUNT(D117:D129)</f>
        <v>13</v>
      </c>
      <c r="D104" s="140"/>
      <c r="E104" s="140">
        <f t="shared" ref="E104" si="0">SUM(F117:F129)</f>
        <v>2124.1677599999998</v>
      </c>
      <c r="F104" s="140"/>
      <c r="G104" s="140">
        <f>SUM(H117:H129)</f>
        <v>3292.4600280000004</v>
      </c>
      <c r="H104" s="140"/>
      <c r="I104" s="96" t="s">
        <v>410</v>
      </c>
      <c r="R104"/>
      <c r="S104" s="20"/>
      <c r="T104"/>
      <c r="U104" s="20"/>
      <c r="V104" s="20"/>
    </row>
    <row r="105" spans="1:22" s="34" customFormat="1" hidden="1" x14ac:dyDescent="0.25">
      <c r="A105" s="164" t="s">
        <v>143</v>
      </c>
      <c r="B105" s="164"/>
      <c r="C105" s="246">
        <f>SUM(C104)</f>
        <v>13</v>
      </c>
      <c r="D105" s="121"/>
      <c r="E105" s="247">
        <f>SUM(E104)</f>
        <v>2124.1677599999998</v>
      </c>
      <c r="F105" s="108"/>
      <c r="G105" s="116">
        <f>SUM(G104)</f>
        <v>3292.4600280000004</v>
      </c>
      <c r="H105" s="116"/>
      <c r="R105"/>
      <c r="S105" s="20"/>
      <c r="T105"/>
      <c r="U105" s="20"/>
      <c r="V105" s="20"/>
    </row>
    <row r="106" spans="1:22" s="34" customFormat="1" x14ac:dyDescent="0.25">
      <c r="A106" s="164" t="s">
        <v>66</v>
      </c>
      <c r="B106" s="164"/>
      <c r="C106" s="164"/>
      <c r="D106" s="164"/>
      <c r="E106" s="164"/>
      <c r="F106" s="164"/>
      <c r="G106" s="164"/>
      <c r="H106" s="164"/>
      <c r="T106"/>
    </row>
    <row r="107" spans="1:22" s="34" customFormat="1" ht="15.75" customHeight="1" x14ac:dyDescent="0.25">
      <c r="A107" s="116" t="s">
        <v>51</v>
      </c>
      <c r="B107" s="116"/>
      <c r="C107" s="121" t="s">
        <v>74</v>
      </c>
      <c r="D107" s="121"/>
      <c r="E107" s="108" t="s">
        <v>52</v>
      </c>
      <c r="F107" s="108"/>
      <c r="G107" s="116" t="s">
        <v>53</v>
      </c>
      <c r="H107" s="116"/>
      <c r="T107"/>
    </row>
    <row r="108" spans="1:22" s="34" customFormat="1" ht="16.5" thickBot="1" x14ac:dyDescent="0.3">
      <c r="A108" s="167" t="s">
        <v>409</v>
      </c>
      <c r="B108" s="167"/>
      <c r="C108" s="140">
        <f>COUNT(D135:D140)+COUNT(D142:D147)*19+COUNT(D149:D150,D152:D154)*3</f>
        <v>135</v>
      </c>
      <c r="D108" s="140"/>
      <c r="E108" s="140">
        <f t="shared" ref="E108" si="1">SUM(F135:F140)+SUM(F142:F147)*19+SUM(F149:F150,F152:F154)*3</f>
        <v>73981.725479999994</v>
      </c>
      <c r="F108" s="140"/>
      <c r="G108" s="140">
        <f>SUM(H135:H140)+SUM(H142:H147)*19+SUM(H149:H150,H152:H154)*3</f>
        <v>111254.47944</v>
      </c>
      <c r="H108" s="140"/>
      <c r="I108" s="96" t="s">
        <v>410</v>
      </c>
      <c r="T108"/>
    </row>
    <row r="109" spans="1:22" s="34" customFormat="1" ht="16.5" hidden="1" thickBot="1" x14ac:dyDescent="0.3">
      <c r="A109" s="242" t="s">
        <v>143</v>
      </c>
      <c r="B109" s="242"/>
      <c r="C109" s="141">
        <f>SUM(C108)</f>
        <v>135</v>
      </c>
      <c r="D109" s="142"/>
      <c r="E109" s="243">
        <f>SUM(E108)</f>
        <v>73981.725479999994</v>
      </c>
      <c r="F109" s="244"/>
      <c r="G109" s="245">
        <f>SUM(G108)</f>
        <v>111254.47944</v>
      </c>
      <c r="H109" s="245"/>
      <c r="T109"/>
    </row>
    <row r="110" spans="1:22" s="34" customFormat="1" ht="16.5" thickBot="1" x14ac:dyDescent="0.3">
      <c r="A110" s="153" t="s">
        <v>159</v>
      </c>
      <c r="B110" s="154"/>
      <c r="C110" s="169">
        <f>C105+C109</f>
        <v>148</v>
      </c>
      <c r="D110" s="169"/>
      <c r="E110" s="218">
        <f>E105+E109</f>
        <v>76105.89323999999</v>
      </c>
      <c r="F110" s="218"/>
      <c r="G110" s="223">
        <f>G105+G109</f>
        <v>114546.939468</v>
      </c>
      <c r="H110" s="224"/>
      <c r="T110"/>
    </row>
    <row r="111" spans="1:22" s="33" customFormat="1" x14ac:dyDescent="0.25">
      <c r="A111" s="150" t="s">
        <v>347</v>
      </c>
      <c r="B111" s="150"/>
      <c r="C111" s="150"/>
      <c r="D111" s="150"/>
      <c r="E111" s="150"/>
      <c r="F111" s="150"/>
      <c r="G111" s="150"/>
      <c r="H111" s="150"/>
      <c r="T111" s="34"/>
    </row>
    <row r="112" spans="1:22" x14ac:dyDescent="0.25">
      <c r="A112" s="115" t="s">
        <v>167</v>
      </c>
      <c r="B112" s="115"/>
      <c r="C112" s="115"/>
      <c r="D112" s="115"/>
      <c r="E112" s="115"/>
      <c r="F112" s="115"/>
      <c r="G112" s="115"/>
      <c r="H112" s="115"/>
      <c r="T112" s="34"/>
    </row>
    <row r="113" spans="1:20" ht="47.25" customHeight="1" x14ac:dyDescent="0.25">
      <c r="A113" s="138" t="s">
        <v>407</v>
      </c>
      <c r="B113" s="138" t="s">
        <v>169</v>
      </c>
      <c r="C113" s="138" t="s">
        <v>54</v>
      </c>
      <c r="D113" s="138" t="s">
        <v>225</v>
      </c>
      <c r="E113" s="156" t="s">
        <v>149</v>
      </c>
      <c r="F113" s="138" t="s">
        <v>55</v>
      </c>
      <c r="G113" s="156" t="s">
        <v>56</v>
      </c>
      <c r="H113" s="94" t="s">
        <v>142</v>
      </c>
      <c r="I113" s="93">
        <f>10.764</f>
        <v>10.763999999999999</v>
      </c>
      <c r="T113" s="34"/>
    </row>
    <row r="114" spans="1:20" s="36" customFormat="1" x14ac:dyDescent="0.25">
      <c r="A114" s="139"/>
      <c r="B114" s="139"/>
      <c r="C114" s="139"/>
      <c r="D114" s="139"/>
      <c r="E114" s="157"/>
      <c r="F114" s="139"/>
      <c r="G114" s="157"/>
      <c r="H114" s="95">
        <v>0.55000000000000004</v>
      </c>
      <c r="T114" s="34"/>
    </row>
    <row r="115" spans="1:20" s="100" customFormat="1" x14ac:dyDescent="0.25">
      <c r="A115" s="133" t="s">
        <v>417</v>
      </c>
      <c r="B115" s="134"/>
      <c r="C115" s="134"/>
      <c r="D115" s="134"/>
      <c r="E115" s="134"/>
      <c r="F115" s="134"/>
      <c r="G115" s="134"/>
      <c r="H115" s="135"/>
      <c r="J115" s="35"/>
      <c r="T115" s="34"/>
    </row>
    <row r="116" spans="1:20" s="36" customFormat="1" x14ac:dyDescent="0.25">
      <c r="A116" s="133" t="s">
        <v>397</v>
      </c>
      <c r="B116" s="134"/>
      <c r="C116" s="134"/>
      <c r="D116" s="134"/>
      <c r="E116" s="134"/>
      <c r="F116" s="134"/>
      <c r="G116" s="134"/>
      <c r="H116" s="135"/>
      <c r="J116" s="35"/>
      <c r="T116" s="34"/>
    </row>
    <row r="117" spans="1:20" s="36" customFormat="1" ht="15.75" customHeight="1" x14ac:dyDescent="0.25">
      <c r="A117" s="113">
        <v>1</v>
      </c>
      <c r="B117" s="114"/>
      <c r="C117" s="41" t="s">
        <v>398</v>
      </c>
      <c r="D117" s="93">
        <f>(14.82)*(10.764)</f>
        <v>159.52248</v>
      </c>
      <c r="E117" s="41">
        <v>0</v>
      </c>
      <c r="F117" s="41">
        <f t="shared" ref="F117:F129" si="2">D117+(IF(E117&lt;201,E117,IF(E117&lt;301,E117/2,E117/3)))</f>
        <v>159.52248</v>
      </c>
      <c r="G117" s="41">
        <v>0</v>
      </c>
      <c r="H117" s="41">
        <f t="shared" ref="H117:H129" si="3">(F117+(IF(G117&lt;101,G117,IF(G117&lt;201,G117/2,IF(G117&lt;=301,G117/3,G117/4)))))*(($H$114)+1)</f>
        <v>247.25984400000002</v>
      </c>
      <c r="I117" s="35">
        <f>4.4*2.9+1.2*1.2</f>
        <v>14.2</v>
      </c>
      <c r="L117" s="217"/>
      <c r="M117" s="217"/>
      <c r="N117" s="35"/>
      <c r="T117" s="34"/>
    </row>
    <row r="118" spans="1:20" s="36" customFormat="1" ht="15.75" customHeight="1" x14ac:dyDescent="0.25">
      <c r="A118" s="113">
        <v>2</v>
      </c>
      <c r="B118" s="114"/>
      <c r="C118" s="92" t="s">
        <v>398</v>
      </c>
      <c r="D118" s="93">
        <f>(16.23)*(10.764)</f>
        <v>174.69971999999999</v>
      </c>
      <c r="E118" s="41">
        <v>0</v>
      </c>
      <c r="F118" s="41">
        <f t="shared" si="2"/>
        <v>174.69971999999999</v>
      </c>
      <c r="G118" s="41">
        <v>0</v>
      </c>
      <c r="H118" s="41">
        <f t="shared" si="3"/>
        <v>270.78456599999998</v>
      </c>
      <c r="I118" s="35"/>
      <c r="L118" s="217"/>
      <c r="M118" s="217"/>
      <c r="N118" s="35"/>
      <c r="T118" s="33"/>
    </row>
    <row r="119" spans="1:20" s="36" customFormat="1" ht="15.75" customHeight="1" x14ac:dyDescent="0.25">
      <c r="A119" s="113">
        <v>3</v>
      </c>
      <c r="B119" s="114"/>
      <c r="C119" s="92" t="s">
        <v>398</v>
      </c>
      <c r="D119" s="93">
        <f>(13.58)*(10.764)</f>
        <v>146.17511999999999</v>
      </c>
      <c r="E119" s="41">
        <v>0</v>
      </c>
      <c r="F119" s="41">
        <f t="shared" si="2"/>
        <v>146.17511999999999</v>
      </c>
      <c r="G119" s="41">
        <v>0</v>
      </c>
      <c r="H119" s="41">
        <f t="shared" si="3"/>
        <v>226.57143600000001</v>
      </c>
      <c r="I119" s="35"/>
      <c r="L119" s="217"/>
      <c r="M119" s="217"/>
      <c r="N119" s="35"/>
      <c r="T119" s="20"/>
    </row>
    <row r="120" spans="1:20" s="36" customFormat="1" ht="15.75" customHeight="1" x14ac:dyDescent="0.25">
      <c r="A120" s="113">
        <v>4</v>
      </c>
      <c r="B120" s="114"/>
      <c r="C120" s="92" t="s">
        <v>398</v>
      </c>
      <c r="D120" s="93">
        <f>(17.11)*(10.764)</f>
        <v>184.17203999999998</v>
      </c>
      <c r="E120" s="41">
        <v>0</v>
      </c>
      <c r="F120" s="41">
        <f t="shared" si="2"/>
        <v>184.17203999999998</v>
      </c>
      <c r="G120" s="41">
        <v>0</v>
      </c>
      <c r="H120" s="41">
        <f t="shared" si="3"/>
        <v>285.46666199999999</v>
      </c>
      <c r="I120" s="35">
        <f>5.75*2.9</f>
        <v>16.675000000000001</v>
      </c>
      <c r="L120" s="217"/>
      <c r="M120" s="217"/>
      <c r="N120" s="35"/>
      <c r="T120" s="20"/>
    </row>
    <row r="121" spans="1:20" s="91" customFormat="1" ht="15.75" customHeight="1" x14ac:dyDescent="0.25">
      <c r="A121" s="113">
        <v>5</v>
      </c>
      <c r="B121" s="114"/>
      <c r="C121" s="92" t="s">
        <v>398</v>
      </c>
      <c r="D121" s="93">
        <f>(12.1)*(10.764)</f>
        <v>130.24439999999998</v>
      </c>
      <c r="E121" s="92">
        <v>0</v>
      </c>
      <c r="F121" s="92">
        <f t="shared" si="2"/>
        <v>130.24439999999998</v>
      </c>
      <c r="G121" s="92">
        <v>0</v>
      </c>
      <c r="H121" s="92">
        <f t="shared" si="3"/>
        <v>201.87881999999999</v>
      </c>
      <c r="I121" s="35"/>
      <c r="L121" s="217"/>
      <c r="M121" s="217"/>
      <c r="N121" s="35"/>
      <c r="T121" s="34"/>
    </row>
    <row r="122" spans="1:20" s="91" customFormat="1" ht="15.75" customHeight="1" x14ac:dyDescent="0.25">
      <c r="A122" s="113">
        <v>6</v>
      </c>
      <c r="B122" s="114"/>
      <c r="C122" s="92" t="s">
        <v>398</v>
      </c>
      <c r="D122" s="93">
        <f>(16.51)*(10.764)</f>
        <v>177.71364</v>
      </c>
      <c r="E122" s="92">
        <v>0</v>
      </c>
      <c r="F122" s="92">
        <f t="shared" si="2"/>
        <v>177.71364</v>
      </c>
      <c r="G122" s="92">
        <v>0</v>
      </c>
      <c r="H122" s="92">
        <f t="shared" si="3"/>
        <v>275.456142</v>
      </c>
      <c r="I122" s="35"/>
      <c r="L122" s="217"/>
      <c r="M122" s="217"/>
      <c r="N122" s="35"/>
      <c r="T122" s="33"/>
    </row>
    <row r="123" spans="1:20" s="91" customFormat="1" ht="15.75" customHeight="1" x14ac:dyDescent="0.25">
      <c r="A123" s="113">
        <v>7</v>
      </c>
      <c r="B123" s="114"/>
      <c r="C123" s="92" t="s">
        <v>398</v>
      </c>
      <c r="D123" s="93">
        <f>(10.28)*(10.764)</f>
        <v>110.65391999999999</v>
      </c>
      <c r="E123" s="92">
        <v>0</v>
      </c>
      <c r="F123" s="92">
        <f t="shared" si="2"/>
        <v>110.65391999999999</v>
      </c>
      <c r="G123" s="92">
        <v>0</v>
      </c>
      <c r="H123" s="92">
        <f t="shared" si="3"/>
        <v>171.51357599999997</v>
      </c>
      <c r="I123" s="35"/>
      <c r="L123" s="217"/>
      <c r="M123" s="217"/>
      <c r="N123" s="35"/>
      <c r="T123" s="20"/>
    </row>
    <row r="124" spans="1:20" s="91" customFormat="1" ht="15.75" customHeight="1" x14ac:dyDescent="0.25">
      <c r="A124" s="113">
        <v>8</v>
      </c>
      <c r="B124" s="114"/>
      <c r="C124" s="92" t="s">
        <v>398</v>
      </c>
      <c r="D124" s="93">
        <f>(15.43)*(10.764)</f>
        <v>166.08851999999999</v>
      </c>
      <c r="E124" s="92">
        <v>0</v>
      </c>
      <c r="F124" s="92">
        <f t="shared" si="2"/>
        <v>166.08851999999999</v>
      </c>
      <c r="G124" s="92">
        <v>0</v>
      </c>
      <c r="H124" s="92">
        <f t="shared" si="3"/>
        <v>257.437206</v>
      </c>
      <c r="I124" s="35"/>
      <c r="L124" s="217"/>
      <c r="M124" s="217"/>
      <c r="N124" s="35"/>
      <c r="T124" s="20"/>
    </row>
    <row r="125" spans="1:20" s="91" customFormat="1" ht="15.75" customHeight="1" x14ac:dyDescent="0.25">
      <c r="A125" s="113">
        <v>9</v>
      </c>
      <c r="B125" s="114"/>
      <c r="C125" s="92" t="s">
        <v>398</v>
      </c>
      <c r="D125" s="93">
        <f>(14.58)*(10.764)</f>
        <v>156.93912</v>
      </c>
      <c r="E125" s="92">
        <v>0</v>
      </c>
      <c r="F125" s="92">
        <f t="shared" si="2"/>
        <v>156.93912</v>
      </c>
      <c r="G125" s="92">
        <v>0</v>
      </c>
      <c r="H125" s="92">
        <f t="shared" si="3"/>
        <v>243.25563600000001</v>
      </c>
      <c r="I125" s="35"/>
      <c r="L125" s="217"/>
      <c r="M125" s="217"/>
      <c r="N125" s="35"/>
      <c r="T125" s="34"/>
    </row>
    <row r="126" spans="1:20" s="91" customFormat="1" ht="15.75" customHeight="1" x14ac:dyDescent="0.25">
      <c r="A126" s="113">
        <v>10</v>
      </c>
      <c r="B126" s="114"/>
      <c r="C126" s="92" t="s">
        <v>398</v>
      </c>
      <c r="D126" s="93">
        <f>(9.92)*(10.764)</f>
        <v>106.77887999999999</v>
      </c>
      <c r="E126" s="92">
        <v>0</v>
      </c>
      <c r="F126" s="92">
        <f t="shared" si="2"/>
        <v>106.77887999999999</v>
      </c>
      <c r="G126" s="92">
        <v>0</v>
      </c>
      <c r="H126" s="92">
        <f t="shared" si="3"/>
        <v>165.50726399999999</v>
      </c>
      <c r="I126" s="35"/>
      <c r="L126" s="217"/>
      <c r="M126" s="217"/>
      <c r="N126" s="35"/>
      <c r="T126" s="33"/>
    </row>
    <row r="127" spans="1:20" s="91" customFormat="1" ht="15.75" customHeight="1" x14ac:dyDescent="0.25">
      <c r="A127" s="113">
        <v>11</v>
      </c>
      <c r="B127" s="114"/>
      <c r="C127" s="92" t="s">
        <v>398</v>
      </c>
      <c r="D127" s="93">
        <f>(13.61)*(10.764)</f>
        <v>146.49803999999997</v>
      </c>
      <c r="E127" s="92">
        <v>0</v>
      </c>
      <c r="F127" s="92">
        <f t="shared" si="2"/>
        <v>146.49803999999997</v>
      </c>
      <c r="G127" s="92">
        <v>0</v>
      </c>
      <c r="H127" s="92">
        <f t="shared" si="3"/>
        <v>227.07196199999996</v>
      </c>
      <c r="I127" s="35"/>
      <c r="L127" s="217"/>
      <c r="M127" s="217"/>
      <c r="N127" s="35"/>
      <c r="T127" s="20"/>
    </row>
    <row r="128" spans="1:20" s="91" customFormat="1" ht="15.75" customHeight="1" x14ac:dyDescent="0.25">
      <c r="A128" s="113">
        <v>12</v>
      </c>
      <c r="B128" s="114"/>
      <c r="C128" s="92" t="s">
        <v>398</v>
      </c>
      <c r="D128" s="93">
        <f>(29.69)*(10.764)</f>
        <v>319.58316000000002</v>
      </c>
      <c r="E128" s="92">
        <v>0</v>
      </c>
      <c r="F128" s="92">
        <f t="shared" si="2"/>
        <v>319.58316000000002</v>
      </c>
      <c r="G128" s="92">
        <v>0</v>
      </c>
      <c r="H128" s="92">
        <f t="shared" si="3"/>
        <v>495.35389800000007</v>
      </c>
      <c r="I128" s="35">
        <f>5.35*4.25+4.1*1.15+1.1*1</f>
        <v>28.552499999999998</v>
      </c>
      <c r="L128" s="217"/>
      <c r="M128" s="217"/>
      <c r="N128" s="35"/>
      <c r="T128" s="20"/>
    </row>
    <row r="129" spans="1:20" s="91" customFormat="1" ht="15.75" customHeight="1" x14ac:dyDescent="0.25">
      <c r="A129" s="113">
        <v>13</v>
      </c>
      <c r="B129" s="114"/>
      <c r="C129" s="92" t="s">
        <v>398</v>
      </c>
      <c r="D129" s="93">
        <f>(13.48)*(10.764)</f>
        <v>145.09871999999999</v>
      </c>
      <c r="E129" s="92">
        <v>0</v>
      </c>
      <c r="F129" s="92">
        <f t="shared" si="2"/>
        <v>145.09871999999999</v>
      </c>
      <c r="G129" s="92">
        <v>0</v>
      </c>
      <c r="H129" s="92">
        <f t="shared" si="3"/>
        <v>224.90301599999998</v>
      </c>
      <c r="I129" s="35"/>
      <c r="L129" s="217"/>
      <c r="M129" s="217"/>
      <c r="N129" s="35"/>
      <c r="T129" s="33"/>
    </row>
    <row r="130" spans="1:20" s="36" customFormat="1" x14ac:dyDescent="0.25">
      <c r="A130" s="113"/>
      <c r="B130" s="130"/>
      <c r="C130" s="130"/>
      <c r="D130" s="130"/>
      <c r="E130" s="130"/>
      <c r="F130" s="130"/>
      <c r="G130" s="130"/>
      <c r="H130" s="114"/>
      <c r="I130" s="35"/>
      <c r="N130" s="35"/>
    </row>
    <row r="131" spans="1:20" ht="47.25" customHeight="1" x14ac:dyDescent="0.25">
      <c r="A131" s="151" t="s">
        <v>406</v>
      </c>
      <c r="B131" s="138" t="s">
        <v>170</v>
      </c>
      <c r="C131" s="138" t="s">
        <v>54</v>
      </c>
      <c r="D131" s="138" t="s">
        <v>368</v>
      </c>
      <c r="E131" s="138" t="s">
        <v>401</v>
      </c>
      <c r="F131" s="138" t="s">
        <v>55</v>
      </c>
      <c r="G131" s="156" t="s">
        <v>56</v>
      </c>
      <c r="H131" s="94" t="s">
        <v>142</v>
      </c>
      <c r="I131" s="93">
        <f>10.764</f>
        <v>10.763999999999999</v>
      </c>
      <c r="T131" s="36"/>
    </row>
    <row r="132" spans="1:20" s="36" customFormat="1" x14ac:dyDescent="0.25">
      <c r="A132" s="152"/>
      <c r="B132" s="139"/>
      <c r="C132" s="139"/>
      <c r="D132" s="139"/>
      <c r="E132" s="139"/>
      <c r="F132" s="139"/>
      <c r="G132" s="157"/>
      <c r="H132" s="95">
        <v>0.5</v>
      </c>
      <c r="I132" s="35"/>
    </row>
    <row r="133" spans="1:20" s="100" customFormat="1" x14ac:dyDescent="0.25">
      <c r="A133" s="133" t="s">
        <v>417</v>
      </c>
      <c r="B133" s="134"/>
      <c r="C133" s="134"/>
      <c r="D133" s="134"/>
      <c r="E133" s="134"/>
      <c r="F133" s="134"/>
      <c r="G133" s="134"/>
      <c r="H133" s="135"/>
      <c r="J133" s="35"/>
      <c r="T133" s="34"/>
    </row>
    <row r="134" spans="1:20" s="36" customFormat="1" x14ac:dyDescent="0.25">
      <c r="A134" s="133" t="s">
        <v>399</v>
      </c>
      <c r="B134" s="134"/>
      <c r="C134" s="134"/>
      <c r="D134" s="134"/>
      <c r="E134" s="134"/>
      <c r="F134" s="134"/>
      <c r="G134" s="134"/>
      <c r="H134" s="135"/>
      <c r="I134" s="36">
        <f>1</f>
        <v>1</v>
      </c>
      <c r="J134" s="35"/>
    </row>
    <row r="135" spans="1:20" s="36" customFormat="1" ht="15.75" customHeight="1" x14ac:dyDescent="0.25">
      <c r="A135" s="113">
        <v>1</v>
      </c>
      <c r="B135" s="114"/>
      <c r="C135" s="41" t="s">
        <v>400</v>
      </c>
      <c r="D135" s="93">
        <f>(29.9)*(10.764)</f>
        <v>321.84359999999998</v>
      </c>
      <c r="E135" s="93">
        <f>(2.9*1.4+2.2*1.05+2.9*1+0.75*(2.9+2.9+2.2))*(10.764)</f>
        <v>164.36627999999999</v>
      </c>
      <c r="F135" s="41">
        <f t="shared" ref="F135:F140" si="4">D135+E135</f>
        <v>486.20988</v>
      </c>
      <c r="G135" s="93">
        <f>0*(10.764)</f>
        <v>0</v>
      </c>
      <c r="H135" s="41">
        <f t="shared" ref="H135:H140" si="5">F135*(($H$132)+1)+(IF(G135&lt;101,G135,IF(G135&lt;201,G135/2,IF(G135&lt;=301,G135/3,G135/4))))</f>
        <v>729.31482000000005</v>
      </c>
      <c r="I135" s="35"/>
      <c r="K135" s="36">
        <f>5800*H135</f>
        <v>4230025.9560000002</v>
      </c>
      <c r="L135" s="217">
        <f>K135+250000</f>
        <v>4480025.9560000002</v>
      </c>
      <c r="M135" s="217"/>
      <c r="N135" s="35"/>
    </row>
    <row r="136" spans="1:20" s="36" customFormat="1" ht="15.75" customHeight="1" x14ac:dyDescent="0.25">
      <c r="A136" s="113">
        <f>A135+1</f>
        <v>2</v>
      </c>
      <c r="B136" s="114"/>
      <c r="C136" s="41" t="s">
        <v>402</v>
      </c>
      <c r="D136" s="93">
        <f>(39.39)*(10.764)</f>
        <v>423.99395999999996</v>
      </c>
      <c r="E136" s="93">
        <f>(2.9*1.85+2.3*1.25+2.75*1+2.9*1.25)*(10.764)</f>
        <v>157.31585999999999</v>
      </c>
      <c r="F136" s="41">
        <f t="shared" si="4"/>
        <v>581.30981999999995</v>
      </c>
      <c r="G136" s="93">
        <f>(2.9*2+2.3*1.5+2.75*1.5+2.9*2.1)*(10.764)</f>
        <v>209.52125999999998</v>
      </c>
      <c r="H136" s="41">
        <f t="shared" si="5"/>
        <v>941.80514999999991</v>
      </c>
      <c r="I136" s="35">
        <f>3.1*2.9+2.8*2.3+2*2.75+2.2*2.9+1.2*(2+2.3)+0.9*3+0.9*1.2</f>
        <v>36.25</v>
      </c>
      <c r="L136" s="217"/>
      <c r="M136" s="217"/>
      <c r="N136" s="35"/>
    </row>
    <row r="137" spans="1:20" s="36" customFormat="1" ht="15.75" customHeight="1" x14ac:dyDescent="0.25">
      <c r="A137" s="113">
        <f>A136+1</f>
        <v>3</v>
      </c>
      <c r="B137" s="114"/>
      <c r="C137" s="92" t="s">
        <v>402</v>
      </c>
      <c r="D137" s="93">
        <f>(39.62)*(10.764)</f>
        <v>426.46967999999993</v>
      </c>
      <c r="E137" s="93">
        <f>(2.75*1.05+2.9*1.6+2.45*1.15+2.9*1.15)*(10.764)</f>
        <v>147.25151999999997</v>
      </c>
      <c r="F137" s="41">
        <f t="shared" si="4"/>
        <v>573.72119999999995</v>
      </c>
      <c r="G137" s="93">
        <f>(2.75*2+2.9+2.45+2.9)*(10.764)</f>
        <v>148.00500000000002</v>
      </c>
      <c r="H137" s="41">
        <f t="shared" si="5"/>
        <v>934.58429999999998</v>
      </c>
      <c r="I137" s="35"/>
      <c r="J137" s="36">
        <f>4250000/H137</f>
        <v>4547.4763485755111</v>
      </c>
      <c r="L137" s="217"/>
      <c r="M137" s="217"/>
      <c r="N137" s="35"/>
    </row>
    <row r="138" spans="1:20" s="36" customFormat="1" ht="15.75" customHeight="1" x14ac:dyDescent="0.25">
      <c r="A138" s="113">
        <f>A137+1</f>
        <v>4</v>
      </c>
      <c r="B138" s="114"/>
      <c r="C138" s="92" t="s">
        <v>400</v>
      </c>
      <c r="D138" s="93">
        <f>(29.14)*(10.764)</f>
        <v>313.66296</v>
      </c>
      <c r="E138" s="93">
        <f>(2.75*1.6+2.4*1.15+2.9*1.15)*(10.764)</f>
        <v>112.96817999999999</v>
      </c>
      <c r="F138" s="41">
        <f t="shared" si="4"/>
        <v>426.63113999999996</v>
      </c>
      <c r="G138" s="93">
        <f>(1*(5.45+1.05+3.2)+1*4.8)*(10.764)</f>
        <v>156.078</v>
      </c>
      <c r="H138" s="41">
        <f t="shared" si="5"/>
        <v>717.98570999999993</v>
      </c>
      <c r="I138" s="35"/>
      <c r="L138" s="217"/>
      <c r="M138" s="217"/>
      <c r="N138" s="35"/>
      <c r="T138" s="20"/>
    </row>
    <row r="139" spans="1:20" s="91" customFormat="1" ht="15.75" customHeight="1" x14ac:dyDescent="0.25">
      <c r="A139" s="113">
        <f t="shared" ref="A139:A140" si="6">A138+1</f>
        <v>5</v>
      </c>
      <c r="B139" s="114"/>
      <c r="C139" s="92" t="s">
        <v>400</v>
      </c>
      <c r="D139" s="93">
        <f>(29.98)*(10.764)</f>
        <v>322.70472000000001</v>
      </c>
      <c r="E139" s="93">
        <f>(2.75*1.5+2.45*1.1+2.75*1.1)*(10.764)</f>
        <v>105.97158</v>
      </c>
      <c r="F139" s="92">
        <f t="shared" si="4"/>
        <v>428.67630000000003</v>
      </c>
      <c r="G139" s="93">
        <f>(5.65*1+2.75*2)*(10.764)</f>
        <v>120.01859999999999</v>
      </c>
      <c r="H139" s="92">
        <f t="shared" si="5"/>
        <v>703.02375000000006</v>
      </c>
      <c r="I139" s="35">
        <f>2.75*3+2.45*2.3+2.75*2.3+1.85*1.2+1.1*1.85+1.35*2</f>
        <v>27.164999999999999</v>
      </c>
      <c r="L139" s="217"/>
      <c r="M139" s="217"/>
      <c r="N139" s="35"/>
    </row>
    <row r="140" spans="1:20" s="91" customFormat="1" ht="15.75" customHeight="1" x14ac:dyDescent="0.25">
      <c r="A140" s="113">
        <f t="shared" si="6"/>
        <v>6</v>
      </c>
      <c r="B140" s="114"/>
      <c r="C140" s="92" t="s">
        <v>400</v>
      </c>
      <c r="D140" s="93">
        <f>(27.94)*(10.764)</f>
        <v>300.74615999999997</v>
      </c>
      <c r="E140" s="93">
        <f>(0.75*(2.9+3.2+1.95)+2.9*1.35+3.2*1+1.95*1.05)*(10.764)</f>
        <v>163.61279999999999</v>
      </c>
      <c r="F140" s="92">
        <f t="shared" si="4"/>
        <v>464.35895999999997</v>
      </c>
      <c r="G140" s="93">
        <f>0*(10.764)</f>
        <v>0</v>
      </c>
      <c r="H140" s="92">
        <f t="shared" si="5"/>
        <v>696.53843999999992</v>
      </c>
      <c r="I140" s="35"/>
      <c r="L140" s="217"/>
      <c r="M140" s="217"/>
      <c r="N140" s="35"/>
    </row>
    <row r="141" spans="1:20" s="36" customFormat="1" x14ac:dyDescent="0.25">
      <c r="A141" s="166" t="s">
        <v>423</v>
      </c>
      <c r="B141" s="166"/>
      <c r="C141" s="166"/>
      <c r="D141" s="166"/>
      <c r="E141" s="166"/>
      <c r="F141" s="166"/>
      <c r="G141" s="166"/>
      <c r="H141" s="166"/>
      <c r="I141" s="35">
        <f>6+4+5+4</f>
        <v>19</v>
      </c>
      <c r="L141" s="217"/>
      <c r="M141" s="217"/>
    </row>
    <row r="142" spans="1:20" s="36" customFormat="1" x14ac:dyDescent="0.25">
      <c r="A142" s="137">
        <v>1</v>
      </c>
      <c r="B142" s="137"/>
      <c r="C142" s="92" t="s">
        <v>400</v>
      </c>
      <c r="D142" s="93">
        <f>(29.9)*(10.764)</f>
        <v>321.84359999999998</v>
      </c>
      <c r="E142" s="93">
        <f>(2.9*1.4+2.2*1.05+2.9*1+0.75*(2.9+2.9+2.2))*(10.764)</f>
        <v>164.36627999999999</v>
      </c>
      <c r="F142" s="41">
        <f t="shared" ref="F142:F147" si="7">D142+E142</f>
        <v>486.20988</v>
      </c>
      <c r="G142" s="41">
        <v>0</v>
      </c>
      <c r="H142" s="41">
        <f t="shared" ref="H142:H147" si="8">F142*(($H$132)+1)+(IF(G142&lt;101,G142,IF(G142&lt;201,G142/2,IF(G142&lt;=301,G142/3,G142/4))))</f>
        <v>729.31482000000005</v>
      </c>
      <c r="I142" s="35"/>
      <c r="N142" s="35"/>
    </row>
    <row r="143" spans="1:20" s="36" customFormat="1" x14ac:dyDescent="0.25">
      <c r="A143" s="137">
        <f>A142+1</f>
        <v>2</v>
      </c>
      <c r="B143" s="137"/>
      <c r="C143" s="92" t="s">
        <v>402</v>
      </c>
      <c r="D143" s="93">
        <f>(39.39)*(10.764)</f>
        <v>423.99395999999996</v>
      </c>
      <c r="E143" s="93">
        <f>(2.9*1.85+2.3*1.25+2.75*1+2.9*1.25+0.75*(2.9+2.3+2.75+2.9))*(10.764)</f>
        <v>244.90790999999996</v>
      </c>
      <c r="F143" s="41">
        <f t="shared" si="7"/>
        <v>668.90186999999992</v>
      </c>
      <c r="G143" s="41">
        <v>0</v>
      </c>
      <c r="H143" s="41">
        <f t="shared" si="8"/>
        <v>1003.3528049999999</v>
      </c>
      <c r="I143" s="35"/>
      <c r="N143" s="35"/>
    </row>
    <row r="144" spans="1:20" s="36" customFormat="1" x14ac:dyDescent="0.25">
      <c r="A144" s="137">
        <f>A143+1</f>
        <v>3</v>
      </c>
      <c r="B144" s="137"/>
      <c r="C144" s="92" t="s">
        <v>402</v>
      </c>
      <c r="D144" s="93">
        <f>(39.62)*(10.764)</f>
        <v>426.46967999999993</v>
      </c>
      <c r="E144" s="93">
        <f>(2.75*1.05+2.9*1.6+2.45*1.15+2.9*1.15+0.75*(2.9+2.75+2.45+2.9))*(10.764)</f>
        <v>236.05452</v>
      </c>
      <c r="F144" s="41">
        <f t="shared" si="7"/>
        <v>662.52419999999995</v>
      </c>
      <c r="G144" s="41">
        <v>0</v>
      </c>
      <c r="H144" s="41">
        <f t="shared" si="8"/>
        <v>993.78629999999998</v>
      </c>
      <c r="I144" s="35"/>
      <c r="N144" s="35"/>
    </row>
    <row r="145" spans="1:20" s="36" customFormat="1" x14ac:dyDescent="0.25">
      <c r="A145" s="137">
        <f>A144+1</f>
        <v>4</v>
      </c>
      <c r="B145" s="137"/>
      <c r="C145" s="92" t="s">
        <v>400</v>
      </c>
      <c r="D145" s="93">
        <f>(29.14)*(10.764)</f>
        <v>313.66296</v>
      </c>
      <c r="E145" s="93">
        <f>(2.75*1.6+2.4*1.15+2.9*1.15+0.75*(3.2+2.4+2.9))*(10.764)</f>
        <v>181.58867999999995</v>
      </c>
      <c r="F145" s="41">
        <f t="shared" si="7"/>
        <v>495.25163999999995</v>
      </c>
      <c r="G145" s="41">
        <v>0</v>
      </c>
      <c r="H145" s="41">
        <f t="shared" si="8"/>
        <v>742.87745999999993</v>
      </c>
      <c r="I145" s="35"/>
      <c r="J145" s="36">
        <f>3701000/H145</f>
        <v>4981.9791274862482</v>
      </c>
      <c r="N145" s="35"/>
    </row>
    <row r="146" spans="1:20" s="36" customFormat="1" x14ac:dyDescent="0.25">
      <c r="A146" s="137">
        <f>A145+1</f>
        <v>5</v>
      </c>
      <c r="B146" s="137"/>
      <c r="C146" s="92" t="s">
        <v>400</v>
      </c>
      <c r="D146" s="93">
        <f>(29.98)*(10.764)</f>
        <v>322.70472000000001</v>
      </c>
      <c r="E146" s="93">
        <f>(2.75*1.5+2.45*1.1+2.75*1.1+0.75*(2.75+5.65))*(10.764)</f>
        <v>173.78478000000001</v>
      </c>
      <c r="F146" s="41">
        <f t="shared" si="7"/>
        <v>496.48950000000002</v>
      </c>
      <c r="G146" s="41">
        <v>0</v>
      </c>
      <c r="H146" s="41">
        <f t="shared" si="8"/>
        <v>744.73424999999997</v>
      </c>
      <c r="I146" s="35"/>
      <c r="N146" s="35"/>
    </row>
    <row r="147" spans="1:20" s="91" customFormat="1" x14ac:dyDescent="0.25">
      <c r="A147" s="137">
        <f>A146+1</f>
        <v>6</v>
      </c>
      <c r="B147" s="137"/>
      <c r="C147" s="92" t="s">
        <v>400</v>
      </c>
      <c r="D147" s="93">
        <f>(27.94)*(10.764)</f>
        <v>300.74615999999997</v>
      </c>
      <c r="E147" s="93">
        <f>(0.75*(2.9+3.2+1.95)+2.9*1.35+3.2*1+1.95*1.05)*(10.764)</f>
        <v>163.61279999999999</v>
      </c>
      <c r="F147" s="92">
        <f t="shared" si="7"/>
        <v>464.35895999999997</v>
      </c>
      <c r="G147" s="92">
        <v>0</v>
      </c>
      <c r="H147" s="92">
        <f t="shared" si="8"/>
        <v>696.53843999999992</v>
      </c>
      <c r="I147" s="35"/>
      <c r="N147" s="35"/>
    </row>
    <row r="148" spans="1:20" s="36" customFormat="1" ht="15.75" customHeight="1" x14ac:dyDescent="0.25">
      <c r="A148" s="133" t="s">
        <v>422</v>
      </c>
      <c r="B148" s="134"/>
      <c r="C148" s="134"/>
      <c r="D148" s="134"/>
      <c r="E148" s="134"/>
      <c r="F148" s="134"/>
      <c r="G148" s="134"/>
      <c r="H148" s="135"/>
      <c r="I148" s="35">
        <f>3</f>
        <v>3</v>
      </c>
    </row>
    <row r="149" spans="1:20" s="36" customFormat="1" ht="15.75" customHeight="1" x14ac:dyDescent="0.25">
      <c r="A149" s="113">
        <v>1</v>
      </c>
      <c r="B149" s="114"/>
      <c r="C149" s="92" t="s">
        <v>400</v>
      </c>
      <c r="D149" s="93">
        <f>(29.9)*(10.764)</f>
        <v>321.84359999999998</v>
      </c>
      <c r="E149" s="93">
        <f>(2.9*1.4+2.2*1.05+2.9*1+0.75*(2.9+2.9+2.2))*(10.764)</f>
        <v>164.36627999999999</v>
      </c>
      <c r="F149" s="41">
        <f>D149+E149</f>
        <v>486.20988</v>
      </c>
      <c r="G149" s="41">
        <v>0</v>
      </c>
      <c r="H149" s="41">
        <f>F149*(($H$132)+1)+(IF(G149&lt;101,G149,IF(G149&lt;201,G149/2,IF(G149&lt;=301,G149/3,G149/4))))</f>
        <v>729.31482000000005</v>
      </c>
      <c r="I149" s="35"/>
    </row>
    <row r="150" spans="1:20" s="36" customFormat="1" ht="15.75" customHeight="1" x14ac:dyDescent="0.25">
      <c r="A150" s="113">
        <v>2</v>
      </c>
      <c r="B150" s="114"/>
      <c r="C150" s="92" t="s">
        <v>403</v>
      </c>
      <c r="D150" s="93">
        <f>(46.78)*(10.764)</f>
        <v>503.53992</v>
      </c>
      <c r="E150" s="93">
        <f>(2.9*1.85+2.3*1.25+2.75*1+2.9*1.25+2.75*1.05+0.75*(2.9+2.3+2.75+2.9+2.75))*(10.764)</f>
        <v>298.18970999999999</v>
      </c>
      <c r="F150" s="41">
        <f>D150+E150</f>
        <v>801.72963000000004</v>
      </c>
      <c r="G150" s="41">
        <v>0</v>
      </c>
      <c r="H150" s="41">
        <f>F150*(($H$132)+1)+(IF(G150&lt;101,G150,IF(G150&lt;201,G150/2,IF(G150&lt;=301,G150/3,G150/4))))</f>
        <v>1202.5944450000002</v>
      </c>
      <c r="I150" s="35">
        <f>3.1*2.9+2.8*2.3+2*2.75+2.2*2.9+2.4*2.75+1.2*(2+2.3)+0.9*3</f>
        <v>41.769999999999996</v>
      </c>
    </row>
    <row r="151" spans="1:20" s="36" customFormat="1" ht="15.75" customHeight="1" x14ac:dyDescent="0.25">
      <c r="A151" s="113">
        <v>3</v>
      </c>
      <c r="B151" s="114"/>
      <c r="C151" s="92" t="s">
        <v>404</v>
      </c>
      <c r="D151" s="113" t="s">
        <v>405</v>
      </c>
      <c r="E151" s="130"/>
      <c r="F151" s="130"/>
      <c r="G151" s="130"/>
      <c r="H151" s="114"/>
      <c r="I151" s="35"/>
    </row>
    <row r="152" spans="1:20" s="36" customFormat="1" ht="15.75" customHeight="1" x14ac:dyDescent="0.25">
      <c r="A152" s="113">
        <v>4</v>
      </c>
      <c r="B152" s="114"/>
      <c r="C152" s="92" t="s">
        <v>402</v>
      </c>
      <c r="D152" s="93">
        <f>(41.38)*(10.764)</f>
        <v>445.41431999999998</v>
      </c>
      <c r="E152" s="93">
        <f>(2.75*1.6+2.4*1.15+2.9*1.15+2.9*1.15+0.75*(3.2+5.6+3.2))*(10.764)</f>
        <v>245.74211999999997</v>
      </c>
      <c r="F152" s="41">
        <f>D152+E152</f>
        <v>691.15643999999998</v>
      </c>
      <c r="G152" s="41">
        <v>0</v>
      </c>
      <c r="H152" s="41">
        <f>F152*(($H$132)+1)+(IF(G152&lt;101,G152,IF(G152&lt;201,G152/2,IF(G152&lt;=301,G152/3,G152/4))))</f>
        <v>1036.7346600000001</v>
      </c>
      <c r="I152" s="35">
        <f>2.75*3.2+2.4*2.3+2.9*2.3+2.4*2.9+1.2*(1.6+1.85)+1.05*1.95+1.35*0.9+0.9*1.4</f>
        <v>36.612499999999997</v>
      </c>
    </row>
    <row r="153" spans="1:20" s="36" customFormat="1" ht="15.75" customHeight="1" x14ac:dyDescent="0.25">
      <c r="A153" s="113">
        <v>5</v>
      </c>
      <c r="B153" s="114"/>
      <c r="C153" s="92" t="s">
        <v>400</v>
      </c>
      <c r="D153" s="93">
        <f>(29.98)*(10.764)</f>
        <v>322.70472000000001</v>
      </c>
      <c r="E153" s="93">
        <f>(2.75*1.5+2.45*1.1+2.75*1.1+0.75*(2.75+5.65))*(10.764)</f>
        <v>173.78478000000001</v>
      </c>
      <c r="F153" s="41">
        <f>D153+E153</f>
        <v>496.48950000000002</v>
      </c>
      <c r="G153" s="41">
        <v>0</v>
      </c>
      <c r="H153" s="41">
        <f>F153*(($H$132)+1)+(IF(G153&lt;101,G153,IF(G153&lt;201,G153/2,IF(G153&lt;=301,G153/3,G153/4))))</f>
        <v>744.73424999999997</v>
      </c>
      <c r="I153" s="35"/>
      <c r="J153" s="36">
        <f>4201000/H153</f>
        <v>5640.9383615699162</v>
      </c>
      <c r="K153" s="36">
        <f>3400000/H153</f>
        <v>4565.3869148625836</v>
      </c>
    </row>
    <row r="154" spans="1:20" s="91" customFormat="1" ht="15.75" customHeight="1" x14ac:dyDescent="0.25">
      <c r="A154" s="113">
        <v>6</v>
      </c>
      <c r="B154" s="114"/>
      <c r="C154" s="92" t="s">
        <v>400</v>
      </c>
      <c r="D154" s="93">
        <f>(27.94)*(10.764)</f>
        <v>300.74615999999997</v>
      </c>
      <c r="E154" s="93">
        <f>(0.75*(2.9+3.2+1.95)+2.9*1.35+3.2*1+1.95*1.05)*(10.764)</f>
        <v>163.61279999999999</v>
      </c>
      <c r="F154" s="92">
        <f>D154+E154</f>
        <v>464.35895999999997</v>
      </c>
      <c r="G154" s="92">
        <v>0</v>
      </c>
      <c r="H154" s="92">
        <f>F154*(($H$132)+1)+(IF(G154&lt;101,G154,IF(G154&lt;201,G154/2,IF(G154&lt;=301,G154/3,G154/4))))</f>
        <v>696.53843999999992</v>
      </c>
      <c r="I154" s="35"/>
    </row>
    <row r="155" spans="1:20" s="34" customFormat="1" x14ac:dyDescent="0.25">
      <c r="A155" s="149" t="s">
        <v>64</v>
      </c>
      <c r="B155" s="149"/>
      <c r="C155" s="149"/>
      <c r="D155" s="149"/>
      <c r="E155" s="149"/>
      <c r="F155" s="149"/>
      <c r="G155" s="149"/>
      <c r="H155" s="149"/>
      <c r="T155" s="36"/>
    </row>
    <row r="156" spans="1:20" s="34" customFormat="1" x14ac:dyDescent="0.25">
      <c r="A156" s="44" t="s">
        <v>146</v>
      </c>
      <c r="B156" s="143" t="s">
        <v>413</v>
      </c>
      <c r="C156" s="144"/>
      <c r="D156" s="144"/>
      <c r="E156" s="144"/>
      <c r="F156" s="144"/>
      <c r="G156" s="144"/>
      <c r="H156" s="145"/>
      <c r="T156" s="36"/>
    </row>
    <row r="157" spans="1:20" s="34" customFormat="1" x14ac:dyDescent="0.25">
      <c r="A157" s="44" t="s">
        <v>146</v>
      </c>
      <c r="B157" s="143" t="str">
        <f>(IF(H131="Saleable area Loading :","We have considered Saleable area of Flats as per our Calculation.","We considered Saleable area of Flat as per Builder area Sheet."))</f>
        <v>We have considered Saleable area of Flats as per our Calculation.</v>
      </c>
      <c r="C157" s="144"/>
      <c r="D157" s="144"/>
      <c r="E157" s="144"/>
      <c r="F157" s="144"/>
      <c r="G157" s="144"/>
      <c r="H157" s="145"/>
      <c r="T157" s="36"/>
    </row>
    <row r="158" spans="1:20" s="34" customFormat="1" x14ac:dyDescent="0.25">
      <c r="A158" s="44" t="s">
        <v>146</v>
      </c>
      <c r="B158" s="143" t="str">
        <f>(IF(H113="Saleable area Loading :","We have considered Saleable area of Commercial as per our Calculation.","We considered Saleable area of Commercial as per Builder area Sheet."))</f>
        <v>We have considered Saleable area of Commercial as per our Calculation.</v>
      </c>
      <c r="C158" s="144"/>
      <c r="D158" s="144"/>
      <c r="E158" s="144"/>
      <c r="F158" s="144"/>
      <c r="G158" s="144"/>
      <c r="H158" s="145"/>
      <c r="T158" s="36"/>
    </row>
    <row r="159" spans="1:20" s="34" customFormat="1" x14ac:dyDescent="0.25">
      <c r="A159" s="44" t="s">
        <v>146</v>
      </c>
      <c r="B159" s="158" t="s">
        <v>116</v>
      </c>
      <c r="C159" s="159"/>
      <c r="D159" s="159"/>
      <c r="E159" s="159"/>
      <c r="F159" s="159"/>
      <c r="G159" s="159"/>
      <c r="H159" s="160"/>
      <c r="T159" s="36"/>
    </row>
    <row r="160" spans="1:20" s="34" customFormat="1" x14ac:dyDescent="0.25">
      <c r="A160" s="44" t="s">
        <v>146</v>
      </c>
      <c r="B160" s="143" t="s">
        <v>411</v>
      </c>
      <c r="C160" s="144"/>
      <c r="D160" s="144"/>
      <c r="E160" s="144"/>
      <c r="F160" s="144"/>
      <c r="G160" s="144"/>
      <c r="H160" s="145"/>
      <c r="T160" s="36"/>
    </row>
    <row r="161" spans="1:20" s="34" customFormat="1" x14ac:dyDescent="0.25">
      <c r="A161" s="44" t="s">
        <v>146</v>
      </c>
      <c r="B161" s="158" t="s">
        <v>145</v>
      </c>
      <c r="C161" s="159"/>
      <c r="D161" s="159"/>
      <c r="E161" s="159"/>
      <c r="F161" s="159"/>
      <c r="G161" s="159"/>
      <c r="H161" s="160"/>
    </row>
    <row r="162" spans="1:20" s="34" customFormat="1" x14ac:dyDescent="0.25">
      <c r="A162" s="44" t="s">
        <v>146</v>
      </c>
      <c r="B162" s="158" t="s">
        <v>117</v>
      </c>
      <c r="C162" s="159"/>
      <c r="D162" s="159"/>
      <c r="E162" s="159"/>
      <c r="F162" s="159"/>
      <c r="G162" s="159"/>
      <c r="H162" s="160"/>
    </row>
    <row r="163" spans="1:20" s="34" customFormat="1" ht="34.5" customHeight="1" x14ac:dyDescent="0.25">
      <c r="A163" s="44" t="s">
        <v>146</v>
      </c>
      <c r="B163" s="143" t="s">
        <v>147</v>
      </c>
      <c r="C163" s="144"/>
      <c r="D163" s="144"/>
      <c r="E163" s="144"/>
      <c r="F163" s="144"/>
      <c r="G163" s="144"/>
      <c r="H163" s="145"/>
    </row>
    <row r="164" spans="1:20" s="34" customFormat="1" x14ac:dyDescent="0.25">
      <c r="A164" s="101" t="s">
        <v>146</v>
      </c>
      <c r="B164" s="158" t="s">
        <v>118</v>
      </c>
      <c r="C164" s="159"/>
      <c r="D164" s="159"/>
      <c r="E164" s="159"/>
      <c r="F164" s="159"/>
      <c r="G164" s="159"/>
      <c r="H164" s="160"/>
    </row>
    <row r="165" spans="1:20" s="34" customFormat="1" ht="15.75" customHeight="1" x14ac:dyDescent="0.25">
      <c r="A165" s="102" t="s">
        <v>146</v>
      </c>
      <c r="B165" s="158" t="s">
        <v>427</v>
      </c>
      <c r="C165" s="159"/>
      <c r="D165" s="159"/>
      <c r="E165" s="159"/>
      <c r="F165" s="159"/>
      <c r="G165" s="159"/>
      <c r="H165" s="160"/>
      <c r="K165" s="34" t="s">
        <v>430</v>
      </c>
    </row>
    <row r="166" spans="1:20" s="34" customFormat="1" ht="15.75" hidden="1" customHeight="1" x14ac:dyDescent="0.25">
      <c r="A166" s="101" t="s">
        <v>146</v>
      </c>
      <c r="B166" s="158" t="s">
        <v>427</v>
      </c>
      <c r="C166" s="159"/>
      <c r="D166" s="159"/>
      <c r="E166" s="159"/>
      <c r="F166" s="159"/>
      <c r="G166" s="159"/>
      <c r="H166" s="160"/>
      <c r="K166" s="34" t="s">
        <v>430</v>
      </c>
    </row>
    <row r="167" spans="1:20" s="34" customFormat="1" x14ac:dyDescent="0.25">
      <c r="A167" s="44" t="s">
        <v>146</v>
      </c>
      <c r="B167" s="158" t="s">
        <v>434</v>
      </c>
      <c r="C167" s="159"/>
      <c r="D167" s="159"/>
      <c r="E167" s="159"/>
      <c r="F167" s="159"/>
      <c r="G167" s="159"/>
      <c r="H167" s="160"/>
    </row>
    <row r="168" spans="1:20" s="34" customFormat="1" ht="32.25" hidden="1" customHeight="1" x14ac:dyDescent="0.25">
      <c r="A168" s="44" t="s">
        <v>146</v>
      </c>
      <c r="B168" s="146" t="s">
        <v>171</v>
      </c>
      <c r="C168" s="147"/>
      <c r="D168" s="147"/>
      <c r="E168" s="147"/>
      <c r="F168" s="147"/>
      <c r="G168" s="147"/>
      <c r="H168" s="148"/>
    </row>
    <row r="169" spans="1:20" s="34" customFormat="1" x14ac:dyDescent="0.25">
      <c r="A169" s="44" t="s">
        <v>146</v>
      </c>
      <c r="B169" s="143" t="s">
        <v>433</v>
      </c>
      <c r="C169" s="144"/>
      <c r="D169" s="144"/>
      <c r="E169" s="144"/>
      <c r="F169" s="144"/>
      <c r="G169" s="144"/>
      <c r="H169" s="145"/>
    </row>
    <row r="170" spans="1:20" s="34" customFormat="1" hidden="1" x14ac:dyDescent="0.25">
      <c r="A170" s="44" t="s">
        <v>146</v>
      </c>
      <c r="B170" s="146" t="s">
        <v>342</v>
      </c>
      <c r="C170" s="147"/>
      <c r="D170" s="147"/>
      <c r="E170" s="147"/>
      <c r="F170" s="147"/>
      <c r="G170" s="147"/>
      <c r="H170" s="148"/>
    </row>
    <row r="171" spans="1:20" s="34" customFormat="1" hidden="1" x14ac:dyDescent="0.25">
      <c r="A171" s="44" t="s">
        <v>146</v>
      </c>
      <c r="B171" s="146" t="str">
        <f ca="1">IF(G52&gt;EDATE(E3,-48),"NO REMARK FOR CC","REMARK FOR CC")</f>
        <v>NO REMARK FOR CC</v>
      </c>
      <c r="C171" s="147"/>
      <c r="D171" s="147"/>
      <c r="E171" s="147"/>
      <c r="F171" s="147"/>
      <c r="G171" s="147"/>
      <c r="H171" s="148"/>
    </row>
    <row r="172" spans="1:20" s="34" customFormat="1" ht="81.75" hidden="1" customHeight="1" x14ac:dyDescent="0.25">
      <c r="A172" s="44" t="s">
        <v>146</v>
      </c>
      <c r="B172" s="146" t="s">
        <v>343</v>
      </c>
      <c r="C172" s="147"/>
      <c r="D172" s="147"/>
      <c r="E172" s="147"/>
      <c r="F172" s="147"/>
      <c r="G172" s="147"/>
      <c r="H172" s="148"/>
    </row>
    <row r="173" spans="1:20" x14ac:dyDescent="0.25">
      <c r="A173" s="168" t="s">
        <v>57</v>
      </c>
      <c r="B173" s="168"/>
      <c r="C173" s="168"/>
      <c r="D173" s="168"/>
      <c r="E173" s="168"/>
      <c r="F173" s="168"/>
      <c r="G173" s="168"/>
      <c r="H173" s="168"/>
      <c r="T173" s="34"/>
    </row>
    <row r="174" spans="1:20" x14ac:dyDescent="0.25">
      <c r="A174" s="109" t="s">
        <v>58</v>
      </c>
      <c r="B174" s="109"/>
      <c r="C174" s="109"/>
      <c r="D174" s="109"/>
      <c r="E174" s="109"/>
      <c r="F174" s="109"/>
      <c r="G174" s="109"/>
      <c r="H174" s="109"/>
      <c r="T174" s="34"/>
    </row>
    <row r="175" spans="1:20" ht="15.75" customHeight="1" x14ac:dyDescent="0.25">
      <c r="A175" s="136" t="s">
        <v>59</v>
      </c>
      <c r="B175" s="136"/>
      <c r="C175" s="136"/>
      <c r="D175" s="136"/>
      <c r="E175" s="136"/>
      <c r="F175" s="136"/>
      <c r="G175" s="136"/>
      <c r="H175" s="136"/>
      <c r="T175" s="34"/>
    </row>
    <row r="176" spans="1:20" x14ac:dyDescent="0.25">
      <c r="A176" s="109" t="s">
        <v>60</v>
      </c>
      <c r="B176" s="109"/>
      <c r="C176" s="109"/>
      <c r="D176" s="109"/>
      <c r="E176" s="109"/>
      <c r="F176" s="109"/>
      <c r="G176" s="109"/>
      <c r="H176" s="109"/>
      <c r="T176" s="34"/>
    </row>
    <row r="177" spans="1:20" x14ac:dyDescent="0.25">
      <c r="A177" s="109" t="s">
        <v>61</v>
      </c>
      <c r="B177" s="109"/>
      <c r="C177" s="109"/>
      <c r="D177" s="109"/>
      <c r="E177" s="109"/>
      <c r="F177" s="109"/>
      <c r="G177" s="109"/>
      <c r="H177" s="109"/>
      <c r="T177" s="34"/>
    </row>
    <row r="178" spans="1:20" x14ac:dyDescent="0.25">
      <c r="A178" s="109" t="s">
        <v>119</v>
      </c>
      <c r="B178" s="109"/>
      <c r="C178" s="109"/>
      <c r="D178" s="109"/>
      <c r="E178" s="109"/>
      <c r="F178" s="109"/>
      <c r="G178" s="109"/>
      <c r="H178" s="109"/>
      <c r="T178" s="34"/>
    </row>
    <row r="179" spans="1:20" ht="33.950000000000003" customHeight="1" x14ac:dyDescent="0.25">
      <c r="A179" s="122" t="s">
        <v>120</v>
      </c>
      <c r="B179" s="122"/>
      <c r="C179" s="122"/>
      <c r="D179" s="122"/>
      <c r="E179" s="122"/>
      <c r="F179" s="122"/>
      <c r="G179" s="122"/>
      <c r="H179" s="122"/>
    </row>
    <row r="180" spans="1:20" x14ac:dyDescent="0.25">
      <c r="A180" s="163" t="s">
        <v>73</v>
      </c>
      <c r="B180" s="163"/>
      <c r="C180" s="163" t="s">
        <v>412</v>
      </c>
      <c r="D180" s="163"/>
      <c r="E180" s="163" t="s">
        <v>102</v>
      </c>
      <c r="F180" s="163"/>
      <c r="G180" s="163" t="s">
        <v>424</v>
      </c>
      <c r="H180" s="163"/>
    </row>
    <row r="181" spans="1:20" x14ac:dyDescent="0.25">
      <c r="A181" s="162" t="s">
        <v>75</v>
      </c>
      <c r="B181" s="162"/>
      <c r="C181" s="162"/>
      <c r="D181" s="162"/>
      <c r="E181" s="162"/>
      <c r="F181" s="162"/>
      <c r="G181" s="162"/>
      <c r="H181" s="162"/>
    </row>
    <row r="182" spans="1:20" x14ac:dyDescent="0.25">
      <c r="A182" s="162"/>
      <c r="B182" s="162"/>
      <c r="C182" s="162"/>
      <c r="D182" s="162"/>
      <c r="E182" s="162"/>
      <c r="F182" s="162"/>
      <c r="G182" s="162"/>
      <c r="H182" s="162"/>
    </row>
    <row r="183" spans="1:20" x14ac:dyDescent="0.25">
      <c r="A183" s="162"/>
      <c r="B183" s="162"/>
      <c r="C183" s="162"/>
      <c r="D183" s="162"/>
      <c r="E183" s="162"/>
      <c r="F183" s="162"/>
      <c r="G183" s="162"/>
      <c r="H183" s="162"/>
    </row>
    <row r="184" spans="1:20" x14ac:dyDescent="0.25">
      <c r="A184" s="162"/>
      <c r="B184" s="162"/>
      <c r="C184" s="162"/>
      <c r="D184" s="162"/>
      <c r="E184" s="162"/>
      <c r="F184" s="162"/>
      <c r="G184" s="162"/>
      <c r="H184" s="162"/>
    </row>
    <row r="185" spans="1:20" x14ac:dyDescent="0.25">
      <c r="A185" s="37" t="s">
        <v>62</v>
      </c>
      <c r="B185" s="38"/>
      <c r="C185" s="38"/>
      <c r="D185" s="37" t="str">
        <f>E9</f>
        <v>Gladiolus Crown</v>
      </c>
      <c r="F185" s="38"/>
      <c r="G185" s="38"/>
      <c r="H185" s="38"/>
    </row>
    <row r="186" spans="1:20" x14ac:dyDescent="0.25">
      <c r="A186" s="38"/>
      <c r="B186" s="38"/>
      <c r="C186" s="38"/>
      <c r="D186" s="38"/>
      <c r="E186" s="38"/>
      <c r="F186" s="38"/>
      <c r="G186" s="38"/>
      <c r="H186" s="38"/>
    </row>
    <row r="187" spans="1:20" x14ac:dyDescent="0.25">
      <c r="A187" s="38"/>
      <c r="B187" s="38"/>
      <c r="C187" s="38"/>
      <c r="D187" s="38"/>
      <c r="E187" s="38"/>
      <c r="F187" s="38"/>
      <c r="G187" s="38"/>
      <c r="H187" s="38"/>
    </row>
    <row r="188" spans="1:20" ht="15" customHeight="1" x14ac:dyDescent="0.25"/>
    <row r="229" spans="1:1" x14ac:dyDescent="0.25">
      <c r="A229" s="40" t="s">
        <v>157</v>
      </c>
    </row>
    <row r="273" spans="1:1" x14ac:dyDescent="0.25">
      <c r="A273" s="40" t="s">
        <v>63</v>
      </c>
    </row>
  </sheetData>
  <mergeCells count="338">
    <mergeCell ref="B165:H165"/>
    <mergeCell ref="I50:K50"/>
    <mergeCell ref="L50:M50"/>
    <mergeCell ref="B164:H164"/>
    <mergeCell ref="B166:H166"/>
    <mergeCell ref="L140:M140"/>
    <mergeCell ref="A147:B147"/>
    <mergeCell ref="A154:B154"/>
    <mergeCell ref="D151:H151"/>
    <mergeCell ref="A126:B126"/>
    <mergeCell ref="L126:M126"/>
    <mergeCell ref="A127:B127"/>
    <mergeCell ref="L127:M127"/>
    <mergeCell ref="A128:B128"/>
    <mergeCell ref="L128:M128"/>
    <mergeCell ref="A129:B129"/>
    <mergeCell ref="L129:M129"/>
    <mergeCell ref="A139:B139"/>
    <mergeCell ref="L139:M139"/>
    <mergeCell ref="A149:B149"/>
    <mergeCell ref="L141:M141"/>
    <mergeCell ref="L138:M138"/>
    <mergeCell ref="L135:M135"/>
    <mergeCell ref="L136:M136"/>
    <mergeCell ref="A137:B137"/>
    <mergeCell ref="L137:M137"/>
    <mergeCell ref="L121:M121"/>
    <mergeCell ref="A122:B122"/>
    <mergeCell ref="L122:M122"/>
    <mergeCell ref="A123:B123"/>
    <mergeCell ref="L123:M123"/>
    <mergeCell ref="A124:B124"/>
    <mergeCell ref="L124:M124"/>
    <mergeCell ref="A125:B125"/>
    <mergeCell ref="L125:M125"/>
    <mergeCell ref="B172:H172"/>
    <mergeCell ref="C113:C114"/>
    <mergeCell ref="B131:B132"/>
    <mergeCell ref="B158:H158"/>
    <mergeCell ref="A80:B80"/>
    <mergeCell ref="E78:F87"/>
    <mergeCell ref="G78:H87"/>
    <mergeCell ref="B169:H169"/>
    <mergeCell ref="A94:E94"/>
    <mergeCell ref="A109:B109"/>
    <mergeCell ref="E109:F109"/>
    <mergeCell ref="A99:E99"/>
    <mergeCell ref="G109:H109"/>
    <mergeCell ref="A105:B105"/>
    <mergeCell ref="C105:D105"/>
    <mergeCell ref="E105:F105"/>
    <mergeCell ref="G105:H105"/>
    <mergeCell ref="B167:H167"/>
    <mergeCell ref="B162:H162"/>
    <mergeCell ref="A117:B117"/>
    <mergeCell ref="A146:B146"/>
    <mergeCell ref="A143:B143"/>
    <mergeCell ref="A144:B144"/>
    <mergeCell ref="A136:B136"/>
    <mergeCell ref="A40:B40"/>
    <mergeCell ref="C40:H40"/>
    <mergeCell ref="F113:F114"/>
    <mergeCell ref="C104:D104"/>
    <mergeCell ref="E104:F104"/>
    <mergeCell ref="B113:B114"/>
    <mergeCell ref="A113:A114"/>
    <mergeCell ref="C131:C132"/>
    <mergeCell ref="G131:G132"/>
    <mergeCell ref="G110:H110"/>
    <mergeCell ref="E46:H46"/>
    <mergeCell ref="E47:H47"/>
    <mergeCell ref="C57:H57"/>
    <mergeCell ref="A48:H48"/>
    <mergeCell ref="D65:H65"/>
    <mergeCell ref="A65:C65"/>
    <mergeCell ref="A45:D45"/>
    <mergeCell ref="A49:B49"/>
    <mergeCell ref="C49:H49"/>
    <mergeCell ref="A66:C66"/>
    <mergeCell ref="D66:H66"/>
    <mergeCell ref="G52:H52"/>
    <mergeCell ref="A62:H62"/>
    <mergeCell ref="A76:B76"/>
    <mergeCell ref="A38:H38"/>
    <mergeCell ref="L120:M120"/>
    <mergeCell ref="L119:M119"/>
    <mergeCell ref="L118:M118"/>
    <mergeCell ref="L117:M117"/>
    <mergeCell ref="A85:B85"/>
    <mergeCell ref="C108:D108"/>
    <mergeCell ref="E108:F108"/>
    <mergeCell ref="G108:H108"/>
    <mergeCell ref="A89:E89"/>
    <mergeCell ref="A116:H116"/>
    <mergeCell ref="E113:E114"/>
    <mergeCell ref="F90:H90"/>
    <mergeCell ref="A90:E90"/>
    <mergeCell ref="E110:F110"/>
    <mergeCell ref="C53:H53"/>
    <mergeCell ref="A63:C63"/>
    <mergeCell ref="A67:C67"/>
    <mergeCell ref="A68:C68"/>
    <mergeCell ref="D67:H67"/>
    <mergeCell ref="A64:C64"/>
    <mergeCell ref="G59:H59"/>
    <mergeCell ref="A77:B77"/>
    <mergeCell ref="D68:H68"/>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E42:H42"/>
    <mergeCell ref="A41:H41"/>
    <mergeCell ref="A46:D46"/>
    <mergeCell ref="A47:D47"/>
    <mergeCell ref="A44:D44"/>
    <mergeCell ref="E44:H44"/>
    <mergeCell ref="E45:H45"/>
    <mergeCell ref="A74:B74"/>
    <mergeCell ref="C74:H74"/>
    <mergeCell ref="A69:C69"/>
    <mergeCell ref="D69:H69"/>
    <mergeCell ref="C76:H76"/>
    <mergeCell ref="A70:C70"/>
    <mergeCell ref="D70:H70"/>
    <mergeCell ref="A73:C73"/>
    <mergeCell ref="D73:H73"/>
    <mergeCell ref="A72:C72"/>
    <mergeCell ref="A71:C71"/>
    <mergeCell ref="D72:H72"/>
    <mergeCell ref="A58:B60"/>
    <mergeCell ref="C60:H60"/>
    <mergeCell ref="C58:E59"/>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1:H184"/>
    <mergeCell ref="A180:B180"/>
    <mergeCell ref="E180:F180"/>
    <mergeCell ref="C180:D180"/>
    <mergeCell ref="G180:H180"/>
    <mergeCell ref="A102:H102"/>
    <mergeCell ref="A100:E100"/>
    <mergeCell ref="F100:H100"/>
    <mergeCell ref="A101:E101"/>
    <mergeCell ref="F101:H101"/>
    <mergeCell ref="A141:H141"/>
    <mergeCell ref="A108:B108"/>
    <mergeCell ref="A151:B151"/>
    <mergeCell ref="A104:B104"/>
    <mergeCell ref="A176:H176"/>
    <mergeCell ref="A106:H106"/>
    <mergeCell ref="A179:H179"/>
    <mergeCell ref="A177:H177"/>
    <mergeCell ref="A173:H173"/>
    <mergeCell ref="G107:H107"/>
    <mergeCell ref="B161:H161"/>
    <mergeCell ref="A145:B145"/>
    <mergeCell ref="D113:D114"/>
    <mergeCell ref="C110:D110"/>
    <mergeCell ref="B168:H168"/>
    <mergeCell ref="A110:B110"/>
    <mergeCell ref="A91:E91"/>
    <mergeCell ref="A88:E88"/>
    <mergeCell ref="F92:H92"/>
    <mergeCell ref="A153:B153"/>
    <mergeCell ref="A92:E92"/>
    <mergeCell ref="A138:B138"/>
    <mergeCell ref="B163:H163"/>
    <mergeCell ref="G113:G114"/>
    <mergeCell ref="B156:H156"/>
    <mergeCell ref="B157:H157"/>
    <mergeCell ref="B159:H159"/>
    <mergeCell ref="F88:H88"/>
    <mergeCell ref="F94:H94"/>
    <mergeCell ref="A135:B135"/>
    <mergeCell ref="A120:B120"/>
    <mergeCell ref="A119:B119"/>
    <mergeCell ref="F95:H95"/>
    <mergeCell ref="A97:E97"/>
    <mergeCell ref="A121:B121"/>
    <mergeCell ref="A140:B140"/>
    <mergeCell ref="A115:H115"/>
    <mergeCell ref="A133:H133"/>
    <mergeCell ref="A178:H178"/>
    <mergeCell ref="A175:H175"/>
    <mergeCell ref="A142:B142"/>
    <mergeCell ref="A107:B107"/>
    <mergeCell ref="D131:D132"/>
    <mergeCell ref="E131:E132"/>
    <mergeCell ref="F89:H89"/>
    <mergeCell ref="G104:H104"/>
    <mergeCell ref="F96:H96"/>
    <mergeCell ref="C103:D103"/>
    <mergeCell ref="C109:D109"/>
    <mergeCell ref="A134:H134"/>
    <mergeCell ref="A152:B152"/>
    <mergeCell ref="B160:H160"/>
    <mergeCell ref="B171:H171"/>
    <mergeCell ref="B170:H170"/>
    <mergeCell ref="F91:H91"/>
    <mergeCell ref="A96:E96"/>
    <mergeCell ref="A174:H174"/>
    <mergeCell ref="A95:E95"/>
    <mergeCell ref="A155:H155"/>
    <mergeCell ref="A111:H111"/>
    <mergeCell ref="A131:A132"/>
    <mergeCell ref="F131:F132"/>
    <mergeCell ref="I15:P15"/>
    <mergeCell ref="F99:H99"/>
    <mergeCell ref="F97:H97"/>
    <mergeCell ref="A150:B150"/>
    <mergeCell ref="A112:H112"/>
    <mergeCell ref="G103:H103"/>
    <mergeCell ref="A98:E98"/>
    <mergeCell ref="A118:B118"/>
    <mergeCell ref="A61:B61"/>
    <mergeCell ref="C61:E61"/>
    <mergeCell ref="D63:H63"/>
    <mergeCell ref="F98:H98"/>
    <mergeCell ref="E103:F103"/>
    <mergeCell ref="A103:B103"/>
    <mergeCell ref="C107:D107"/>
    <mergeCell ref="D71:H71"/>
    <mergeCell ref="D64:H64"/>
    <mergeCell ref="G61:H61"/>
    <mergeCell ref="A54:B55"/>
    <mergeCell ref="A130:H130"/>
    <mergeCell ref="A83:B83"/>
    <mergeCell ref="A50:B50"/>
    <mergeCell ref="A148:H148"/>
    <mergeCell ref="A25:D25"/>
    <mergeCell ref="A78:B78"/>
    <mergeCell ref="G77:H77"/>
    <mergeCell ref="A86:B86"/>
    <mergeCell ref="A87:B87"/>
    <mergeCell ref="A82:B82"/>
    <mergeCell ref="A81:B81"/>
    <mergeCell ref="E77:F77"/>
    <mergeCell ref="A79:B79"/>
    <mergeCell ref="E107:F107"/>
    <mergeCell ref="A84:B84"/>
    <mergeCell ref="A93:E93"/>
    <mergeCell ref="F93:H9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80:H180">
      <formula1>"Kunal Kadam,Pranita Mhatre,Shruti Fule,Pooja Kawale,Gaurav Panchal,Shruti Tathare, Dipti Gothawade,Saurav Panse, Sachin Sawant"</formula1>
    </dataValidation>
    <dataValidation type="list" allowBlank="1" showInputMessage="1" showErrorMessage="1" sqref="F88:H88">
      <formula1>"On Saleable Area,On Builtup Area,On Carpet Area,On Plot Area"</formula1>
    </dataValidation>
    <dataValidation type="list" allowBlank="1" showInputMessage="1" showErrorMessage="1" sqref="F100:H100">
      <formula1>OFFSET($S$88,1,MATCH($G20,$S$88:$W$88,0)-1,15,1)</formula1>
    </dataValidation>
    <dataValidation type="list" allowBlank="1" showInputMessage="1" showErrorMessage="1" sqref="B113:B114">
      <formula1>"Shop No. (Sale Plan),Sale / Rehab,Sale / Mhada"</formula1>
    </dataValidation>
    <dataValidation type="list" allowBlank="1" showInputMessage="1" showErrorMessage="1" sqref="B131:B13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1:E132">
      <formula1>"AP + Enclosed Balcony Area, Fungible area,Balcony Area,Chajja Area,Cornice Area,AP Area,WS Area"</formula1>
    </dataValidation>
    <dataValidation type="list" allowBlank="1" showInputMessage="1" showErrorMessage="1" sqref="H114 H13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3 H131">
      <formula1>"Saleable area Loading :,Builder Saleable Area"</formula1>
    </dataValidation>
    <dataValidation type="list" allowBlank="1" showInputMessage="1" showErrorMessage="1" sqref="D113:D114">
      <formula1>"Carpet area,RERA Carpet area"</formula1>
    </dataValidation>
    <dataValidation type="list" allowBlank="1" showInputMessage="1" showErrorMessage="1" sqref="D131:D132">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3" max="7" man="1"/>
    <brk id="184" max="16383" man="1"/>
    <brk id="228" max="16383" man="1"/>
    <brk id="27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0" zoomScale="85" zoomScaleNormal="85" workbookViewId="0">
      <selection activeCell="G27" sqref="G2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1" t="s">
        <v>103</v>
      </c>
      <c r="C3" s="251"/>
      <c r="D3" s="251"/>
      <c r="E3" s="251"/>
      <c r="F3" s="251"/>
      <c r="G3" s="251"/>
      <c r="H3" s="251"/>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172</v>
      </c>
      <c r="E4" s="52" t="s">
        <v>182</v>
      </c>
      <c r="F4" s="52" t="s">
        <v>165</v>
      </c>
      <c r="G4" s="52" t="s">
        <v>187</v>
      </c>
      <c r="H4" s="52" t="s">
        <v>205</v>
      </c>
      <c r="J4" t="s">
        <v>187</v>
      </c>
      <c r="K4" t="s">
        <v>203</v>
      </c>
    </row>
    <row r="5" spans="2:11" x14ac:dyDescent="0.25">
      <c r="B5" s="51"/>
      <c r="C5" s="51"/>
      <c r="D5" s="52" t="s">
        <v>173</v>
      </c>
      <c r="E5" s="52" t="s">
        <v>180</v>
      </c>
      <c r="F5" s="52" t="s">
        <v>202</v>
      </c>
      <c r="G5" s="52" t="s">
        <v>188</v>
      </c>
      <c r="H5" s="52" t="s">
        <v>206</v>
      </c>
    </row>
    <row r="6" spans="2:11" x14ac:dyDescent="0.25">
      <c r="B6" s="51"/>
      <c r="C6" s="51"/>
      <c r="D6" s="52" t="s">
        <v>174</v>
      </c>
      <c r="E6" s="52" t="s">
        <v>181</v>
      </c>
      <c r="F6" s="52" t="s">
        <v>203</v>
      </c>
      <c r="G6" s="52" t="s">
        <v>189</v>
      </c>
      <c r="H6" s="52" t="s">
        <v>219</v>
      </c>
    </row>
    <row r="7" spans="2:11" x14ac:dyDescent="0.25">
      <c r="B7" s="51"/>
      <c r="C7" s="51"/>
      <c r="D7" s="52" t="s">
        <v>175</v>
      </c>
      <c r="E7" s="52" t="s">
        <v>183</v>
      </c>
      <c r="F7" s="52" t="s">
        <v>204</v>
      </c>
      <c r="G7" s="52" t="s">
        <v>190</v>
      </c>
      <c r="H7" s="52" t="s">
        <v>207</v>
      </c>
    </row>
    <row r="8" spans="2:11" x14ac:dyDescent="0.25">
      <c r="B8" s="51"/>
      <c r="C8" s="51"/>
      <c r="D8" s="52" t="s">
        <v>176</v>
      </c>
      <c r="E8" s="52" t="s">
        <v>184</v>
      </c>
      <c r="F8" s="52"/>
      <c r="G8" s="52" t="s">
        <v>191</v>
      </c>
      <c r="H8" s="52" t="s">
        <v>208</v>
      </c>
    </row>
    <row r="9" spans="2:11" x14ac:dyDescent="0.25">
      <c r="B9" s="51"/>
      <c r="C9" s="51"/>
      <c r="D9" s="52" t="s">
        <v>177</v>
      </c>
      <c r="E9" s="52" t="s">
        <v>182</v>
      </c>
      <c r="F9" s="52"/>
      <c r="G9" s="52" t="s">
        <v>192</v>
      </c>
      <c r="H9" s="52" t="s">
        <v>209</v>
      </c>
    </row>
    <row r="10" spans="2:11" x14ac:dyDescent="0.25">
      <c r="B10" s="51"/>
      <c r="C10" s="51"/>
      <c r="D10" s="52" t="s">
        <v>178</v>
      </c>
      <c r="E10" s="52" t="s">
        <v>185</v>
      </c>
      <c r="F10" s="52"/>
      <c r="G10" s="52" t="s">
        <v>193</v>
      </c>
      <c r="H10" s="52" t="s">
        <v>210</v>
      </c>
    </row>
    <row r="11" spans="2:11" x14ac:dyDescent="0.25">
      <c r="B11" s="51"/>
      <c r="C11" s="51"/>
      <c r="D11" s="52" t="s">
        <v>179</v>
      </c>
      <c r="E11" s="52" t="s">
        <v>186</v>
      </c>
      <c r="F11" s="52"/>
      <c r="G11" s="52" t="s">
        <v>194</v>
      </c>
      <c r="H11" s="52" t="s">
        <v>211</v>
      </c>
    </row>
    <row r="12" spans="2:11" x14ac:dyDescent="0.25">
      <c r="B12" s="51"/>
      <c r="C12" s="51"/>
      <c r="D12" s="52"/>
      <c r="E12" s="52"/>
      <c r="F12" s="52"/>
      <c r="G12" s="52" t="s">
        <v>195</v>
      </c>
      <c r="H12" s="52" t="s">
        <v>212</v>
      </c>
    </row>
    <row r="13" spans="2:11" x14ac:dyDescent="0.25">
      <c r="B13" s="51"/>
      <c r="C13" s="51"/>
      <c r="D13" s="52"/>
      <c r="E13" s="52"/>
      <c r="F13" s="52"/>
      <c r="G13" s="52" t="s">
        <v>196</v>
      </c>
      <c r="H13" s="52" t="s">
        <v>213</v>
      </c>
    </row>
    <row r="14" spans="2:11" x14ac:dyDescent="0.25">
      <c r="B14" s="51"/>
      <c r="C14" s="51"/>
      <c r="D14" s="52"/>
      <c r="E14" s="52"/>
      <c r="F14" s="52"/>
      <c r="G14" s="52" t="s">
        <v>197</v>
      </c>
      <c r="H14" s="52" t="s">
        <v>214</v>
      </c>
    </row>
    <row r="15" spans="2:11" x14ac:dyDescent="0.25">
      <c r="B15" s="51"/>
      <c r="C15" s="51"/>
      <c r="D15" s="52"/>
      <c r="E15" s="52"/>
      <c r="F15" s="52"/>
      <c r="G15" s="52" t="s">
        <v>198</v>
      </c>
      <c r="H15" s="52" t="s">
        <v>215</v>
      </c>
    </row>
    <row r="16" spans="2:11" x14ac:dyDescent="0.25">
      <c r="B16" s="51"/>
      <c r="C16" s="51"/>
      <c r="D16" s="52"/>
      <c r="E16" s="52"/>
      <c r="F16" s="52"/>
      <c r="G16" s="52" t="s">
        <v>199</v>
      </c>
      <c r="H16" s="52" t="s">
        <v>216</v>
      </c>
    </row>
    <row r="17" spans="2:8" x14ac:dyDescent="0.25">
      <c r="B17" s="51"/>
      <c r="C17" s="51"/>
      <c r="D17" s="52"/>
      <c r="E17" s="52"/>
      <c r="F17" s="52"/>
      <c r="G17" s="52" t="s">
        <v>200</v>
      </c>
      <c r="H17" s="52" t="s">
        <v>217</v>
      </c>
    </row>
    <row r="18" spans="2:8" x14ac:dyDescent="0.25">
      <c r="B18" s="51"/>
      <c r="C18" s="51"/>
      <c r="D18" s="52"/>
      <c r="E18" s="52"/>
      <c r="F18" s="52"/>
      <c r="G18" s="52" t="s">
        <v>201</v>
      </c>
      <c r="H18" s="52" t="s">
        <v>218</v>
      </c>
    </row>
    <row r="24" spans="2:8" x14ac:dyDescent="0.25">
      <c r="C24" t="s">
        <v>162</v>
      </c>
    </row>
    <row r="25" spans="2:8" x14ac:dyDescent="0.25">
      <c r="C25" t="s">
        <v>220</v>
      </c>
    </row>
    <row r="26" spans="2:8" x14ac:dyDescent="0.25">
      <c r="C26" t="s">
        <v>221</v>
      </c>
    </row>
    <row r="27" spans="2:8" x14ac:dyDescent="0.25">
      <c r="C27" t="s">
        <v>222</v>
      </c>
    </row>
    <row r="28" spans="2:8" x14ac:dyDescent="0.25">
      <c r="C28" t="s">
        <v>223</v>
      </c>
    </row>
    <row r="29" spans="2:8" x14ac:dyDescent="0.25">
      <c r="C29" t="s">
        <v>224</v>
      </c>
    </row>
    <row r="30" spans="2:8" x14ac:dyDescent="0.25">
      <c r="C30" t="s">
        <v>162</v>
      </c>
    </row>
    <row r="33" spans="3:11" x14ac:dyDescent="0.25">
      <c r="J33">
        <v>1</v>
      </c>
      <c r="K33">
        <v>2</v>
      </c>
    </row>
    <row r="34" spans="3:11" x14ac:dyDescent="0.25">
      <c r="C34" s="53" t="s">
        <v>229</v>
      </c>
      <c r="D34" s="52" t="s">
        <v>227</v>
      </c>
      <c r="E34" s="52" t="s">
        <v>232</v>
      </c>
      <c r="F34" s="52" t="s">
        <v>230</v>
      </c>
      <c r="G34" s="52" t="s">
        <v>231</v>
      </c>
      <c r="H34" s="52" t="s">
        <v>233</v>
      </c>
      <c r="J34" t="s">
        <v>187</v>
      </c>
      <c r="K34" t="s">
        <v>203</v>
      </c>
    </row>
    <row r="35" spans="3:11" x14ac:dyDescent="0.25">
      <c r="C35" s="51" t="s">
        <v>228</v>
      </c>
      <c r="D35" s="52" t="s">
        <v>163</v>
      </c>
      <c r="E35" s="52" t="s">
        <v>237</v>
      </c>
      <c r="F35" s="52" t="s">
        <v>239</v>
      </c>
      <c r="G35" s="52" t="s">
        <v>241</v>
      </c>
      <c r="H35" s="52"/>
    </row>
    <row r="36" spans="3:11" x14ac:dyDescent="0.25">
      <c r="C36" s="51"/>
      <c r="D36" s="52" t="s">
        <v>234</v>
      </c>
      <c r="E36" s="52" t="s">
        <v>238</v>
      </c>
      <c r="F36" s="52" t="s">
        <v>240</v>
      </c>
      <c r="G36" s="52" t="s">
        <v>242</v>
      </c>
      <c r="H36" s="52"/>
    </row>
    <row r="37" spans="3:11" x14ac:dyDescent="0.25">
      <c r="C37" s="51"/>
      <c r="D37" s="52" t="s">
        <v>235</v>
      </c>
      <c r="E37" s="52"/>
      <c r="F37" s="52"/>
      <c r="G37" s="52" t="s">
        <v>243</v>
      </c>
      <c r="H37" s="52"/>
    </row>
    <row r="38" spans="3:11" x14ac:dyDescent="0.25">
      <c r="C38" s="51"/>
      <c r="D38" s="52" t="s">
        <v>236</v>
      </c>
      <c r="E38" s="52"/>
      <c r="F38" s="52"/>
      <c r="G38" s="52" t="s">
        <v>243</v>
      </c>
      <c r="H38" s="52"/>
    </row>
    <row r="39" spans="3:11" x14ac:dyDescent="0.25">
      <c r="C39" s="51"/>
      <c r="D39" s="52"/>
      <c r="E39" s="52"/>
      <c r="F39" s="52"/>
      <c r="G39" s="52" t="s">
        <v>244</v>
      </c>
      <c r="H39" s="52"/>
    </row>
    <row r="40" spans="3:11" x14ac:dyDescent="0.25">
      <c r="C40" s="51"/>
      <c r="D40" s="52"/>
      <c r="E40" s="52"/>
      <c r="F40" s="52"/>
      <c r="G40" s="52" t="s">
        <v>245</v>
      </c>
      <c r="H40" s="52"/>
    </row>
    <row r="41" spans="3:11" x14ac:dyDescent="0.25">
      <c r="C41" s="51"/>
      <c r="D41" s="52"/>
      <c r="E41" s="52"/>
      <c r="F41" s="52"/>
      <c r="G41" s="52"/>
      <c r="H41" s="52"/>
    </row>
    <row r="43" spans="3:11" x14ac:dyDescent="0.25">
      <c r="C43" t="s">
        <v>246</v>
      </c>
    </row>
    <row r="44" spans="3:11" x14ac:dyDescent="0.25">
      <c r="C44" t="s">
        <v>165</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172</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187</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182</v>
      </c>
      <c r="D67" t="s">
        <v>268</v>
      </c>
    </row>
    <row r="68" spans="3:4" x14ac:dyDescent="0.25">
      <c r="D68" t="s">
        <v>269</v>
      </c>
    </row>
    <row r="69" spans="3:4" x14ac:dyDescent="0.2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54">
        <v>1</v>
      </c>
      <c r="C2" s="56" t="s">
        <v>276</v>
      </c>
    </row>
    <row r="3" spans="2:3" x14ac:dyDescent="0.25">
      <c r="B3" s="54">
        <v>2</v>
      </c>
      <c r="C3" s="55" t="s">
        <v>277</v>
      </c>
    </row>
    <row r="4" spans="2:3" x14ac:dyDescent="0.25">
      <c r="B4" s="54">
        <v>3</v>
      </c>
      <c r="C4" s="54" t="s">
        <v>278</v>
      </c>
    </row>
    <row r="5" spans="2:3" x14ac:dyDescent="0.25">
      <c r="B5" s="54">
        <v>4</v>
      </c>
      <c r="C5" s="55" t="s">
        <v>279</v>
      </c>
    </row>
    <row r="6" spans="2:3" x14ac:dyDescent="0.25">
      <c r="B6" s="54">
        <v>5</v>
      </c>
      <c r="C6" s="54" t="s">
        <v>280</v>
      </c>
    </row>
    <row r="7" spans="2:3" ht="30" x14ac:dyDescent="0.25">
      <c r="B7" s="54">
        <v>6</v>
      </c>
      <c r="C7" s="55" t="s">
        <v>281</v>
      </c>
    </row>
    <row r="8" spans="2:3" ht="75" x14ac:dyDescent="0.25">
      <c r="B8" s="54">
        <v>7</v>
      </c>
      <c r="C8" s="55" t="s">
        <v>282</v>
      </c>
    </row>
    <row r="9" spans="2:3" x14ac:dyDescent="0.25">
      <c r="B9" s="54">
        <v>8</v>
      </c>
      <c r="C9" s="54" t="s">
        <v>283</v>
      </c>
    </row>
    <row r="10" spans="2:3" x14ac:dyDescent="0.25">
      <c r="B10" s="54">
        <v>9</v>
      </c>
      <c r="C10" s="54" t="s">
        <v>284</v>
      </c>
    </row>
    <row r="11" spans="2:3" x14ac:dyDescent="0.25">
      <c r="B11" s="54">
        <v>10</v>
      </c>
      <c r="C11" s="54" t="s">
        <v>285</v>
      </c>
    </row>
    <row r="12" spans="2:3" x14ac:dyDescent="0.25">
      <c r="B12" s="54">
        <v>11</v>
      </c>
      <c r="C12" s="54" t="s">
        <v>286</v>
      </c>
    </row>
    <row r="13" spans="2:3" x14ac:dyDescent="0.25">
      <c r="B13" s="54">
        <v>12</v>
      </c>
      <c r="C13" s="54" t="s">
        <v>287</v>
      </c>
    </row>
    <row r="14" spans="2:3" x14ac:dyDescent="0.25">
      <c r="B14" s="54">
        <v>13</v>
      </c>
      <c r="C14" s="54" t="s">
        <v>288</v>
      </c>
    </row>
    <row r="15" spans="2:3" x14ac:dyDescent="0.25">
      <c r="B15" s="54">
        <v>14</v>
      </c>
      <c r="C15" s="54" t="s">
        <v>278</v>
      </c>
    </row>
    <row r="16" spans="2:3" x14ac:dyDescent="0.25">
      <c r="B16" s="54">
        <v>15</v>
      </c>
      <c r="C16" s="54" t="s">
        <v>290</v>
      </c>
    </row>
    <row r="17" spans="2:3" x14ac:dyDescent="0.25">
      <c r="B17" s="72">
        <v>16</v>
      </c>
      <c r="C17" s="59" t="s">
        <v>291</v>
      </c>
    </row>
    <row r="18" spans="2:3" x14ac:dyDescent="0.25">
      <c r="B18" s="58">
        <v>17</v>
      </c>
      <c r="C18" s="59" t="s">
        <v>292</v>
      </c>
    </row>
    <row r="19" spans="2:3" x14ac:dyDescent="0.25">
      <c r="B19" s="57">
        <v>18</v>
      </c>
      <c r="C19" s="54" t="s">
        <v>293</v>
      </c>
    </row>
    <row r="20" spans="2:3" x14ac:dyDescent="0.25">
      <c r="B20" s="58">
        <v>19</v>
      </c>
      <c r="C20" s="54" t="s">
        <v>329</v>
      </c>
    </row>
    <row r="21" spans="2:3" x14ac:dyDescent="0.25">
      <c r="B21" s="54">
        <v>20</v>
      </c>
      <c r="C21" s="54" t="s">
        <v>294</v>
      </c>
    </row>
    <row r="22" spans="2:3" x14ac:dyDescent="0.25">
      <c r="B22" s="58">
        <v>21</v>
      </c>
      <c r="C22" s="54" t="s">
        <v>293</v>
      </c>
    </row>
    <row r="23" spans="2:3" s="67" customFormat="1" ht="29.25" customHeight="1" x14ac:dyDescent="0.25">
      <c r="B23" s="66">
        <v>22</v>
      </c>
      <c r="C23" s="56" t="s">
        <v>321</v>
      </c>
    </row>
    <row r="24" spans="2:3" s="67" customFormat="1" ht="30.75" customHeight="1" x14ac:dyDescent="0.25">
      <c r="B24" s="68">
        <v>23</v>
      </c>
      <c r="C24" s="56" t="s">
        <v>322</v>
      </c>
    </row>
    <row r="25" spans="2:3" x14ac:dyDescent="0.25">
      <c r="B25" s="54">
        <v>24</v>
      </c>
      <c r="C25" s="54" t="s">
        <v>325</v>
      </c>
    </row>
    <row r="26" spans="2:3" x14ac:dyDescent="0.25">
      <c r="B26" s="58">
        <v>25</v>
      </c>
      <c r="C26" s="54" t="s">
        <v>323</v>
      </c>
    </row>
    <row r="27" spans="2:3" x14ac:dyDescent="0.25">
      <c r="B27" s="68">
        <v>26</v>
      </c>
      <c r="C27" s="54" t="s">
        <v>324</v>
      </c>
    </row>
    <row r="28" spans="2:3" x14ac:dyDescent="0.25">
      <c r="B28" s="58">
        <v>27</v>
      </c>
      <c r="C28" s="54" t="s">
        <v>326</v>
      </c>
    </row>
    <row r="29" spans="2:3" ht="60" x14ac:dyDescent="0.25">
      <c r="B29" s="71">
        <v>28</v>
      </c>
      <c r="C29" s="55" t="s">
        <v>327</v>
      </c>
    </row>
    <row r="30" spans="2:3" x14ac:dyDescent="0.25">
      <c r="B30" s="68">
        <v>29</v>
      </c>
      <c r="C30" s="54" t="s">
        <v>328</v>
      </c>
    </row>
    <row r="31" spans="2:3" ht="30" x14ac:dyDescent="0.25">
      <c r="B31" s="68">
        <v>30</v>
      </c>
      <c r="C31" s="55" t="s">
        <v>330</v>
      </c>
    </row>
    <row r="32" spans="2:3" x14ac:dyDescent="0.25">
      <c r="B32" s="68">
        <v>31</v>
      </c>
      <c r="C32" s="54" t="s">
        <v>331</v>
      </c>
    </row>
    <row r="33" spans="2:4" x14ac:dyDescent="0.25">
      <c r="B33" s="68">
        <v>32</v>
      </c>
      <c r="C33" s="54" t="s">
        <v>332</v>
      </c>
    </row>
    <row r="34" spans="2:4" ht="36.75" customHeight="1" x14ac:dyDescent="0.25">
      <c r="B34" s="68">
        <v>33</v>
      </c>
      <c r="C34" s="59" t="s">
        <v>333</v>
      </c>
    </row>
    <row r="35" spans="2:4" x14ac:dyDescent="0.25">
      <c r="B35" s="66">
        <v>34</v>
      </c>
      <c r="C35" s="54" t="s">
        <v>341</v>
      </c>
    </row>
    <row r="36" spans="2:4" ht="60" x14ac:dyDescent="0.25">
      <c r="B36" s="66">
        <v>35</v>
      </c>
      <c r="C36" s="55" t="s">
        <v>343</v>
      </c>
    </row>
    <row r="37" spans="2:4" x14ac:dyDescent="0.25">
      <c r="B37" s="54">
        <v>36</v>
      </c>
      <c r="C37" s="55" t="s">
        <v>354</v>
      </c>
    </row>
    <row r="38" spans="2:4" x14ac:dyDescent="0.25">
      <c r="B38" s="54">
        <f t="shared" ref="B38:B44" si="0">B37+1</f>
        <v>37</v>
      </c>
      <c r="C38" s="54" t="s">
        <v>350</v>
      </c>
    </row>
    <row r="39" spans="2:4" x14ac:dyDescent="0.25">
      <c r="B39" s="54">
        <f t="shared" si="0"/>
        <v>38</v>
      </c>
      <c r="C39" s="54" t="s">
        <v>351</v>
      </c>
    </row>
    <row r="40" spans="2:4" x14ac:dyDescent="0.25">
      <c r="B40" s="54">
        <f t="shared" si="0"/>
        <v>39</v>
      </c>
      <c r="C40" s="54" t="s">
        <v>352</v>
      </c>
    </row>
    <row r="41" spans="2:4" x14ac:dyDescent="0.25">
      <c r="B41" s="54">
        <f t="shared" si="0"/>
        <v>40</v>
      </c>
      <c r="C41" s="54" t="s">
        <v>353</v>
      </c>
    </row>
    <row r="42" spans="2:4" ht="30.75" thickBot="1" x14ac:dyDescent="0.3">
      <c r="B42" s="75">
        <f t="shared" si="0"/>
        <v>41</v>
      </c>
      <c r="C42" s="76" t="s">
        <v>355</v>
      </c>
    </row>
    <row r="43" spans="2:4" ht="30" x14ac:dyDescent="0.25">
      <c r="B43" s="79">
        <f t="shared" si="0"/>
        <v>42</v>
      </c>
      <c r="C43" s="84" t="s">
        <v>360</v>
      </c>
      <c r="D43" t="s">
        <v>361</v>
      </c>
    </row>
    <row r="44" spans="2:4" ht="15.75" thickBot="1" x14ac:dyDescent="0.3">
      <c r="B44" s="81">
        <f t="shared" si="0"/>
        <v>43</v>
      </c>
      <c r="C44" s="83" t="s">
        <v>356</v>
      </c>
    </row>
    <row r="45" spans="2:4" ht="15.75" thickBot="1" x14ac:dyDescent="0.3">
      <c r="B45" s="77">
        <f t="shared" ref="B45:B54" si="1">B44+1</f>
        <v>44</v>
      </c>
      <c r="C45" s="78" t="s">
        <v>357</v>
      </c>
    </row>
    <row r="46" spans="2:4" ht="30" x14ac:dyDescent="0.25">
      <c r="B46" s="79">
        <f t="shared" si="1"/>
        <v>45</v>
      </c>
      <c r="C46" s="80" t="s">
        <v>358</v>
      </c>
    </row>
    <row r="47" spans="2:4" ht="15.75" thickBot="1" x14ac:dyDescent="0.3">
      <c r="B47" s="81">
        <f t="shared" si="1"/>
        <v>46</v>
      </c>
      <c r="C47" s="82" t="s">
        <v>359</v>
      </c>
    </row>
    <row r="48" spans="2:4" x14ac:dyDescent="0.25">
      <c r="B48" s="85">
        <f t="shared" si="1"/>
        <v>47</v>
      </c>
      <c r="C48" s="86" t="s">
        <v>362</v>
      </c>
    </row>
    <row r="49" spans="2:4" x14ac:dyDescent="0.25">
      <c r="B49" s="85">
        <f t="shared" si="1"/>
        <v>48</v>
      </c>
      <c r="C49" s="86" t="s">
        <v>363</v>
      </c>
    </row>
    <row r="50" spans="2:4" x14ac:dyDescent="0.25">
      <c r="B50" s="85">
        <f t="shared" si="1"/>
        <v>49</v>
      </c>
      <c r="C50" s="86" t="s">
        <v>365</v>
      </c>
      <c r="D50" t="s">
        <v>364</v>
      </c>
    </row>
    <row r="51" spans="2:4" ht="30" x14ac:dyDescent="0.25">
      <c r="B51" s="87">
        <f t="shared" si="1"/>
        <v>50</v>
      </c>
      <c r="C51" s="88" t="s">
        <v>366</v>
      </c>
    </row>
    <row r="52" spans="2:4" x14ac:dyDescent="0.25">
      <c r="B52" s="87">
        <f t="shared" si="1"/>
        <v>51</v>
      </c>
      <c r="C52" s="89" t="s">
        <v>369</v>
      </c>
      <c r="D52" t="s">
        <v>370</v>
      </c>
    </row>
    <row r="53" spans="2:4" x14ac:dyDescent="0.25">
      <c r="B53" s="87">
        <f t="shared" si="1"/>
        <v>52</v>
      </c>
      <c r="C53" s="89" t="s">
        <v>372</v>
      </c>
      <c r="D53" t="s">
        <v>373</v>
      </c>
    </row>
    <row r="54" spans="2:4" ht="45" x14ac:dyDescent="0.25">
      <c r="B54" s="87">
        <f t="shared" si="1"/>
        <v>53</v>
      </c>
      <c r="C54" s="59" t="s">
        <v>377</v>
      </c>
      <c r="D54" t="s">
        <v>376</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16" workbookViewId="0">
      <selection activeCell="C22" sqref="C22"/>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0" t="s">
        <v>295</v>
      </c>
      <c r="C2" s="252"/>
      <c r="D2" s="252"/>
    </row>
    <row r="3" spans="1:12" x14ac:dyDescent="0.25">
      <c r="D3" s="61"/>
      <c r="E3" s="61"/>
      <c r="F3" s="61"/>
      <c r="G3" s="61"/>
      <c r="H3" s="61"/>
      <c r="I3" s="61"/>
    </row>
    <row r="4" spans="1:12" x14ac:dyDescent="0.25">
      <c r="A4" s="60" t="s">
        <v>65</v>
      </c>
      <c r="B4" s="62" t="s">
        <v>296</v>
      </c>
      <c r="C4" s="253" t="s">
        <v>297</v>
      </c>
      <c r="D4" s="253"/>
      <c r="E4" s="253"/>
      <c r="F4" s="62"/>
      <c r="G4" s="254" t="s">
        <v>298</v>
      </c>
      <c r="H4" s="254"/>
      <c r="I4" s="254"/>
      <c r="J4" s="255" t="s">
        <v>299</v>
      </c>
      <c r="K4" s="255"/>
      <c r="L4" s="255"/>
    </row>
    <row r="5" spans="1:12" x14ac:dyDescent="0.25">
      <c r="A5" s="60"/>
      <c r="B5" s="62"/>
      <c r="C5" s="62" t="s">
        <v>300</v>
      </c>
      <c r="D5" s="62" t="s">
        <v>301</v>
      </c>
      <c r="E5" s="62" t="s">
        <v>302</v>
      </c>
      <c r="F5" s="62"/>
      <c r="G5" s="62" t="s">
        <v>300</v>
      </c>
      <c r="H5" s="62" t="s">
        <v>301</v>
      </c>
      <c r="I5" s="62" t="s">
        <v>302</v>
      </c>
      <c r="J5" s="62" t="s">
        <v>300</v>
      </c>
      <c r="K5" s="62" t="s">
        <v>301</v>
      </c>
      <c r="L5" s="62" t="s">
        <v>302</v>
      </c>
    </row>
    <row r="6" spans="1:12" x14ac:dyDescent="0.25">
      <c r="B6" s="52" t="s">
        <v>303</v>
      </c>
      <c r="C6" s="52"/>
      <c r="D6" s="52"/>
      <c r="E6" s="52">
        <f>C6*D6</f>
        <v>0</v>
      </c>
      <c r="F6" s="52" t="s">
        <v>320</v>
      </c>
      <c r="G6" s="52"/>
      <c r="H6" s="52"/>
      <c r="I6" s="52">
        <f>G6*H6</f>
        <v>0</v>
      </c>
      <c r="J6" s="52"/>
      <c r="K6" s="52"/>
      <c r="L6" s="52">
        <f>J6*K6</f>
        <v>0</v>
      </c>
    </row>
    <row r="7" spans="1:12" x14ac:dyDescent="0.25">
      <c r="B7" s="52"/>
      <c r="C7" s="52"/>
      <c r="D7" s="52"/>
      <c r="E7" s="52">
        <f t="shared" ref="E7:E41" si="0">C7*D7</f>
        <v>0</v>
      </c>
      <c r="F7" s="52" t="s">
        <v>320</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304</v>
      </c>
      <c r="G9" s="52"/>
      <c r="H9" s="52"/>
      <c r="I9" s="52">
        <f t="shared" si="1"/>
        <v>0</v>
      </c>
      <c r="J9" s="52"/>
      <c r="K9" s="52"/>
      <c r="L9" s="52">
        <f t="shared" si="2"/>
        <v>0</v>
      </c>
    </row>
    <row r="10" spans="1:12" x14ac:dyDescent="0.25">
      <c r="B10" s="52" t="s">
        <v>305</v>
      </c>
      <c r="C10" s="52"/>
      <c r="D10" s="52"/>
      <c r="E10" s="52">
        <f t="shared" si="0"/>
        <v>0</v>
      </c>
      <c r="F10" s="52" t="s">
        <v>304</v>
      </c>
      <c r="G10" s="52"/>
      <c r="H10" s="52"/>
      <c r="I10" s="52">
        <f t="shared" si="1"/>
        <v>0</v>
      </c>
      <c r="J10" s="52"/>
      <c r="K10" s="52"/>
      <c r="L10" s="52">
        <f t="shared" si="2"/>
        <v>0</v>
      </c>
    </row>
    <row r="11" spans="1:12" x14ac:dyDescent="0.25">
      <c r="B11" s="52"/>
      <c r="C11" s="52"/>
      <c r="D11" s="52"/>
      <c r="E11" s="52">
        <f t="shared" si="0"/>
        <v>0</v>
      </c>
      <c r="F11" s="52" t="s">
        <v>306</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307</v>
      </c>
      <c r="C14" s="52"/>
      <c r="D14" s="52"/>
      <c r="E14" s="52">
        <f t="shared" si="0"/>
        <v>0</v>
      </c>
      <c r="F14" s="52" t="s">
        <v>304</v>
      </c>
      <c r="G14" s="52"/>
      <c r="H14" s="52"/>
      <c r="I14" s="52">
        <f t="shared" si="1"/>
        <v>0</v>
      </c>
      <c r="J14" s="52"/>
      <c r="K14" s="52"/>
      <c r="L14" s="52">
        <f t="shared" si="2"/>
        <v>0</v>
      </c>
    </row>
    <row r="15" spans="1:12" x14ac:dyDescent="0.25">
      <c r="B15" s="52"/>
      <c r="C15" s="52"/>
      <c r="D15" s="52"/>
      <c r="E15" s="52">
        <f t="shared" si="0"/>
        <v>0</v>
      </c>
      <c r="F15" s="52" t="s">
        <v>306</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308</v>
      </c>
      <c r="C18" s="52"/>
      <c r="D18" s="52"/>
      <c r="E18" s="52">
        <f t="shared" si="0"/>
        <v>0</v>
      </c>
      <c r="F18" s="52" t="s">
        <v>304</v>
      </c>
      <c r="G18" s="52"/>
      <c r="H18" s="52"/>
      <c r="I18" s="52">
        <f t="shared" si="1"/>
        <v>0</v>
      </c>
      <c r="J18" s="52"/>
      <c r="K18" s="52"/>
      <c r="L18" s="52">
        <f t="shared" si="2"/>
        <v>0</v>
      </c>
    </row>
    <row r="19" spans="2:12" x14ac:dyDescent="0.25">
      <c r="B19" s="52"/>
      <c r="C19" s="52"/>
      <c r="D19" s="52"/>
      <c r="E19" s="52">
        <f t="shared" si="0"/>
        <v>0</v>
      </c>
      <c r="F19" s="52" t="s">
        <v>306</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309</v>
      </c>
      <c r="C21" s="52"/>
      <c r="D21" s="52"/>
      <c r="E21" s="52">
        <f t="shared" si="0"/>
        <v>0</v>
      </c>
      <c r="F21" s="52" t="s">
        <v>304</v>
      </c>
      <c r="G21" s="52"/>
      <c r="H21" s="52"/>
      <c r="I21" s="52">
        <f t="shared" si="1"/>
        <v>0</v>
      </c>
      <c r="J21" s="52"/>
      <c r="K21" s="52"/>
      <c r="L21" s="52">
        <f t="shared" si="2"/>
        <v>0</v>
      </c>
    </row>
    <row r="22" spans="2:12" x14ac:dyDescent="0.25">
      <c r="B22" s="52"/>
      <c r="C22" s="52"/>
      <c r="D22" s="52"/>
      <c r="E22" s="52">
        <f t="shared" si="0"/>
        <v>0</v>
      </c>
      <c r="F22" s="52" t="s">
        <v>306</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310</v>
      </c>
      <c r="C24" s="52"/>
      <c r="D24" s="52"/>
      <c r="E24" s="52">
        <f t="shared" si="0"/>
        <v>0</v>
      </c>
      <c r="F24" s="52" t="s">
        <v>311</v>
      </c>
      <c r="G24" s="52"/>
      <c r="H24" s="52"/>
      <c r="I24" s="52">
        <f t="shared" si="1"/>
        <v>0</v>
      </c>
      <c r="J24" s="52"/>
      <c r="K24" s="52"/>
      <c r="L24" s="52">
        <f t="shared" si="2"/>
        <v>0</v>
      </c>
    </row>
    <row r="25" spans="2:12" x14ac:dyDescent="0.25">
      <c r="B25" s="52"/>
      <c r="C25" s="52"/>
      <c r="D25" s="52"/>
      <c r="E25" s="52">
        <f>C25*D25</f>
        <v>0</v>
      </c>
      <c r="F25" s="52" t="s">
        <v>311</v>
      </c>
      <c r="G25" s="52"/>
      <c r="H25" s="52"/>
      <c r="I25" s="52">
        <f>G25*H25</f>
        <v>0</v>
      </c>
      <c r="J25" s="52"/>
      <c r="K25" s="52"/>
      <c r="L25" s="52">
        <f>J25*K25</f>
        <v>0</v>
      </c>
    </row>
    <row r="26" spans="2:12" x14ac:dyDescent="0.25">
      <c r="B26" s="52"/>
      <c r="C26" s="52"/>
      <c r="D26" s="52"/>
      <c r="E26" s="52">
        <f>C26*D26</f>
        <v>0</v>
      </c>
      <c r="F26" s="52" t="s">
        <v>311</v>
      </c>
      <c r="G26" s="52"/>
      <c r="H26" s="52"/>
      <c r="I26" s="52">
        <f>G26*H26</f>
        <v>0</v>
      </c>
      <c r="J26" s="52"/>
      <c r="K26" s="52"/>
      <c r="L26" s="52">
        <f>J26*K26</f>
        <v>0</v>
      </c>
    </row>
    <row r="27" spans="2:12" x14ac:dyDescent="0.25">
      <c r="B27" s="52"/>
      <c r="C27" s="52"/>
      <c r="D27" s="52"/>
      <c r="E27" s="52">
        <f>C27*D27</f>
        <v>0</v>
      </c>
      <c r="F27" s="52" t="s">
        <v>311</v>
      </c>
      <c r="G27" s="52"/>
      <c r="H27" s="52"/>
      <c r="I27" s="52">
        <f>G27*H27</f>
        <v>0</v>
      </c>
      <c r="J27" s="52"/>
      <c r="K27" s="52"/>
      <c r="L27" s="52">
        <f>J27*K27</f>
        <v>0</v>
      </c>
    </row>
    <row r="28" spans="2:12" x14ac:dyDescent="0.25">
      <c r="B28" s="52" t="s">
        <v>312</v>
      </c>
      <c r="C28" s="52"/>
      <c r="D28" s="52"/>
      <c r="E28" s="52">
        <f t="shared" si="0"/>
        <v>0</v>
      </c>
      <c r="F28" s="52" t="s">
        <v>311</v>
      </c>
      <c r="G28" s="52"/>
      <c r="H28" s="52"/>
      <c r="I28" s="52">
        <f t="shared" si="1"/>
        <v>0</v>
      </c>
      <c r="J28" s="52"/>
      <c r="K28" s="52"/>
      <c r="L28" s="52">
        <f t="shared" si="2"/>
        <v>0</v>
      </c>
    </row>
    <row r="29" spans="2:12" x14ac:dyDescent="0.25">
      <c r="B29" s="52" t="s">
        <v>313</v>
      </c>
      <c r="C29" s="52"/>
      <c r="D29" s="52"/>
      <c r="E29" s="52">
        <f t="shared" si="0"/>
        <v>0</v>
      </c>
      <c r="F29" s="52" t="s">
        <v>311</v>
      </c>
      <c r="G29" s="52"/>
      <c r="H29" s="52"/>
      <c r="I29" s="52">
        <f t="shared" si="1"/>
        <v>0</v>
      </c>
      <c r="J29" s="52"/>
      <c r="K29" s="52"/>
      <c r="L29" s="52">
        <f t="shared" si="2"/>
        <v>0</v>
      </c>
    </row>
    <row r="30" spans="2:12" x14ac:dyDescent="0.25">
      <c r="B30" s="52" t="s">
        <v>317</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314</v>
      </c>
      <c r="C33" s="52"/>
      <c r="D33" s="52"/>
      <c r="E33" s="52">
        <f t="shared" si="0"/>
        <v>0</v>
      </c>
      <c r="F33" s="52"/>
      <c r="G33" s="52"/>
      <c r="H33" s="52"/>
      <c r="I33" s="52">
        <f t="shared" si="1"/>
        <v>0</v>
      </c>
      <c r="J33" s="52"/>
      <c r="K33" s="52"/>
      <c r="L33" s="52">
        <f t="shared" si="2"/>
        <v>0</v>
      </c>
    </row>
    <row r="34" spans="2:12" x14ac:dyDescent="0.25">
      <c r="B34" s="52" t="s">
        <v>318</v>
      </c>
      <c r="C34" s="52"/>
      <c r="D34" s="52"/>
      <c r="E34" s="52">
        <f t="shared" si="0"/>
        <v>0</v>
      </c>
      <c r="F34" s="52"/>
      <c r="G34" s="52"/>
      <c r="H34" s="52"/>
      <c r="I34" s="52">
        <f t="shared" si="1"/>
        <v>0</v>
      </c>
      <c r="J34" s="52"/>
      <c r="K34" s="52"/>
      <c r="L34" s="52">
        <f t="shared" si="2"/>
        <v>0</v>
      </c>
    </row>
    <row r="35" spans="2:12" x14ac:dyDescent="0.25">
      <c r="B35" s="52" t="s">
        <v>315</v>
      </c>
      <c r="C35" s="52"/>
      <c r="D35" s="52"/>
      <c r="E35" s="52">
        <f t="shared" si="0"/>
        <v>0</v>
      </c>
      <c r="F35" s="52"/>
      <c r="G35" s="52"/>
      <c r="H35" s="52"/>
      <c r="I35" s="52">
        <f t="shared" si="1"/>
        <v>0</v>
      </c>
      <c r="J35" s="52"/>
      <c r="K35" s="52"/>
      <c r="L35" s="52">
        <f t="shared" si="2"/>
        <v>0</v>
      </c>
    </row>
    <row r="36" spans="2:12" x14ac:dyDescent="0.25">
      <c r="B36" s="52" t="s">
        <v>316</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319</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143</v>
      </c>
      <c r="C42" s="52"/>
      <c r="D42" s="52">
        <f>E42*10.764</f>
        <v>0</v>
      </c>
      <c r="E42" s="65">
        <f>SUM(E6:E41)</f>
        <v>0</v>
      </c>
      <c r="F42" s="52"/>
      <c r="G42" s="52"/>
      <c r="H42" s="52">
        <f>I42*10.764</f>
        <v>0</v>
      </c>
      <c r="I42" s="64">
        <f>SUM(I6:I41)</f>
        <v>0</v>
      </c>
      <c r="J42" s="52"/>
      <c r="K42" s="52">
        <f>L42*10.764</f>
        <v>0</v>
      </c>
      <c r="L42" s="63">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2025-09-24T09:56:13Z</cp:lastPrinted>
  <dcterms:created xsi:type="dcterms:W3CDTF">2019-07-16T09:29:46Z</dcterms:created>
  <dcterms:modified xsi:type="dcterms:W3CDTF">2025-09-24T09:59:13Z</dcterms:modified>
</cp:coreProperties>
</file>