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D:\Kunal\Sept 25\Axis\Old\New folder\"/>
    </mc:Choice>
  </mc:AlternateContent>
  <xr:revisionPtr revIDLastSave="0" documentId="13_ncr:1_{3C490C11-43BB-48BC-A553-CC752D7F8843}" xr6:coauthVersionLast="47" xr6:coauthVersionMax="47" xr10:uidLastSave="{00000000-0000-0000-0000-000000000000}"/>
  <bookViews>
    <workbookView xWindow="-108" yWindow="-108" windowWidth="23256" windowHeight="12456" xr2:uid="{00000000-000D-0000-FFFF-FFFF00000000}"/>
  </bookViews>
  <sheets>
    <sheet name="Report" sheetId="1" r:id="rId1"/>
    <sheet name="Flat detail" sheetId="3" r:id="rId2"/>
    <sheet name="Note" sheetId="4" r:id="rId3"/>
    <sheet name="valuation" sheetId="5" r:id="rId4"/>
  </sheets>
  <definedNames>
    <definedName name="_xlnm.Print_Area" localSheetId="0">Report!$A$1:$H$558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94" i="1" l="1"/>
  <c r="I280" i="1"/>
  <c r="K280" i="1" s="1"/>
  <c r="D291" i="1"/>
  <c r="D289" i="1"/>
  <c r="D288" i="1"/>
  <c r="D287" i="1"/>
  <c r="D285" i="1"/>
  <c r="D284" i="1"/>
  <c r="D283" i="1"/>
  <c r="D282" i="1"/>
  <c r="D281" i="1"/>
  <c r="F281" i="1" s="1"/>
  <c r="I281" i="1" s="1"/>
  <c r="I282" i="1" l="1"/>
  <c r="I283" i="1" s="1"/>
  <c r="C86" i="1"/>
  <c r="C87" i="1" s="1"/>
  <c r="D233" i="1" l="1"/>
  <c r="F233" i="1" s="1"/>
  <c r="D344" i="1"/>
  <c r="D347" i="1"/>
  <c r="D346" i="1"/>
  <c r="D345" i="1"/>
  <c r="D341" i="1"/>
  <c r="D340" i="1"/>
  <c r="D339" i="1"/>
  <c r="D338" i="1"/>
  <c r="D337" i="1"/>
  <c r="D335" i="1"/>
  <c r="D333" i="1"/>
  <c r="D334" i="1"/>
  <c r="D332" i="1"/>
  <c r="D331" i="1"/>
  <c r="D329" i="1"/>
  <c r="D328" i="1"/>
  <c r="D327" i="1"/>
  <c r="D326" i="1"/>
  <c r="D322" i="1"/>
  <c r="D323" i="1"/>
  <c r="D321" i="1"/>
  <c r="D320" i="1"/>
  <c r="D319" i="1"/>
  <c r="D317" i="1"/>
  <c r="D316" i="1"/>
  <c r="D315" i="1"/>
  <c r="D311" i="1"/>
  <c r="D310" i="1"/>
  <c r="D309" i="1"/>
  <c r="D308" i="1"/>
  <c r="D302" i="1"/>
  <c r="D301" i="1"/>
  <c r="D305" i="1"/>
  <c r="D304" i="1"/>
  <c r="D303" i="1"/>
  <c r="D299" i="1"/>
  <c r="D298" i="1"/>
  <c r="D297" i="1"/>
  <c r="I292" i="1"/>
  <c r="D237" i="1"/>
  <c r="F237" i="1" s="1"/>
  <c r="D236" i="1"/>
  <c r="F236" i="1" s="1"/>
  <c r="D235" i="1"/>
  <c r="F235" i="1" s="1"/>
  <c r="D234" i="1"/>
  <c r="F234" i="1" s="1"/>
  <c r="G233" i="1"/>
  <c r="F291" i="1"/>
  <c r="F289" i="1"/>
  <c r="F288" i="1"/>
  <c r="G287" i="1"/>
  <c r="F287" i="1"/>
  <c r="F285" i="1"/>
  <c r="F284" i="1"/>
  <c r="F283" i="1"/>
  <c r="F282" i="1"/>
  <c r="G281" i="1"/>
  <c r="D279" i="1"/>
  <c r="F279" i="1" s="1"/>
  <c r="D276" i="1"/>
  <c r="F276" i="1" s="1"/>
  <c r="G275" i="1"/>
  <c r="D275" i="1"/>
  <c r="F275" i="1" s="1"/>
  <c r="D273" i="1"/>
  <c r="F273" i="1" s="1"/>
  <c r="D272" i="1"/>
  <c r="F272" i="1" s="1"/>
  <c r="D271" i="1"/>
  <c r="F271" i="1" s="1"/>
  <c r="D270" i="1"/>
  <c r="F270" i="1" s="1"/>
  <c r="D269" i="1"/>
  <c r="F269" i="1" s="1"/>
  <c r="G269" i="1"/>
  <c r="D267" i="1"/>
  <c r="F267" i="1" s="1"/>
  <c r="D266" i="1"/>
  <c r="F266" i="1" s="1"/>
  <c r="D265" i="1"/>
  <c r="F265" i="1" s="1"/>
  <c r="D264" i="1"/>
  <c r="F264" i="1" s="1"/>
  <c r="G263" i="1"/>
  <c r="D263" i="1"/>
  <c r="F263" i="1" s="1"/>
  <c r="D261" i="1"/>
  <c r="F261" i="1" s="1"/>
  <c r="D258" i="1"/>
  <c r="F258" i="1" s="1"/>
  <c r="G257" i="1"/>
  <c r="D257" i="1"/>
  <c r="F257" i="1" s="1"/>
  <c r="D249" i="1"/>
  <c r="F249" i="1" s="1"/>
  <c r="D246" i="1"/>
  <c r="F246" i="1" s="1"/>
  <c r="D245" i="1"/>
  <c r="F245" i="1" s="1"/>
  <c r="G245" i="1"/>
  <c r="D255" i="1"/>
  <c r="F255" i="1" s="1"/>
  <c r="D254" i="1"/>
  <c r="F254" i="1" s="1"/>
  <c r="D253" i="1"/>
  <c r="F253" i="1" s="1"/>
  <c r="D252" i="1"/>
  <c r="F252" i="1" s="1"/>
  <c r="G251" i="1"/>
  <c r="D251" i="1"/>
  <c r="F251" i="1" s="1"/>
  <c r="D242" i="1"/>
  <c r="F242" i="1" s="1"/>
  <c r="D240" i="1"/>
  <c r="F240" i="1" s="1"/>
  <c r="D239" i="1"/>
  <c r="F239" i="1" s="1"/>
  <c r="D243" i="1"/>
  <c r="F243" i="1" s="1"/>
  <c r="D241" i="1"/>
  <c r="F241" i="1" s="1"/>
  <c r="G239" i="1"/>
  <c r="D230" i="1"/>
  <c r="D229" i="1"/>
  <c r="D228" i="1"/>
  <c r="D227" i="1"/>
  <c r="D222" i="1"/>
  <c r="D221" i="1"/>
  <c r="D219" i="1"/>
  <c r="D217" i="1" l="1"/>
  <c r="D218" i="1"/>
  <c r="D216" i="1"/>
  <c r="D215" i="1"/>
  <c r="D213" i="1"/>
  <c r="D212" i="1"/>
  <c r="D209" i="1"/>
  <c r="D208" i="1"/>
  <c r="D206" i="1"/>
  <c r="D205" i="1"/>
  <c r="D199" i="1"/>
  <c r="D198" i="1"/>
  <c r="D197" i="1"/>
  <c r="D194" i="1"/>
  <c r="D193" i="1"/>
  <c r="D191" i="1"/>
  <c r="D190" i="1"/>
  <c r="D189" i="1"/>
  <c r="D186" i="1"/>
  <c r="D185" i="1"/>
  <c r="D183" i="1"/>
  <c r="D175" i="1"/>
  <c r="F175" i="1" s="1"/>
  <c r="D174" i="1"/>
  <c r="F174" i="1" s="1"/>
  <c r="D173" i="1"/>
  <c r="F173" i="1" s="1"/>
  <c r="D172" i="1"/>
  <c r="F172" i="1" s="1"/>
  <c r="D171" i="1"/>
  <c r="F171" i="1" s="1"/>
  <c r="D170" i="1"/>
  <c r="F170" i="1" s="1"/>
  <c r="G169" i="1"/>
  <c r="D169" i="1"/>
  <c r="F169" i="1" s="1"/>
  <c r="D167" i="1"/>
  <c r="E3" i="1" l="1"/>
  <c r="C99" i="1" l="1"/>
  <c r="J89" i="1"/>
  <c r="J88" i="1"/>
  <c r="J87" i="1"/>
  <c r="H79" i="1"/>
  <c r="J82" i="1" l="1"/>
  <c r="D91" i="1"/>
  <c r="D85" i="1"/>
  <c r="J81" i="1"/>
  <c r="J84" i="1"/>
  <c r="D86" i="1"/>
  <c r="D84" i="1"/>
  <c r="D88" i="1"/>
  <c r="D90" i="1"/>
  <c r="D89" i="1"/>
  <c r="J83" i="1"/>
  <c r="C82" i="1" s="1"/>
  <c r="D82" i="1" s="1"/>
  <c r="D87" i="1"/>
  <c r="J85" i="1" l="1"/>
  <c r="J90" i="1" s="1"/>
  <c r="J86" i="1" l="1"/>
  <c r="J91" i="1" s="1"/>
  <c r="D196" i="1" l="1"/>
  <c r="F344" i="1" l="1"/>
  <c r="F347" i="1"/>
  <c r="F346" i="1"/>
  <c r="F345" i="1"/>
  <c r="G343" i="1"/>
  <c r="F335" i="1"/>
  <c r="F322" i="1"/>
  <c r="F341" i="1"/>
  <c r="F340" i="1"/>
  <c r="F339" i="1"/>
  <c r="F338" i="1"/>
  <c r="G337" i="1"/>
  <c r="F337" i="1"/>
  <c r="F333" i="1"/>
  <c r="F334" i="1"/>
  <c r="F332" i="1"/>
  <c r="G331" i="1"/>
  <c r="F331" i="1"/>
  <c r="F329" i="1"/>
  <c r="F328" i="1"/>
  <c r="F327" i="1"/>
  <c r="F326" i="1"/>
  <c r="G325" i="1"/>
  <c r="F323" i="1"/>
  <c r="F321" i="1"/>
  <c r="F320" i="1"/>
  <c r="G319" i="1"/>
  <c r="F319" i="1"/>
  <c r="G295" i="1"/>
  <c r="G227" i="1"/>
  <c r="G215" i="1"/>
  <c r="G221" i="1"/>
  <c r="F198" i="1"/>
  <c r="I197" i="1" s="1"/>
  <c r="F197" i="1"/>
  <c r="F194" i="1"/>
  <c r="F193" i="1"/>
  <c r="F190" i="1"/>
  <c r="I189" i="1" s="1"/>
  <c r="F189" i="1"/>
  <c r="F186" i="1"/>
  <c r="F185" i="1"/>
  <c r="F196" i="1"/>
  <c r="F199" i="1"/>
  <c r="I198" i="1" s="1"/>
  <c r="G193" i="1"/>
  <c r="F191" i="1"/>
  <c r="I190" i="1" s="1"/>
  <c r="G185" i="1"/>
  <c r="G177" i="1"/>
  <c r="G161" i="1"/>
  <c r="D138" i="1"/>
  <c r="F138" i="1" l="1"/>
  <c r="F7" i="5"/>
  <c r="F8" i="5"/>
  <c r="F6" i="5"/>
  <c r="H65" i="1"/>
  <c r="H93" i="1"/>
  <c r="D73" i="1" l="1"/>
  <c r="K74" i="1"/>
  <c r="D74" i="1"/>
  <c r="K76" i="1"/>
  <c r="D71" i="1"/>
  <c r="K70" i="1"/>
  <c r="D72" i="1"/>
  <c r="K71" i="1"/>
  <c r="C68" i="1" s="1"/>
  <c r="D75" i="1"/>
  <c r="D76" i="1"/>
  <c r="D77" i="1"/>
  <c r="K73" i="1"/>
  <c r="D70" i="1"/>
  <c r="K75" i="1"/>
  <c r="K89" i="1"/>
  <c r="K84" i="1"/>
  <c r="K90" i="1"/>
  <c r="K87" i="1"/>
  <c r="K88" i="1"/>
  <c r="K85" i="1"/>
  <c r="C83" i="1" s="1"/>
  <c r="D105" i="1"/>
  <c r="D99" i="1"/>
  <c r="D98" i="1"/>
  <c r="K99" i="1"/>
  <c r="C96" i="1" s="1"/>
  <c r="D96" i="1" s="1"/>
  <c r="D102" i="1"/>
  <c r="D103" i="1"/>
  <c r="K104" i="1"/>
  <c r="K101" i="1"/>
  <c r="D97" i="1" s="1"/>
  <c r="D101" i="1"/>
  <c r="K102" i="1"/>
  <c r="D104" i="1"/>
  <c r="K103" i="1"/>
  <c r="K98" i="1"/>
  <c r="D100" i="1"/>
  <c r="G68" i="1" l="1"/>
  <c r="D83" i="1"/>
  <c r="G82" i="1"/>
  <c r="E82" i="1"/>
  <c r="I78" i="1" s="1"/>
  <c r="C80" i="1" s="1"/>
  <c r="D69" i="1"/>
  <c r="D68" i="1"/>
  <c r="G96" i="1"/>
  <c r="I92" i="1"/>
  <c r="E96" i="1" s="1"/>
  <c r="G313" i="1"/>
  <c r="G307" i="1"/>
  <c r="G301" i="1"/>
  <c r="I64" i="1" l="1"/>
  <c r="C66" i="1" s="1"/>
  <c r="E68" i="1" s="1"/>
  <c r="D314" i="1"/>
  <c r="F317" i="1"/>
  <c r="F316" i="1"/>
  <c r="F315" i="1"/>
  <c r="F311" i="1"/>
  <c r="F310" i="1"/>
  <c r="F309" i="1"/>
  <c r="F308" i="1"/>
  <c r="F302" i="1"/>
  <c r="F301" i="1"/>
  <c r="F305" i="1"/>
  <c r="F304" i="1"/>
  <c r="F303" i="1"/>
  <c r="F298" i="1"/>
  <c r="F297" i="1"/>
  <c r="D231" i="1"/>
  <c r="F231" i="1" s="1"/>
  <c r="F230" i="1"/>
  <c r="D225" i="1"/>
  <c r="F219" i="1"/>
  <c r="F222" i="1"/>
  <c r="F217" i="1"/>
  <c r="F216" i="1"/>
  <c r="F218" i="1"/>
  <c r="F215" i="1"/>
  <c r="F221" i="1"/>
  <c r="D128" i="1" l="1"/>
  <c r="C128" i="1"/>
  <c r="F314" i="1"/>
  <c r="D129" i="1"/>
  <c r="C129" i="1"/>
  <c r="F299" i="1"/>
  <c r="F225" i="1"/>
  <c r="F227" i="1"/>
  <c r="F228" i="1"/>
  <c r="F229" i="1"/>
  <c r="F213" i="1"/>
  <c r="F212" i="1"/>
  <c r="F209" i="1"/>
  <c r="F206" i="1"/>
  <c r="F205" i="1"/>
  <c r="F183" i="1"/>
  <c r="I182" i="1" s="1"/>
  <c r="D182" i="1"/>
  <c r="F182" i="1" s="1"/>
  <c r="I181" i="1" s="1"/>
  <c r="D181" i="1"/>
  <c r="F181" i="1" s="1"/>
  <c r="D178" i="1"/>
  <c r="F178" i="1" s="1"/>
  <c r="D177" i="1"/>
  <c r="F177" i="1" s="1"/>
  <c r="F167" i="1"/>
  <c r="D166" i="1"/>
  <c r="F166" i="1" s="1"/>
  <c r="D161" i="1"/>
  <c r="F161" i="1" s="1"/>
  <c r="D165" i="1"/>
  <c r="F165" i="1" s="1"/>
  <c r="D164" i="1"/>
  <c r="F164" i="1" s="1"/>
  <c r="D163" i="1"/>
  <c r="F163" i="1" s="1"/>
  <c r="D162" i="1"/>
  <c r="F162" i="1" s="1"/>
  <c r="D159" i="1"/>
  <c r="F159" i="1" s="1"/>
  <c r="D158" i="1"/>
  <c r="F158" i="1" s="1"/>
  <c r="D157" i="1"/>
  <c r="F157" i="1" s="1"/>
  <c r="D156" i="1"/>
  <c r="F156" i="1" s="1"/>
  <c r="D153" i="1"/>
  <c r="F153" i="1" s="1"/>
  <c r="D152" i="1"/>
  <c r="F152" i="1" s="1"/>
  <c r="D151" i="1"/>
  <c r="F151" i="1" s="1"/>
  <c r="D150" i="1"/>
  <c r="F150" i="1" s="1"/>
  <c r="D148" i="1"/>
  <c r="F148" i="1" s="1"/>
  <c r="D147" i="1"/>
  <c r="F147" i="1" s="1"/>
  <c r="D146" i="1"/>
  <c r="F146" i="1" s="1"/>
  <c r="D145" i="1"/>
  <c r="F145" i="1" s="1"/>
  <c r="D143" i="1"/>
  <c r="F143" i="1" s="1"/>
  <c r="D142" i="1"/>
  <c r="F142" i="1" s="1"/>
  <c r="D141" i="1"/>
  <c r="F141" i="1" s="1"/>
  <c r="D140" i="1"/>
  <c r="F129" i="1" l="1"/>
  <c r="D127" i="1"/>
  <c r="C127" i="1"/>
  <c r="F140" i="1"/>
  <c r="F127" i="1" s="1"/>
  <c r="F208" i="1"/>
  <c r="F128" i="1" s="1"/>
  <c r="I138" i="1"/>
  <c r="G8" i="5"/>
  <c r="G6" i="5"/>
  <c r="G7" i="5"/>
  <c r="F5" i="5"/>
  <c r="G5" i="5" s="1"/>
  <c r="D130" i="1" l="1"/>
  <c r="F130" i="1"/>
  <c r="C130" i="1"/>
  <c r="G9" i="5"/>
  <c r="C14" i="1" l="1"/>
  <c r="E7" i="1" l="1"/>
  <c r="E41" i="1" l="1"/>
  <c r="D368" i="1" l="1"/>
  <c r="F121" i="1"/>
  <c r="E42" i="1"/>
  <c r="D54" i="1" s="1"/>
  <c r="L33" i="3" l="1"/>
  <c r="I33" i="3"/>
  <c r="E33" i="3"/>
  <c r="L32" i="3"/>
  <c r="I32" i="3"/>
  <c r="E32" i="3"/>
  <c r="L31" i="3"/>
  <c r="I31" i="3"/>
  <c r="E31" i="3"/>
  <c r="L30" i="3"/>
  <c r="I30" i="3"/>
  <c r="E30" i="3"/>
  <c r="L29" i="3"/>
  <c r="I29" i="3"/>
  <c r="E29" i="3"/>
  <c r="L28" i="3"/>
  <c r="I28" i="3"/>
  <c r="E28" i="3"/>
  <c r="L27" i="3"/>
  <c r="I27" i="3"/>
  <c r="E27" i="3"/>
  <c r="L26" i="3"/>
  <c r="I26" i="3"/>
  <c r="E26" i="3"/>
  <c r="L25" i="3"/>
  <c r="I25" i="3"/>
  <c r="E25" i="3"/>
  <c r="L24" i="3"/>
  <c r="I24" i="3"/>
  <c r="E24" i="3"/>
  <c r="L23" i="3"/>
  <c r="I23" i="3"/>
  <c r="E23" i="3"/>
  <c r="L22" i="3"/>
  <c r="I22" i="3"/>
  <c r="E22" i="3"/>
  <c r="L21" i="3"/>
  <c r="I21" i="3"/>
  <c r="E21" i="3"/>
  <c r="L20" i="3"/>
  <c r="I20" i="3"/>
  <c r="E20" i="3"/>
  <c r="L19" i="3"/>
  <c r="I19" i="3"/>
  <c r="E19" i="3"/>
  <c r="L18" i="3"/>
  <c r="I18" i="3"/>
  <c r="E18" i="3"/>
  <c r="L17" i="3"/>
  <c r="I17" i="3"/>
  <c r="E17" i="3"/>
  <c r="L16" i="3"/>
  <c r="I16" i="3"/>
  <c r="E16" i="3"/>
  <c r="L15" i="3"/>
  <c r="I15" i="3"/>
  <c r="E15" i="3"/>
  <c r="L14" i="3"/>
  <c r="I14" i="3"/>
  <c r="E14" i="3"/>
  <c r="L13" i="3"/>
  <c r="I13" i="3"/>
  <c r="E13" i="3"/>
  <c r="L12" i="3"/>
  <c r="I12" i="3"/>
  <c r="E12" i="3"/>
  <c r="L11" i="3"/>
  <c r="I11" i="3"/>
  <c r="E11" i="3"/>
  <c r="L10" i="3"/>
  <c r="I10" i="3"/>
  <c r="E10" i="3"/>
  <c r="L9" i="3"/>
  <c r="I9" i="3"/>
  <c r="E9" i="3"/>
  <c r="L8" i="3"/>
  <c r="I8" i="3"/>
  <c r="E8" i="3"/>
  <c r="L7" i="3"/>
  <c r="I7" i="3"/>
  <c r="E7" i="3"/>
  <c r="L6" i="3"/>
  <c r="I6" i="3"/>
  <c r="E6" i="3"/>
  <c r="L34" i="3" l="1"/>
  <c r="K34" i="3" s="1"/>
  <c r="E34" i="3"/>
  <c r="I34" i="3"/>
  <c r="H34" i="3" s="1"/>
  <c r="D34" i="3" l="1"/>
  <c r="D36" i="3" s="1"/>
  <c r="E36" i="3"/>
</calcChain>
</file>

<file path=xl/sharedStrings.xml><?xml version="1.0" encoding="utf-8"?>
<sst xmlns="http://schemas.openxmlformats.org/spreadsheetml/2006/main" count="606" uniqueCount="322">
  <si>
    <t xml:space="preserve">Valuation Report </t>
  </si>
  <si>
    <t>Date:</t>
  </si>
  <si>
    <t>CPC Name:</t>
  </si>
  <si>
    <t>Date Of Property Visit</t>
  </si>
  <si>
    <t>Name of the builder group</t>
  </si>
  <si>
    <t>Name of the builder company</t>
  </si>
  <si>
    <t>Name of the Project</t>
  </si>
  <si>
    <t>Name / No of the Building</t>
  </si>
  <si>
    <t>Docouments Provided</t>
  </si>
  <si>
    <t>RERA No.</t>
  </si>
  <si>
    <t xml:space="preserve">Project location details       </t>
  </si>
  <si>
    <t>Road</t>
  </si>
  <si>
    <t>District</t>
  </si>
  <si>
    <t>City</t>
  </si>
  <si>
    <t>Pin Code</t>
  </si>
  <si>
    <t>Near by Landmark</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</si>
  <si>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</si>
  <si>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</si>
  <si>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</si>
  <si>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</si>
  <si>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</si>
  <si>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</si>
  <si>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</si>
  <si>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</si>
  <si>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</si>
  <si>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</si>
  <si>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East</t>
  </si>
  <si>
    <t>West</t>
  </si>
  <si>
    <t>South</t>
  </si>
  <si>
    <t>North</t>
  </si>
  <si>
    <t>As per deed</t>
  </si>
  <si>
    <t>NA</t>
  </si>
  <si>
    <t>At site</t>
  </si>
  <si>
    <t>Does the boundaries at site match, as mentioned in the Docoumentation: NA</t>
  </si>
  <si>
    <t xml:space="preserve">Approved usage of the Property:                                                                                                                                             </t>
  </si>
  <si>
    <t>No</t>
  </si>
  <si>
    <t>Area Statement Details :</t>
  </si>
  <si>
    <t>Total land area of the project in Sq. Mt.</t>
  </si>
  <si>
    <t>Permissible FSI</t>
  </si>
  <si>
    <t>Permissible TDR/Paid FSI</t>
  </si>
  <si>
    <t>Total FSI availaible for the project</t>
  </si>
  <si>
    <t>Total number of Buildings</t>
  </si>
  <si>
    <t xml:space="preserve">Approval Detail : Plan approval </t>
  </si>
  <si>
    <t xml:space="preserve">Layout Approval No     </t>
  </si>
  <si>
    <t>Dated</t>
  </si>
  <si>
    <t xml:space="preserve">Approved Floor plan No.  </t>
  </si>
  <si>
    <t>Commencement Certificate No.</t>
  </si>
  <si>
    <t xml:space="preserve">Date of approval: </t>
  </si>
  <si>
    <t>Expected Completion</t>
  </si>
  <si>
    <t>Building wise Construction details</t>
  </si>
  <si>
    <t>Approved no of units</t>
  </si>
  <si>
    <t>Approved no of Floors</t>
  </si>
  <si>
    <t>Type of Work</t>
  </si>
  <si>
    <t>Plinth</t>
  </si>
  <si>
    <t>Recommended Rates of the Property :</t>
  </si>
  <si>
    <t xml:space="preserve">Recommended rate of Parking </t>
  </si>
  <si>
    <t>Distressed valuation of the Property</t>
  </si>
  <si>
    <t>Building &amp; Wing</t>
  </si>
  <si>
    <t>Total Carpet Area</t>
  </si>
  <si>
    <t>Total Saleable Area</t>
  </si>
  <si>
    <t>A</t>
  </si>
  <si>
    <t>Total</t>
  </si>
  <si>
    <t>Building details Floor Wise</t>
  </si>
  <si>
    <t xml:space="preserve">Details of Flats in Building   </t>
  </si>
  <si>
    <t>Description</t>
  </si>
  <si>
    <t>Gross Carpet area</t>
  </si>
  <si>
    <t>Attached Terrace area</t>
  </si>
  <si>
    <t>Saleable area</t>
  </si>
  <si>
    <t>Floor</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</si>
  <si>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</si>
  <si>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</si>
  <si>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</si>
  <si>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</si>
  <si>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</si>
  <si>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5) Gross carpet area =  Net Carpet area + Fungible area.</t>
  </si>
  <si>
    <t>6) Fungible Area= Enclosed Balcony + Flower Bed + Covered Balcony + Service Slab + Duct + Chajja + Wheather Shed area.</t>
  </si>
  <si>
    <t xml:space="preserve">PHOTOGRAPHS OF PROPERTY : 
</t>
  </si>
  <si>
    <t>Google Map :</t>
  </si>
  <si>
    <t xml:space="preserve">Remarks:  </t>
  </si>
  <si>
    <t xml:space="preserve">Floor No </t>
  </si>
  <si>
    <t>Flat</t>
  </si>
  <si>
    <t>Discription</t>
  </si>
  <si>
    <t>Carpet</t>
  </si>
  <si>
    <t>Fungible</t>
  </si>
  <si>
    <t>Terrace</t>
  </si>
  <si>
    <t>L</t>
  </si>
  <si>
    <t>W</t>
  </si>
  <si>
    <t>Hall</t>
  </si>
  <si>
    <t>CB</t>
  </si>
  <si>
    <t>FB</t>
  </si>
  <si>
    <t>kitch</t>
  </si>
  <si>
    <t>Bed1</t>
  </si>
  <si>
    <t>Bed2</t>
  </si>
  <si>
    <t>toilet1</t>
  </si>
  <si>
    <t>DB</t>
  </si>
  <si>
    <t>toilet2</t>
  </si>
  <si>
    <t>toilet3</t>
  </si>
  <si>
    <t>passage1</t>
  </si>
  <si>
    <t>passage2</t>
  </si>
  <si>
    <t>passage3</t>
  </si>
  <si>
    <t>passage4</t>
  </si>
  <si>
    <t>Residential Area Details :</t>
  </si>
  <si>
    <t>Podium</t>
  </si>
  <si>
    <t>Ground</t>
  </si>
  <si>
    <t>Locality/Village</t>
  </si>
  <si>
    <t>Taluka</t>
  </si>
  <si>
    <r>
      <t xml:space="preserve">Proposed Amenities :                                                                                                                                                                                                                      </t>
    </r>
    <r>
      <rPr>
        <sz val="12"/>
        <rFont val="Times New Roman"/>
        <family val="1"/>
      </rPr>
      <t xml:space="preserve">   </t>
    </r>
    <r>
      <rPr>
        <b/>
        <sz val="12"/>
        <rFont val="Times New Roman"/>
        <family val="1"/>
      </rPr>
      <t xml:space="preserve">                                               </t>
    </r>
  </si>
  <si>
    <r>
      <rPr>
        <sz val="12"/>
        <rFont val="Times New Roman"/>
        <family val="1"/>
      </rPr>
      <t>1.Vitrified tiles flooring 2. Granite Kitchen Platform  3. Decorative Enternace  etc.</t>
    </r>
    <r>
      <rPr>
        <b/>
        <sz val="12"/>
        <rFont val="Times New Roman"/>
        <family val="1"/>
      </rPr>
      <t xml:space="preserve">                                                                                                                                                                                                                                 </t>
    </r>
    <r>
      <rPr>
        <sz val="12"/>
        <rFont val="Times New Roman"/>
        <family val="1"/>
      </rPr>
      <t xml:space="preserve">   </t>
    </r>
    <r>
      <rPr>
        <b/>
        <sz val="12"/>
        <rFont val="Times New Roman"/>
        <family val="1"/>
      </rPr>
      <t xml:space="preserve">                                               </t>
    </r>
  </si>
  <si>
    <t>Commercial Area Details :</t>
  </si>
  <si>
    <t>Flat/Shop No.</t>
  </si>
  <si>
    <t>Accessibility to the Project from the City: (Proximity to civic amenities like school, hospital, market, etc.)</t>
  </si>
  <si>
    <t>Inspected By :</t>
  </si>
  <si>
    <t>No. of Units</t>
  </si>
  <si>
    <t>Authorized Signatory
Name &amp; Seal of the agency</t>
  </si>
  <si>
    <t>Recommended rate of the shop Per Sq. Ft. ( on Saleable area)</t>
  </si>
  <si>
    <t>Recommended rate of the Office Per Sq. Ft. ( on Saleable area)</t>
  </si>
  <si>
    <t>Floors</t>
  </si>
  <si>
    <t>Type of Structure</t>
  </si>
  <si>
    <t>RCC Frame Structure</t>
  </si>
  <si>
    <t>Complition %</t>
  </si>
  <si>
    <t>Disbursement %</t>
  </si>
  <si>
    <t>Progress %</t>
  </si>
  <si>
    <t xml:space="preserve">Material laying at Site: </t>
  </si>
  <si>
    <t>Projected life of the structure</t>
  </si>
  <si>
    <t>60 Years After Completion</t>
  </si>
  <si>
    <t xml:space="preserve">Quality of construction: </t>
  </si>
  <si>
    <t xml:space="preserve">Valid upto date: </t>
  </si>
  <si>
    <t>Proposed no of Floors</t>
  </si>
  <si>
    <t xml:space="preserve">Stage of construction: </t>
  </si>
  <si>
    <t>Approved area of building (Sq.Mt)</t>
  </si>
  <si>
    <t>Total Approved Builtup area of the project (Sq.Mt)</t>
  </si>
  <si>
    <t>Restrictive Covenants in regard to Land Use</t>
  </si>
  <si>
    <t>Boundries</t>
  </si>
  <si>
    <t>Floor Rise Rate Per Sq.ft</t>
  </si>
  <si>
    <t>Society Formation Charges</t>
  </si>
  <si>
    <t>Advance Maintenance Charges</t>
  </si>
  <si>
    <t>Excavation in process</t>
  </si>
  <si>
    <t>Excavation Completed</t>
  </si>
  <si>
    <t>Footing in Process</t>
  </si>
  <si>
    <t>Footing Completed</t>
  </si>
  <si>
    <t>Plinth in process</t>
  </si>
  <si>
    <t>Plinth completed</t>
  </si>
  <si>
    <t>All work Completed. Wait For OC.</t>
  </si>
  <si>
    <t>All work Completed. OC Received.</t>
  </si>
  <si>
    <t>Report By :</t>
  </si>
  <si>
    <t>Market Research Data</t>
  </si>
  <si>
    <t>Source</t>
  </si>
  <si>
    <t>Distance from proposed property</t>
  </si>
  <si>
    <t>Net Carpet</t>
  </si>
  <si>
    <t>Market Value</t>
  </si>
  <si>
    <t>Magic Brick</t>
  </si>
  <si>
    <t>3BHK</t>
  </si>
  <si>
    <t>99 Acres</t>
  </si>
  <si>
    <t>Average</t>
  </si>
  <si>
    <t xml:space="preserve">Valuation Adopted </t>
  </si>
  <si>
    <t>Saleable Area</t>
  </si>
  <si>
    <t>Rate on Saleable</t>
  </si>
  <si>
    <t>P51800023840</t>
  </si>
  <si>
    <t>Kalpataru Elitus</t>
  </si>
  <si>
    <t>LBS Marg</t>
  </si>
  <si>
    <t>Kurla</t>
  </si>
  <si>
    <t>Mumbai</t>
  </si>
  <si>
    <t>533PT 533/1, 533/2 PT and 553 PT</t>
  </si>
  <si>
    <t>Nahur</t>
  </si>
  <si>
    <t>2.3km from Bhandup Railway Station</t>
  </si>
  <si>
    <t>Bhagwati Banquets</t>
  </si>
  <si>
    <t>Upper Class</t>
  </si>
  <si>
    <t>Developed</t>
  </si>
  <si>
    <t>Slum</t>
  </si>
  <si>
    <t>CHE/4901/BPES/AT</t>
  </si>
  <si>
    <t>Tower 1</t>
  </si>
  <si>
    <t>Ground Floor for Parking</t>
  </si>
  <si>
    <t>2nd Podium Floor for Parking &amp; Residential</t>
  </si>
  <si>
    <t>2BHK</t>
  </si>
  <si>
    <t>1st Podium Floor for Parking &amp; Residential</t>
  </si>
  <si>
    <t>3rd Podium Floor for Parking &amp; Residential</t>
  </si>
  <si>
    <t>4th Podium Floor for Parking &amp; Residential</t>
  </si>
  <si>
    <t>5th Podium Floor for  Residential</t>
  </si>
  <si>
    <t>Fitness Centre</t>
  </si>
  <si>
    <t>Refuge Area</t>
  </si>
  <si>
    <t>1st Podium Floor</t>
  </si>
  <si>
    <t>2nd Podium Floor</t>
  </si>
  <si>
    <t>3rd Podium Floor</t>
  </si>
  <si>
    <t>4th Podium Floor</t>
  </si>
  <si>
    <t>5th Podium Floor</t>
  </si>
  <si>
    <t>1st &amp; 2nd Basement Floor for Parking</t>
  </si>
  <si>
    <t>Tower 2</t>
  </si>
  <si>
    <t>3rd &amp; 4th Podium Floor for Parking &amp; Residential</t>
  </si>
  <si>
    <t>5th Podium Floor for Residential</t>
  </si>
  <si>
    <t>Tower 3</t>
  </si>
  <si>
    <t>Double Height Enclosed Lobby Below</t>
  </si>
  <si>
    <t>3rd &amp; 4th Podium Floor</t>
  </si>
  <si>
    <t xml:space="preserve">5th Floor </t>
  </si>
  <si>
    <t>Krishna (9833226152)</t>
  </si>
  <si>
    <t>Approved Plans, CC</t>
  </si>
  <si>
    <t xml:space="preserve">Residential </t>
  </si>
  <si>
    <t>Axis Goregaon</t>
  </si>
  <si>
    <t>03 Buildings</t>
  </si>
  <si>
    <t>CTS No</t>
  </si>
  <si>
    <t>Cement, Aggregate, Steel, etc</t>
  </si>
  <si>
    <t>Pinnacle</t>
  </si>
  <si>
    <t>Construction details:</t>
  </si>
  <si>
    <t>All work Completed. Provide OC.</t>
  </si>
  <si>
    <t>Slab/Floor</t>
  </si>
  <si>
    <t>Excavation</t>
  </si>
  <si>
    <t>RCC</t>
  </si>
  <si>
    <t>Brickwork</t>
  </si>
  <si>
    <t>Brickwork &amp; Internal Plaster</t>
  </si>
  <si>
    <t>Internal Plaster</t>
  </si>
  <si>
    <t>Ext. Plaster &amp; Plumbing</t>
  </si>
  <si>
    <t>External Plaster &amp; Plumbing</t>
  </si>
  <si>
    <t>Flooring &amp; Fitting</t>
  </si>
  <si>
    <t>Painting &amp; Wooden</t>
  </si>
  <si>
    <t>Building Common Amenities</t>
  </si>
  <si>
    <t>Possession</t>
  </si>
  <si>
    <t xml:space="preserve">6th, 8th to 13th &amp; 15th to 20th Floor </t>
  </si>
  <si>
    <t>7th &amp; 14th Floor (Part Refuge Area)</t>
  </si>
  <si>
    <t>22nd to 27th, 29th to 34th &amp; 36th to 38th Floor</t>
  </si>
  <si>
    <t>21st &amp; 28th Floor (Part Refuge Area)</t>
  </si>
  <si>
    <t>35th Floor (Part Refuge Area)</t>
  </si>
  <si>
    <t>M.P.Room</t>
  </si>
  <si>
    <t>7th Floor (Part Refuge Area)</t>
  </si>
  <si>
    <t>1st  Floor for Residential</t>
  </si>
  <si>
    <t xml:space="preserve">2nd to 4th, 6th &amp; 8th to 13th Floor </t>
  </si>
  <si>
    <t>15th to 20th Floor</t>
  </si>
  <si>
    <t>22nd to 27th Floor</t>
  </si>
  <si>
    <t>29th to 34th &amp; 36th to 38th Floor</t>
  </si>
  <si>
    <t>M/s.Arimas Real Estate Private Limited</t>
  </si>
  <si>
    <t>from RERA</t>
  </si>
  <si>
    <t>As per RERA - 30/09/2028</t>
  </si>
  <si>
    <t>Duplex to 6th Floor</t>
  </si>
  <si>
    <t>Duplex to 13th Floor</t>
  </si>
  <si>
    <t xml:space="preserve">Fitness Centre </t>
  </si>
  <si>
    <t xml:space="preserve">Tower 1 = 2B + Gr + 1st to 5th podium + 6th to 38th Floor </t>
  </si>
  <si>
    <t xml:space="preserve">Tower 2 = 2B + Gr + 1st to 5th podium + 6th to 38th Floor </t>
  </si>
  <si>
    <t>Tower 3 = Gr + 1st to 38th Floor</t>
  </si>
  <si>
    <t>Basement</t>
  </si>
  <si>
    <t>Piling Work in process</t>
  </si>
  <si>
    <t>RCC (Including podiums)</t>
  </si>
  <si>
    <t>Basement 1</t>
  </si>
  <si>
    <t>Basement 2</t>
  </si>
  <si>
    <t>Basement 3</t>
  </si>
  <si>
    <t>Basement 4</t>
  </si>
  <si>
    <t>14000 to 15300</t>
  </si>
  <si>
    <t xml:space="preserve">sanket &amp; Smith </t>
  </si>
  <si>
    <t>Location Link</t>
  </si>
  <si>
    <t>https://goo.gl/maps/C3nWx3cTTFnQppJ59?coh=178572&amp;entry=tt</t>
  </si>
  <si>
    <t>Contact Details ( Name &amp; Contact No.)</t>
  </si>
  <si>
    <t>Site Meet Person Contact Details ( Name &amp; Contact No.)</t>
  </si>
  <si>
    <t>Ground Floor for Parking, Meter room, Control Room &amp; Doubble Height Lobby</t>
  </si>
  <si>
    <t>1.5BHK</t>
  </si>
  <si>
    <t>1st Podium Floor for Parking &amp; Double Height Entrance Lobby</t>
  </si>
  <si>
    <t xml:space="preserve">6th Floor </t>
  </si>
  <si>
    <t>4BHK
(Duplex to 7th  Floor)</t>
  </si>
  <si>
    <t xml:space="preserve">8th Floor </t>
  </si>
  <si>
    <t xml:space="preserve">13th Floor </t>
  </si>
  <si>
    <t>4BHK
(Duplex to 14th  Floor)</t>
  </si>
  <si>
    <t xml:space="preserve">20th Floor </t>
  </si>
  <si>
    <t>4BHK
(Duplex to 21st  Floor)</t>
  </si>
  <si>
    <t>14th Floor (Part Refuge Area)</t>
  </si>
  <si>
    <t>21st Floor (Part Refuge Area)</t>
  </si>
  <si>
    <t>Duplex to 20th Floor</t>
  </si>
  <si>
    <t xml:space="preserve">22nd to 26th Floor </t>
  </si>
  <si>
    <t>27th Floor</t>
  </si>
  <si>
    <t>4BHK
(Duplex to 28th Floor)</t>
  </si>
  <si>
    <t>28th Floor (Part Refuge Area)</t>
  </si>
  <si>
    <t>Duplex to 27th Floor</t>
  </si>
  <si>
    <t xml:space="preserve">29th to 34th &amp; 36th to 38th Floor </t>
  </si>
  <si>
    <t xml:space="preserve">9th to 12th &amp; 15th to 19th Floor </t>
  </si>
  <si>
    <t>Layout Plan:</t>
  </si>
  <si>
    <t>Flats - 585</t>
  </si>
  <si>
    <t>Gas Supply and meter Charges</t>
  </si>
  <si>
    <t>Water Supply Connection Charges</t>
  </si>
  <si>
    <t>Infrastructure Development Charges</t>
  </si>
  <si>
    <t>Electric Meter Supply &amp; Connection Charges</t>
  </si>
  <si>
    <t>Charges for EMP (As Per MOEF Requirment)</t>
  </si>
  <si>
    <t>12,00,000/-</t>
  </si>
  <si>
    <t>OC &amp; Parking Change by sanjay on 12/10/2023</t>
  </si>
  <si>
    <t>Recommended rate of the flat Per Sq. Ft. ( on Saleable area)</t>
  </si>
  <si>
    <t>Recommended rate of the Flat Per Sq. Ft. (For Subvention Scheme)</t>
  </si>
  <si>
    <t>sanjay</t>
  </si>
  <si>
    <t xml:space="preserve">17/03/2024
</t>
  </si>
  <si>
    <t>CE/4901/BPES/AT/FCC/5/Amend</t>
  </si>
  <si>
    <t>Further C.C. is granted up to top of 38th floor for Tower-1, Tower-2 up to top of 17th floor and full C.C. for Tower 3
as per approved amended plan dated 01.09.2023 subject to timely renewal of B.G, SWM NOC, Workmen’s
compensation policy and taking all sorts of precautions during construction and for air pollution</t>
  </si>
  <si>
    <t xml:space="preserve">Office No. 1031, Wing J, Akshar Business Park, Plot No. 03 Sector 25, Near APMC Market, Vashi, 
Navi Mumbai, Maharashtra 400703 TEL: 022-46090378/79/80                                                                                                     E mail : vsjcapf@gmail.com. Web site : www.vsjadon.com </t>
  </si>
  <si>
    <t>CE/4901/BPES/AT/FCC/6/Amend</t>
  </si>
  <si>
    <t xml:space="preserve">17/05/2025
</t>
  </si>
  <si>
    <t>Full C.C. is granted for Tower 01, Tower 02 and Tower 03 as per amended approved plan dated 01.09.2023 subject to timely renewal of B.G, SWM NOC,Workmen’s compensation policy and taking all sorts of precautions during construction and for air pollution.</t>
  </si>
  <si>
    <t>Rate 16500  akash mote cost sheet  On 24/10/2024</t>
  </si>
  <si>
    <t>Vasant Oscar Rd</t>
  </si>
  <si>
    <t>Lal Bahadur Shastri Marg</t>
  </si>
  <si>
    <t>Corrected by shruti F on 30/04/2025</t>
  </si>
  <si>
    <t>Mp Room/Refuge Area</t>
  </si>
  <si>
    <t>Remark No. 14:</t>
  </si>
  <si>
    <t>15500 to 16700 by trupti on 30/04/2025 For T2(2901 Flat)cost sheet</t>
  </si>
  <si>
    <t>15501 to 16700 by trupti on 30/04/2025 For T2(2901 Flat)cost sheet</t>
  </si>
  <si>
    <t>15502 to 16700 by trupti on 30/04/2025 For T2(2901 Flat)cost sheet</t>
  </si>
  <si>
    <t>15503 to 16700 by trupti on 30/04/2025 For T2(2901 Flat)cost sheet</t>
  </si>
  <si>
    <t>16500 to 17500 by trupti on 30/04/2025 For T2(2901 Flat)cost sheet</t>
  </si>
  <si>
    <t>Mulund West</t>
  </si>
  <si>
    <t>As per Builder</t>
  </si>
  <si>
    <t>As Per Floor Plan</t>
  </si>
  <si>
    <t>Sr. No.</t>
  </si>
  <si>
    <t>Kalpataru Elitus A</t>
  </si>
  <si>
    <t>Kalpataru Elitus B</t>
  </si>
  <si>
    <t>Kalpataru Elitus C</t>
  </si>
  <si>
    <t>Tower 1, 2 &amp; 3</t>
  </si>
  <si>
    <t>Nomenclature of Building as per the builder provided by the bank officials on mail. Photographs attached below.</t>
  </si>
  <si>
    <t>Mr Trishal : 8657798676</t>
  </si>
  <si>
    <t>Pooja</t>
  </si>
  <si>
    <t>Nainesh Tambe</t>
  </si>
  <si>
    <t>1. Tower 1 &amp; 2 = Construction work is in process at the time of visit. Internal photographs not allowed.
Tower 3 = All work completed, OC received.
2. We considered  Saleable area  as per our calculation.
3. We considered Carpet area as per Approved Plan.
4. We considered Gross carpet area = Net carpet + Deck Area.
5. We have considered rate by verifying it from market inquire.
6. Recommended rate should be considered as all inclusive rate if other charges are not mentioned. (Excluding GST &amp; other government Taxes).
7. Car parking is subjected to authentic documentation.
8. We have updated latest approved floor plan &amp; C.C (on 25/10/2021).
9. We have updated latest C.C (on 08/08/2022).
10. We have updated latest approved floor plans &amp; CC (on 22/09/2023).
11. We have updated latest approved CC from MCGM site on 22/03/2024.
12. We have updated latest approved CC from MCGM site on 08/08/2024.
13. Recommended Rates of the Property have been revised on 24/10/2024.
14. Recommended rates for the property have been revised on 30/04/2025, as per the cost sheet which is provided by the bank officials on mail. The cost sheet is attached below (For Subvention Scheme).
15. We have updated OC for Tower 3 (on 04/09/2025).
7. On Site, we meet Mr. Parth - 8668816920.</t>
  </si>
  <si>
    <t xml:space="preserve">Part O. Certificate No.: </t>
  </si>
  <si>
    <t>CE/4901/BPES/AT/OCC/1/New
Approved upto : Basement 1+ Basement 2 (by excluding footprints of
Tower-1 &amp; Tower-2 ) + Ground / Stilt (By excluding footprints of Tower-1 &amp; Tower-2 (except substation)) + Tower-3
from Ground Floor/stilt to 38 Upper Residential Floors + OHWT + LMR</t>
  </si>
  <si>
    <t>Tower 1 = 2 B + Ground + 1st to 5th podium + 6th to 38th Floor
Tower 2 = 2 B + Ground + 1st to 5th podium + 6th to 38th Floor
Tower 3 = Ground + 1st to 38th Floor</t>
  </si>
  <si>
    <t xml:space="preserve">Wheather the construction is as per approved Building plan : </t>
  </si>
  <si>
    <t>Under Construction</t>
  </si>
  <si>
    <t xml:space="preserve">Violations Observed if any : </t>
  </si>
  <si>
    <t>16. Nomenclature of Building :</t>
  </si>
  <si>
    <t>Remark No. 16:</t>
  </si>
  <si>
    <t>Latitude,Longitude</t>
  </si>
  <si>
    <t>19.169798,72.9386945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</si>
</sst>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_(* #,##0.00_);_(* \(#,##0.00\);_(* &quot;-&quot;??_);_(@_)"/>
    <numFmt numFmtId="166" formatCode="_(* #,##0_);_(* \(#,##0\);_(* &quot;-&quot;??_);_(@_)"/>
  </numFmts>
  <fonts count="23"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indexed="8"/>
      <name val="Times New Roman"/>
      <family val="1"/>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b/>
      <sz val="11.5"/>
      <color indexed="8"/>
      <name val="Times New Roman"/>
      <family val="1"/>
    </font>
    <font>
      <sz val="12"/>
      <name val="Times New Roman"/>
      <family val="1"/>
    </font>
    <font>
      <b/>
      <sz val="12"/>
      <name val="Times New Roman"/>
      <family val="1"/>
    </font>
    <font>
      <sz val="11"/>
      <name val="Times New Roman"/>
      <family val="1"/>
    </font>
    <font>
      <sz val="12"/>
      <color rgb="FFFF0000"/>
      <name val="Times New Roman"/>
      <family val="1"/>
    </font>
    <font>
      <sz val="11"/>
      <color theme="1"/>
      <name val="Times New Roman"/>
      <family val="1"/>
    </font>
    <font>
      <sz val="11"/>
      <color rgb="FF000000"/>
      <name val="Times New Roman"/>
      <family val="1"/>
    </font>
    <font>
      <sz val="11"/>
      <color rgb="FFFF0000"/>
      <name val="Calibri"/>
      <family val="2"/>
      <scheme val="minor"/>
    </font>
    <font>
      <sz val="11"/>
      <color rgb="FFFF0000"/>
      <name val="Calibri"/>
      <family val="2"/>
    </font>
    <font>
      <sz val="10"/>
      <name val="Arial"/>
      <family val="2"/>
    </font>
    <font>
      <u/>
      <sz val="11"/>
      <color theme="10"/>
      <name val="Calibri"/>
      <family val="2"/>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9">
    <xf numFmtId="0" fontId="0" fillId="0" borderId="0"/>
    <xf numFmtId="0" fontId="4" fillId="0" borderId="0"/>
    <xf numFmtId="0" fontId="6" fillId="0" borderId="0"/>
    <xf numFmtId="0" fontId="3" fillId="0" borderId="0"/>
    <xf numFmtId="0" fontId="6" fillId="0" borderId="0"/>
    <xf numFmtId="0" fontId="2" fillId="0" borderId="0"/>
    <xf numFmtId="165" fontId="6" fillId="0" borderId="0" applyFont="0" applyFill="0" applyBorder="0" applyAlignment="0" applyProtection="0"/>
    <xf numFmtId="0" fontId="21" fillId="0" borderId="0"/>
    <xf numFmtId="0" fontId="22" fillId="0" borderId="0" applyNumberFormat="0" applyFill="0" applyBorder="0" applyAlignment="0" applyProtection="0"/>
  </cellStyleXfs>
  <cellXfs count="206">
    <xf numFmtId="0" fontId="0" fillId="0" borderId="0" xfId="0"/>
    <xf numFmtId="0" fontId="8" fillId="0" borderId="0" xfId="0" applyFont="1" applyAlignment="1">
      <alignment horizontal="center" vertical="center"/>
    </xf>
    <xf numFmtId="0" fontId="8" fillId="0" borderId="0" xfId="1" applyFont="1" applyAlignment="1">
      <alignment horizontal="center" vertical="center"/>
    </xf>
    <xf numFmtId="0" fontId="0" fillId="3" borderId="1" xfId="0" applyFill="1" applyBorder="1"/>
    <xf numFmtId="0" fontId="0" fillId="0" borderId="2" xfId="0" applyBorder="1"/>
    <xf numFmtId="0" fontId="10" fillId="0" borderId="1" xfId="0" applyFont="1" applyBorder="1"/>
    <xf numFmtId="0" fontId="10" fillId="0" borderId="1" xfId="0" applyFont="1" applyBorder="1" applyAlignment="1">
      <alignment horizontal="center"/>
    </xf>
    <xf numFmtId="0" fontId="0" fillId="0" borderId="1" xfId="0" applyBorder="1"/>
    <xf numFmtId="0" fontId="8" fillId="0" borderId="0" xfId="1" applyFont="1"/>
    <xf numFmtId="0" fontId="7" fillId="0" borderId="0" xfId="2" applyFont="1"/>
    <xf numFmtId="0" fontId="8" fillId="0" borderId="0" xfId="0" applyFont="1"/>
    <xf numFmtId="0" fontId="13" fillId="0" borderId="0" xfId="1" applyFont="1"/>
    <xf numFmtId="0" fontId="16" fillId="0" borderId="0" xfId="1" applyFont="1"/>
    <xf numFmtId="0" fontId="17" fillId="0" borderId="0" xfId="1" applyFont="1"/>
    <xf numFmtId="0" fontId="13" fillId="2" borderId="1" xfId="1" applyFont="1" applyFill="1" applyBorder="1" applyAlignment="1" applyProtection="1">
      <alignment vertical="top"/>
      <protection locked="0"/>
    </xf>
    <xf numFmtId="0" fontId="13" fillId="2" borderId="1" xfId="1" applyFont="1" applyFill="1" applyBorder="1" applyAlignment="1" applyProtection="1">
      <alignment vertical="top" wrapText="1"/>
      <protection locked="0"/>
    </xf>
    <xf numFmtId="0" fontId="11" fillId="0" borderId="1" xfId="0" applyFont="1" applyBorder="1" applyAlignment="1" applyProtection="1">
      <alignment horizontal="center" vertical="center"/>
      <protection locked="0"/>
    </xf>
    <xf numFmtId="1" fontId="8" fillId="0" borderId="1" xfId="0" applyNumberFormat="1" applyFont="1" applyBorder="1" applyAlignment="1" applyProtection="1">
      <alignment horizontal="center" vertical="center"/>
      <protection locked="0"/>
    </xf>
    <xf numFmtId="1" fontId="5" fillId="0" borderId="1" xfId="1" applyNumberFormat="1" applyFont="1" applyBorder="1" applyAlignment="1" applyProtection="1">
      <alignment horizontal="center" vertical="top" wrapText="1"/>
      <protection locked="0"/>
    </xf>
    <xf numFmtId="0" fontId="9" fillId="0" borderId="0" xfId="1" applyFont="1" applyAlignment="1" applyProtection="1">
      <alignment vertical="top"/>
      <protection locked="0"/>
    </xf>
    <xf numFmtId="0" fontId="9" fillId="0" borderId="0" xfId="1" applyFont="1" applyAlignment="1" applyProtection="1">
      <alignment vertical="top" wrapText="1"/>
      <protection locked="0"/>
    </xf>
    <xf numFmtId="0" fontId="8" fillId="0" borderId="0" xfId="1" applyFont="1" applyProtection="1">
      <protection locked="0"/>
    </xf>
    <xf numFmtId="0" fontId="11" fillId="0" borderId="0" xfId="1" applyFont="1" applyProtection="1">
      <protection locked="0"/>
    </xf>
    <xf numFmtId="0" fontId="8" fillId="0" borderId="0" xfId="1" applyFont="1" applyProtection="1">
      <protection hidden="1"/>
    </xf>
    <xf numFmtId="1" fontId="7" fillId="0" borderId="1" xfId="1" applyNumberFormat="1" applyFont="1" applyBorder="1" applyAlignment="1" applyProtection="1">
      <alignment horizontal="center" vertical="center" wrapText="1"/>
      <protection locked="0"/>
    </xf>
    <xf numFmtId="1" fontId="9" fillId="0" borderId="1" xfId="1" applyNumberFormat="1" applyFont="1" applyBorder="1" applyAlignment="1" applyProtection="1">
      <alignment horizontal="center" vertical="top" wrapText="1"/>
      <protection locked="0"/>
    </xf>
    <xf numFmtId="0" fontId="8" fillId="0" borderId="6" xfId="1" applyFont="1" applyBorder="1" applyProtection="1">
      <protection hidden="1"/>
    </xf>
    <xf numFmtId="0" fontId="8" fillId="0" borderId="7" xfId="1" applyFont="1" applyBorder="1" applyProtection="1">
      <protection hidden="1"/>
    </xf>
    <xf numFmtId="0" fontId="8" fillId="0" borderId="8" xfId="1" applyFont="1" applyBorder="1" applyProtection="1">
      <protection hidden="1"/>
    </xf>
    <xf numFmtId="0" fontId="8" fillId="0" borderId="8" xfId="1" applyFont="1" applyBorder="1"/>
    <xf numFmtId="9" fontId="18" fillId="0" borderId="0" xfId="0" applyNumberFormat="1" applyFont="1" applyProtection="1">
      <protection hidden="1"/>
    </xf>
    <xf numFmtId="0" fontId="6" fillId="0" borderId="0" xfId="4"/>
    <xf numFmtId="0" fontId="2" fillId="0" borderId="0" xfId="5"/>
    <xf numFmtId="0" fontId="10" fillId="0" borderId="1" xfId="5" applyFont="1" applyBorder="1" applyAlignment="1">
      <alignment horizontal="center" vertical="top" wrapText="1"/>
    </xf>
    <xf numFmtId="0" fontId="20" fillId="0" borderId="0" xfId="4" applyFont="1"/>
    <xf numFmtId="0" fontId="2" fillId="0" borderId="1" xfId="5" applyBorder="1" applyAlignment="1">
      <alignment horizontal="center" vertical="center"/>
    </xf>
    <xf numFmtId="1" fontId="2" fillId="0" borderId="1" xfId="5" applyNumberFormat="1" applyBorder="1" applyAlignment="1">
      <alignment horizontal="center" vertical="center"/>
    </xf>
    <xf numFmtId="166" fontId="2" fillId="0" borderId="1" xfId="6" applyNumberFormat="1" applyFont="1" applyBorder="1" applyAlignment="1">
      <alignment horizontal="right" vertical="center"/>
    </xf>
    <xf numFmtId="0" fontId="10" fillId="0" borderId="1" xfId="5" applyFont="1" applyBorder="1" applyAlignment="1">
      <alignment horizontal="center" vertical="center"/>
    </xf>
    <xf numFmtId="1" fontId="19" fillId="0" borderId="1" xfId="5" applyNumberFormat="1" applyFont="1" applyBorder="1" applyAlignment="1">
      <alignment horizontal="center" vertical="center"/>
    </xf>
    <xf numFmtId="0" fontId="6" fillId="0" borderId="1" xfId="4" applyBorder="1" applyAlignment="1">
      <alignment horizontal="center" vertical="center"/>
    </xf>
    <xf numFmtId="1" fontId="7" fillId="0" borderId="4" xfId="1" applyNumberFormat="1" applyFont="1" applyBorder="1" applyAlignment="1" applyProtection="1">
      <alignment horizontal="center" vertical="center" wrapText="1"/>
      <protection locked="0"/>
    </xf>
    <xf numFmtId="1" fontId="13" fillId="0" borderId="1" xfId="1" applyNumberFormat="1" applyFont="1" applyBorder="1" applyAlignment="1" applyProtection="1">
      <alignment horizontal="center" vertical="center" wrapText="1"/>
      <protection locked="0"/>
    </xf>
    <xf numFmtId="0" fontId="13" fillId="2" borderId="1" xfId="1" applyFont="1" applyFill="1" applyBorder="1" applyAlignment="1" applyProtection="1">
      <alignment horizontal="left" vertical="top"/>
      <protection locked="0"/>
    </xf>
    <xf numFmtId="1" fontId="11" fillId="0" borderId="1" xfId="0" applyNumberFormat="1" applyFont="1" applyBorder="1" applyAlignment="1" applyProtection="1">
      <alignment horizontal="center" vertical="center"/>
      <protection locked="0"/>
    </xf>
    <xf numFmtId="0" fontId="11" fillId="0" borderId="0" xfId="0" applyFont="1" applyAlignment="1">
      <alignment horizontal="center" vertical="center"/>
    </xf>
    <xf numFmtId="0" fontId="13" fillId="0" borderId="1" xfId="1" applyFont="1" applyBorder="1" applyAlignment="1" applyProtection="1">
      <alignment horizontal="center" wrapText="1"/>
      <protection locked="0"/>
    </xf>
    <xf numFmtId="1" fontId="13" fillId="0" borderId="1" xfId="1" applyNumberFormat="1" applyFont="1" applyBorder="1" applyAlignment="1" applyProtection="1">
      <alignment horizontal="center" wrapText="1"/>
      <protection locked="0"/>
    </xf>
    <xf numFmtId="0" fontId="14" fillId="2" borderId="1" xfId="1" applyFont="1" applyFill="1" applyBorder="1" applyAlignment="1" applyProtection="1">
      <alignment horizontal="left" vertical="top"/>
      <protection locked="0"/>
    </xf>
    <xf numFmtId="0" fontId="13" fillId="0" borderId="0" xfId="1" applyFont="1" applyProtection="1">
      <protection hidden="1"/>
    </xf>
    <xf numFmtId="0" fontId="13" fillId="0" borderId="1" xfId="1" applyFont="1" applyBorder="1" applyAlignment="1" applyProtection="1">
      <alignment horizontal="center" vertical="top" wrapText="1"/>
      <protection locked="0"/>
    </xf>
    <xf numFmtId="0" fontId="1" fillId="0" borderId="1" xfId="5" applyFont="1" applyBorder="1" applyAlignment="1">
      <alignment horizontal="left" vertical="center"/>
    </xf>
    <xf numFmtId="0" fontId="1" fillId="0" borderId="1" xfId="5" applyFont="1" applyBorder="1" applyAlignment="1">
      <alignment horizontal="left" vertical="center" wrapText="1"/>
    </xf>
    <xf numFmtId="0" fontId="1" fillId="0" borderId="1" xfId="5" applyFont="1" applyBorder="1" applyAlignment="1">
      <alignment horizontal="center" vertical="center"/>
    </xf>
    <xf numFmtId="0" fontId="18" fillId="0" borderId="0" xfId="0" applyFont="1" applyProtection="1">
      <protection hidden="1"/>
    </xf>
    <xf numFmtId="0" fontId="18" fillId="0" borderId="8" xfId="0" applyFont="1" applyBorder="1" applyProtection="1">
      <protection hidden="1"/>
    </xf>
    <xf numFmtId="0" fontId="0" fillId="0" borderId="9" xfId="0" applyBorder="1"/>
    <xf numFmtId="0" fontId="0" fillId="0" borderId="10" xfId="0" applyBorder="1"/>
    <xf numFmtId="0" fontId="8" fillId="3" borderId="0" xfId="1" applyFont="1" applyFill="1"/>
    <xf numFmtId="2" fontId="8" fillId="0" borderId="0" xfId="1" applyNumberFormat="1" applyFont="1" applyAlignment="1">
      <alignment horizontal="center" vertical="center"/>
    </xf>
    <xf numFmtId="1" fontId="14" fillId="0" borderId="1" xfId="1" applyNumberFormat="1" applyFont="1" applyBorder="1" applyAlignment="1" applyProtection="1">
      <alignment horizontal="center" vertical="top" wrapText="1"/>
      <protection locked="0"/>
    </xf>
    <xf numFmtId="0" fontId="13" fillId="0" borderId="1" xfId="1" applyFont="1" applyBorder="1" applyAlignment="1" applyProtection="1">
      <alignment horizontal="center" vertical="top"/>
      <protection locked="0"/>
    </xf>
    <xf numFmtId="1" fontId="0" fillId="0" borderId="8" xfId="0" applyNumberFormat="1" applyBorder="1"/>
    <xf numFmtId="1" fontId="0" fillId="0" borderId="8" xfId="0" applyNumberFormat="1" applyBorder="1" applyAlignment="1">
      <alignment horizontal="right"/>
    </xf>
    <xf numFmtId="0" fontId="18" fillId="0" borderId="9" xfId="0" applyFont="1" applyBorder="1" applyProtection="1">
      <protection hidden="1"/>
    </xf>
    <xf numFmtId="1" fontId="0" fillId="0" borderId="10" xfId="0" applyNumberFormat="1" applyBorder="1"/>
    <xf numFmtId="0" fontId="15" fillId="0" borderId="1" xfId="1" applyFont="1" applyBorder="1" applyAlignment="1" applyProtection="1">
      <alignment horizontal="center" vertical="top" wrapText="1"/>
      <protection locked="0"/>
    </xf>
    <xf numFmtId="14" fontId="8" fillId="3" borderId="0" xfId="1" applyNumberFormat="1" applyFont="1" applyFill="1"/>
    <xf numFmtId="1" fontId="8" fillId="0" borderId="0" xfId="1" applyNumberFormat="1" applyFont="1" applyAlignment="1">
      <alignment horizontal="center" vertical="center"/>
    </xf>
    <xf numFmtId="1" fontId="8" fillId="0" borderId="1" xfId="1" applyNumberFormat="1" applyFont="1" applyBorder="1" applyAlignment="1">
      <alignment horizontal="center" vertical="center"/>
    </xf>
    <xf numFmtId="1" fontId="13" fillId="0" borderId="1" xfId="1" applyNumberFormat="1" applyFont="1" applyBorder="1" applyAlignment="1">
      <alignment horizontal="center" vertical="center"/>
    </xf>
    <xf numFmtId="1" fontId="13" fillId="0" borderId="1" xfId="0" applyNumberFormat="1" applyFont="1" applyBorder="1" applyAlignment="1" applyProtection="1">
      <alignment horizontal="center" vertical="center"/>
      <protection locked="0"/>
    </xf>
    <xf numFmtId="9" fontId="13" fillId="2" borderId="1" xfId="1" applyNumberFormat="1" applyFont="1" applyFill="1" applyBorder="1" applyAlignment="1" applyProtection="1">
      <alignment horizontal="center" vertical="center" wrapText="1"/>
      <protection hidden="1"/>
    </xf>
    <xf numFmtId="0" fontId="14" fillId="0" borderId="1" xfId="2" applyFont="1" applyBorder="1" applyAlignment="1" applyProtection="1">
      <alignment horizontal="left" vertical="top" wrapText="1"/>
      <protection locked="0"/>
    </xf>
    <xf numFmtId="0" fontId="14" fillId="0" borderId="1" xfId="2" applyFont="1" applyBorder="1" applyAlignment="1" applyProtection="1">
      <alignment horizontal="left" vertical="center" wrapText="1"/>
      <protection locked="0"/>
    </xf>
    <xf numFmtId="0" fontId="14" fillId="0" borderId="4" xfId="2" applyFont="1" applyBorder="1" applyAlignment="1" applyProtection="1">
      <alignment horizontal="center" vertical="top" wrapText="1"/>
      <protection locked="0"/>
    </xf>
    <xf numFmtId="0" fontId="14" fillId="0" borderId="11" xfId="2" applyFont="1" applyBorder="1" applyAlignment="1" applyProtection="1">
      <alignment horizontal="center" vertical="top" wrapText="1"/>
      <protection locked="0"/>
    </xf>
    <xf numFmtId="0" fontId="14" fillId="0" borderId="5" xfId="2" applyFont="1" applyBorder="1" applyAlignment="1" applyProtection="1">
      <alignment horizontal="center" vertical="top" wrapText="1"/>
      <protection locked="0"/>
    </xf>
    <xf numFmtId="0" fontId="16" fillId="3" borderId="0" xfId="1" applyFont="1" applyFill="1" applyAlignment="1">
      <alignment horizontal="center" vertical="center"/>
    </xf>
    <xf numFmtId="14" fontId="13" fillId="0" borderId="1" xfId="1" applyNumberFormat="1" applyFont="1" applyBorder="1" applyAlignment="1" applyProtection="1">
      <alignment horizontal="left" vertical="top" wrapText="1"/>
      <protection locked="0"/>
    </xf>
    <xf numFmtId="0" fontId="13" fillId="0" borderId="1" xfId="1" applyFont="1" applyBorder="1" applyAlignment="1" applyProtection="1">
      <alignment horizontal="left" vertical="top" wrapText="1"/>
      <protection locked="0"/>
    </xf>
    <xf numFmtId="0" fontId="13" fillId="2" borderId="1" xfId="1" applyFont="1" applyFill="1" applyBorder="1" applyAlignment="1" applyProtection="1">
      <alignment horizontal="left" vertical="top" wrapText="1"/>
      <protection locked="0"/>
    </xf>
    <xf numFmtId="1" fontId="9" fillId="0" borderId="4" xfId="1" applyNumberFormat="1" applyFont="1" applyBorder="1" applyAlignment="1" applyProtection="1">
      <alignment horizontal="center" vertical="center" wrapText="1"/>
      <protection locked="0"/>
    </xf>
    <xf numFmtId="1" fontId="9" fillId="0" borderId="11" xfId="1" applyNumberFormat="1" applyFont="1" applyBorder="1" applyAlignment="1" applyProtection="1">
      <alignment horizontal="center" vertical="center" wrapText="1"/>
      <protection locked="0"/>
    </xf>
    <xf numFmtId="1" fontId="9" fillId="0" borderId="5" xfId="1" applyNumberFormat="1" applyFont="1" applyBorder="1" applyAlignment="1" applyProtection="1">
      <alignment horizontal="center" vertical="center" wrapText="1"/>
      <protection locked="0"/>
    </xf>
    <xf numFmtId="1" fontId="7" fillId="0" borderId="1" xfId="1" applyNumberFormat="1" applyFont="1" applyBorder="1" applyAlignment="1" applyProtection="1">
      <alignment horizontal="center" vertical="center" wrapText="1"/>
      <protection locked="0"/>
    </xf>
    <xf numFmtId="1" fontId="7" fillId="0" borderId="12" xfId="1" applyNumberFormat="1" applyFont="1" applyBorder="1" applyAlignment="1" applyProtection="1">
      <alignment horizontal="center" vertical="center" wrapText="1"/>
      <protection locked="0"/>
    </xf>
    <xf numFmtId="1" fontId="7" fillId="0" borderId="14" xfId="1" applyNumberFormat="1" applyFont="1" applyBorder="1" applyAlignment="1" applyProtection="1">
      <alignment horizontal="center" vertical="center" wrapText="1"/>
      <protection locked="0"/>
    </xf>
    <xf numFmtId="1" fontId="7" fillId="0" borderId="17" xfId="1" applyNumberFormat="1" applyFont="1" applyBorder="1" applyAlignment="1" applyProtection="1">
      <alignment horizontal="center" vertical="center" wrapText="1"/>
      <protection locked="0"/>
    </xf>
    <xf numFmtId="1" fontId="7" fillId="0" borderId="18" xfId="1" applyNumberFormat="1" applyFont="1" applyBorder="1" applyAlignment="1" applyProtection="1">
      <alignment horizontal="center" vertical="center" wrapText="1"/>
      <protection locked="0"/>
    </xf>
    <xf numFmtId="1" fontId="7" fillId="0" borderId="15" xfId="1" applyNumberFormat="1" applyFont="1" applyBorder="1" applyAlignment="1" applyProtection="1">
      <alignment horizontal="center" vertical="center" wrapText="1"/>
      <protection locked="0"/>
    </xf>
    <xf numFmtId="1" fontId="7" fillId="0" borderId="16" xfId="1" applyNumberFormat="1" applyFont="1" applyBorder="1" applyAlignment="1" applyProtection="1">
      <alignment horizontal="center" vertical="center" wrapText="1"/>
      <protection locked="0"/>
    </xf>
    <xf numFmtId="1" fontId="7" fillId="0" borderId="4" xfId="1" applyNumberFormat="1" applyFont="1" applyBorder="1" applyAlignment="1" applyProtection="1">
      <alignment horizontal="center" vertical="center" wrapText="1"/>
      <protection locked="0"/>
    </xf>
    <xf numFmtId="1" fontId="7" fillId="0" borderId="5" xfId="1" applyNumberFormat="1" applyFont="1" applyBorder="1" applyAlignment="1" applyProtection="1">
      <alignment horizontal="center" vertical="center" wrapText="1"/>
      <protection locked="0"/>
    </xf>
    <xf numFmtId="1" fontId="7" fillId="0" borderId="11" xfId="1" applyNumberFormat="1" applyFont="1" applyBorder="1" applyAlignment="1" applyProtection="1">
      <alignment horizontal="center" vertical="center" wrapText="1"/>
      <protection locked="0"/>
    </xf>
    <xf numFmtId="1" fontId="13" fillId="0" borderId="4" xfId="1" applyNumberFormat="1" applyFont="1" applyBorder="1" applyAlignment="1" applyProtection="1">
      <alignment horizontal="center" vertical="center" wrapText="1"/>
      <protection locked="0"/>
    </xf>
    <xf numFmtId="1" fontId="13" fillId="0" borderId="11" xfId="1" applyNumberFormat="1" applyFont="1" applyBorder="1" applyAlignment="1" applyProtection="1">
      <alignment horizontal="center" vertical="center" wrapText="1"/>
      <protection locked="0"/>
    </xf>
    <xf numFmtId="1" fontId="13" fillId="0" borderId="5" xfId="1" applyNumberFormat="1" applyFont="1" applyBorder="1" applyAlignment="1" applyProtection="1">
      <alignment horizontal="center" vertical="center" wrapText="1"/>
      <protection locked="0"/>
    </xf>
    <xf numFmtId="1" fontId="9" fillId="0" borderId="1" xfId="0" applyNumberFormat="1" applyFont="1" applyBorder="1" applyAlignment="1" applyProtection="1">
      <alignment horizontal="center" vertical="top" wrapText="1"/>
      <protection locked="0"/>
    </xf>
    <xf numFmtId="1" fontId="13" fillId="0" borderId="1" xfId="1" applyNumberFormat="1" applyFont="1" applyBorder="1" applyAlignment="1" applyProtection="1">
      <alignment horizontal="center" vertical="center" wrapText="1"/>
      <protection locked="0"/>
    </xf>
    <xf numFmtId="1" fontId="13" fillId="0" borderId="12" xfId="1" applyNumberFormat="1" applyFont="1" applyBorder="1" applyAlignment="1" applyProtection="1">
      <alignment horizontal="center" vertical="center" wrapText="1"/>
      <protection locked="0"/>
    </xf>
    <xf numFmtId="1" fontId="13" fillId="0" borderId="13" xfId="1" applyNumberFormat="1" applyFont="1" applyBorder="1" applyAlignment="1" applyProtection="1">
      <alignment horizontal="center" vertical="center" wrapText="1"/>
      <protection locked="0"/>
    </xf>
    <xf numFmtId="1" fontId="13" fillId="0" borderId="14" xfId="1" applyNumberFormat="1" applyFont="1" applyBorder="1" applyAlignment="1" applyProtection="1">
      <alignment horizontal="center" vertical="center" wrapText="1"/>
      <protection locked="0"/>
    </xf>
    <xf numFmtId="1" fontId="13" fillId="0" borderId="15" xfId="1" applyNumberFormat="1" applyFont="1" applyBorder="1" applyAlignment="1" applyProtection="1">
      <alignment horizontal="center" vertical="center" wrapText="1"/>
      <protection locked="0"/>
    </xf>
    <xf numFmtId="1" fontId="13" fillId="0" borderId="2" xfId="1" applyNumberFormat="1" applyFont="1" applyBorder="1" applyAlignment="1" applyProtection="1">
      <alignment horizontal="center" vertical="center" wrapText="1"/>
      <protection locked="0"/>
    </xf>
    <xf numFmtId="1" fontId="13" fillId="0" borderId="16" xfId="1" applyNumberFormat="1" applyFont="1" applyBorder="1" applyAlignment="1" applyProtection="1">
      <alignment horizontal="center" vertical="center" wrapText="1"/>
      <protection locked="0"/>
    </xf>
    <xf numFmtId="1" fontId="13" fillId="0" borderId="17" xfId="1" applyNumberFormat="1" applyFont="1" applyBorder="1" applyAlignment="1" applyProtection="1">
      <alignment horizontal="center" vertical="center" wrapText="1"/>
      <protection locked="0"/>
    </xf>
    <xf numFmtId="1" fontId="13" fillId="0" borderId="18" xfId="1" applyNumberFormat="1" applyFont="1" applyBorder="1" applyAlignment="1" applyProtection="1">
      <alignment horizontal="center" vertical="center" wrapText="1"/>
      <protection locked="0"/>
    </xf>
    <xf numFmtId="1" fontId="9" fillId="0" borderId="1" xfId="1" applyNumberFormat="1" applyFont="1" applyBorder="1" applyAlignment="1" applyProtection="1">
      <alignment horizontal="center" vertical="top" wrapText="1"/>
      <protection locked="0"/>
    </xf>
    <xf numFmtId="0" fontId="7" fillId="4" borderId="1" xfId="1" applyFont="1" applyFill="1" applyBorder="1" applyAlignment="1" applyProtection="1">
      <alignment horizontal="left" vertical="top" wrapText="1"/>
      <protection locked="0"/>
    </xf>
    <xf numFmtId="0" fontId="7" fillId="4" borderId="1" xfId="1" applyFont="1" applyFill="1" applyBorder="1" applyAlignment="1" applyProtection="1">
      <alignment horizontal="left" vertical="top"/>
      <protection locked="0"/>
    </xf>
    <xf numFmtId="0" fontId="13" fillId="4" borderId="1" xfId="1" applyFont="1" applyFill="1" applyBorder="1" applyAlignment="1" applyProtection="1">
      <alignment horizontal="left" vertical="top"/>
      <protection locked="0"/>
    </xf>
    <xf numFmtId="1" fontId="8" fillId="0" borderId="4" xfId="0" applyNumberFormat="1" applyFont="1" applyBorder="1" applyAlignment="1" applyProtection="1">
      <alignment horizontal="center" vertical="top" wrapText="1"/>
      <protection locked="0"/>
    </xf>
    <xf numFmtId="1" fontId="8" fillId="0" borderId="11" xfId="0" applyNumberFormat="1" applyFont="1" applyBorder="1" applyAlignment="1" applyProtection="1">
      <alignment horizontal="center" vertical="top" wrapText="1"/>
      <protection locked="0"/>
    </xf>
    <xf numFmtId="1" fontId="8" fillId="0" borderId="5" xfId="0" applyNumberFormat="1" applyFont="1" applyBorder="1" applyAlignment="1" applyProtection="1">
      <alignment horizontal="center" vertical="top" wrapText="1"/>
      <protection locked="0"/>
    </xf>
    <xf numFmtId="1" fontId="9" fillId="0" borderId="1" xfId="1" applyNumberFormat="1" applyFont="1" applyBorder="1" applyAlignment="1" applyProtection="1">
      <alignment horizontal="center" vertical="center" wrapText="1"/>
      <protection locked="0"/>
    </xf>
    <xf numFmtId="0" fontId="7" fillId="0" borderId="1" xfId="1" applyFont="1" applyBorder="1" applyAlignment="1" applyProtection="1">
      <alignment horizontal="left" vertical="top"/>
      <protection locked="0"/>
    </xf>
    <xf numFmtId="0" fontId="13" fillId="2" borderId="1" xfId="1" applyFont="1" applyFill="1" applyBorder="1" applyAlignment="1" applyProtection="1">
      <alignment horizontal="left" vertical="top"/>
      <protection locked="0"/>
    </xf>
    <xf numFmtId="1" fontId="8" fillId="0" borderId="1" xfId="0" applyNumberFormat="1" applyFont="1" applyBorder="1" applyAlignment="1" applyProtection="1">
      <alignment horizontal="center" vertical="top" wrapText="1"/>
      <protection locked="0"/>
    </xf>
    <xf numFmtId="1" fontId="7" fillId="0" borderId="1" xfId="0" applyNumberFormat="1" applyFont="1" applyBorder="1" applyAlignment="1" applyProtection="1">
      <alignment horizontal="center" vertical="top" wrapText="1"/>
      <protection locked="0"/>
    </xf>
    <xf numFmtId="0" fontId="11" fillId="0" borderId="1" xfId="0" applyFont="1" applyBorder="1" applyAlignment="1" applyProtection="1">
      <alignment horizontal="center" vertical="top" wrapText="1"/>
      <protection locked="0"/>
    </xf>
    <xf numFmtId="1" fontId="13" fillId="0" borderId="1" xfId="0" applyNumberFormat="1" applyFont="1" applyBorder="1" applyAlignment="1" applyProtection="1">
      <alignment horizontal="center" vertical="top" wrapText="1"/>
      <protection locked="0"/>
    </xf>
    <xf numFmtId="0" fontId="11" fillId="0" borderId="1" xfId="1" applyFont="1" applyBorder="1" applyAlignment="1">
      <alignment horizontal="center" vertical="center"/>
    </xf>
    <xf numFmtId="1" fontId="9" fillId="0" borderId="1" xfId="0" applyNumberFormat="1" applyFont="1" applyBorder="1" applyAlignment="1" applyProtection="1">
      <alignment horizontal="center" vertical="center" wrapText="1"/>
      <protection locked="0"/>
    </xf>
    <xf numFmtId="1" fontId="7" fillId="0" borderId="13" xfId="1" applyNumberFormat="1" applyFont="1" applyBorder="1" applyAlignment="1" applyProtection="1">
      <alignment horizontal="center" vertical="center" wrapText="1"/>
      <protection locked="0"/>
    </xf>
    <xf numFmtId="1" fontId="7" fillId="0" borderId="2" xfId="1" applyNumberFormat="1" applyFont="1" applyBorder="1" applyAlignment="1" applyProtection="1">
      <alignment horizontal="center" vertical="center" wrapText="1"/>
      <protection locked="0"/>
    </xf>
    <xf numFmtId="1" fontId="13" fillId="0" borderId="4" xfId="0" applyNumberFormat="1" applyFont="1" applyBorder="1" applyAlignment="1" applyProtection="1">
      <alignment horizontal="center" vertical="top" wrapText="1"/>
      <protection locked="0"/>
    </xf>
    <xf numFmtId="1" fontId="13" fillId="0" borderId="11" xfId="0" applyNumberFormat="1" applyFont="1" applyBorder="1" applyAlignment="1" applyProtection="1">
      <alignment horizontal="center" vertical="top" wrapText="1"/>
      <protection locked="0"/>
    </xf>
    <xf numFmtId="1" fontId="13" fillId="0" borderId="5" xfId="0" applyNumberFormat="1" applyFont="1" applyBorder="1" applyAlignment="1" applyProtection="1">
      <alignment horizontal="center" vertical="top" wrapText="1"/>
      <protection locked="0"/>
    </xf>
    <xf numFmtId="1" fontId="7" fillId="0" borderId="1" xfId="0" applyNumberFormat="1" applyFont="1" applyBorder="1" applyAlignment="1" applyProtection="1">
      <alignment horizontal="center" vertical="center" wrapText="1"/>
      <protection locked="0"/>
    </xf>
    <xf numFmtId="1" fontId="14" fillId="0" borderId="4" xfId="1" applyNumberFormat="1" applyFont="1" applyBorder="1" applyAlignment="1" applyProtection="1">
      <alignment horizontal="center" vertical="center" wrapText="1"/>
      <protection locked="0"/>
    </xf>
    <xf numFmtId="1" fontId="14" fillId="0" borderId="11" xfId="1" applyNumberFormat="1" applyFont="1" applyBorder="1" applyAlignment="1" applyProtection="1">
      <alignment horizontal="center" vertical="center" wrapText="1"/>
      <protection locked="0"/>
    </xf>
    <xf numFmtId="1" fontId="14" fillId="0" borderId="5" xfId="1" applyNumberFormat="1" applyFont="1" applyBorder="1" applyAlignment="1" applyProtection="1">
      <alignment horizontal="center" vertical="center" wrapText="1"/>
      <protection locked="0"/>
    </xf>
    <xf numFmtId="0" fontId="7" fillId="0" borderId="1" xfId="1" applyFont="1" applyBorder="1" applyAlignment="1" applyProtection="1">
      <alignment vertical="top"/>
      <protection locked="0"/>
    </xf>
    <xf numFmtId="0" fontId="13" fillId="0" borderId="1" xfId="1" applyFont="1" applyBorder="1" applyAlignment="1" applyProtection="1">
      <alignment horizontal="center"/>
      <protection locked="0"/>
    </xf>
    <xf numFmtId="0" fontId="14" fillId="0" borderId="1" xfId="1" applyFont="1" applyBorder="1" applyAlignment="1" applyProtection="1">
      <alignment horizontal="center"/>
      <protection locked="0"/>
    </xf>
    <xf numFmtId="0" fontId="7" fillId="0" borderId="1" xfId="1" applyFont="1" applyBorder="1" applyAlignment="1" applyProtection="1">
      <alignment horizontal="left" vertical="top" wrapText="1"/>
      <protection locked="0"/>
    </xf>
    <xf numFmtId="1" fontId="9" fillId="0" borderId="1" xfId="0" applyNumberFormat="1" applyFont="1" applyBorder="1" applyAlignment="1" applyProtection="1">
      <alignment horizontal="left" vertical="top" wrapText="1"/>
      <protection locked="0"/>
    </xf>
    <xf numFmtId="0" fontId="9" fillId="0" borderId="1" xfId="1" applyFont="1" applyBorder="1" applyAlignment="1" applyProtection="1">
      <alignment horizontal="center" vertical="top"/>
      <protection locked="0"/>
    </xf>
    <xf numFmtId="0" fontId="13" fillId="0" borderId="1" xfId="1" applyFont="1" applyBorder="1" applyAlignment="1" applyProtection="1">
      <alignment horizontal="center" vertical="top" wrapText="1"/>
      <protection locked="0"/>
    </xf>
    <xf numFmtId="164" fontId="7" fillId="0" borderId="1" xfId="1" applyNumberFormat="1" applyFont="1" applyBorder="1" applyAlignment="1" applyProtection="1">
      <alignment horizontal="left" vertical="top"/>
      <protection locked="0"/>
    </xf>
    <xf numFmtId="0" fontId="13" fillId="0" borderId="1" xfId="1" applyFont="1" applyBorder="1" applyAlignment="1" applyProtection="1">
      <alignment horizontal="left" vertical="center" wrapText="1"/>
      <protection locked="0"/>
    </xf>
    <xf numFmtId="0" fontId="9" fillId="0" borderId="1" xfId="1" applyFont="1" applyBorder="1" applyAlignment="1" applyProtection="1">
      <alignment horizontal="left" vertical="top"/>
      <protection locked="0"/>
    </xf>
    <xf numFmtId="2" fontId="7" fillId="0" borderId="1" xfId="1" applyNumberFormat="1" applyFont="1" applyBorder="1" applyAlignment="1" applyProtection="1">
      <alignment horizontal="left" vertical="top" wrapText="1"/>
      <protection locked="0"/>
    </xf>
    <xf numFmtId="0" fontId="13" fillId="0" borderId="1" xfId="1" applyFont="1" applyBorder="1" applyAlignment="1" applyProtection="1">
      <alignment horizontal="center" vertical="top"/>
      <protection locked="0"/>
    </xf>
    <xf numFmtId="0" fontId="14" fillId="0" borderId="1" xfId="1" applyFont="1" applyBorder="1" applyAlignment="1" applyProtection="1">
      <alignment horizontal="center" vertical="top"/>
      <protection locked="0"/>
    </xf>
    <xf numFmtId="0" fontId="22" fillId="0" borderId="4" xfId="8" applyBorder="1" applyAlignment="1" applyProtection="1">
      <alignment horizontal="left"/>
      <protection locked="0"/>
    </xf>
    <xf numFmtId="0" fontId="8" fillId="0" borderId="11" xfId="1" applyFont="1" applyBorder="1" applyAlignment="1" applyProtection="1">
      <alignment horizontal="left"/>
      <protection locked="0"/>
    </xf>
    <xf numFmtId="0" fontId="8" fillId="0" borderId="5" xfId="1" applyFont="1" applyBorder="1" applyAlignment="1" applyProtection="1">
      <alignment horizontal="left"/>
      <protection locked="0"/>
    </xf>
    <xf numFmtId="0" fontId="13" fillId="0" borderId="1" xfId="1" applyFont="1" applyBorder="1" applyAlignment="1" applyProtection="1">
      <alignment horizontal="left" vertical="top"/>
      <protection locked="0"/>
    </xf>
    <xf numFmtId="0" fontId="13" fillId="0" borderId="1" xfId="1" applyFont="1" applyBorder="1" applyAlignment="1" applyProtection="1">
      <alignment horizontal="left"/>
      <protection locked="0"/>
    </xf>
    <xf numFmtId="0" fontId="7" fillId="2" borderId="1" xfId="1" applyFont="1" applyFill="1" applyBorder="1" applyAlignment="1" applyProtection="1">
      <alignment horizontal="left" vertical="top" wrapText="1"/>
      <protection locked="0"/>
    </xf>
    <xf numFmtId="0" fontId="12" fillId="0" borderId="1" xfId="1" applyFont="1" applyBorder="1" applyAlignment="1" applyProtection="1">
      <alignment horizontal="center" vertical="center" wrapText="1"/>
      <protection locked="0"/>
    </xf>
    <xf numFmtId="14" fontId="7" fillId="0" borderId="1" xfId="1" applyNumberFormat="1" applyFont="1" applyBorder="1" applyAlignment="1" applyProtection="1">
      <alignment horizontal="left" vertical="top"/>
      <protection locked="0"/>
    </xf>
    <xf numFmtId="14" fontId="13" fillId="0" borderId="1" xfId="1" applyNumberFormat="1" applyFont="1" applyBorder="1" applyAlignment="1" applyProtection="1">
      <alignment horizontal="left" vertical="top"/>
      <protection locked="0"/>
    </xf>
    <xf numFmtId="0" fontId="14" fillId="0" borderId="1" xfId="1" applyFont="1" applyBorder="1" applyAlignment="1" applyProtection="1">
      <alignment horizontal="center" vertical="top" wrapText="1"/>
      <protection locked="0"/>
    </xf>
    <xf numFmtId="0" fontId="15" fillId="0" borderId="1" xfId="1" applyFont="1" applyBorder="1" applyAlignment="1" applyProtection="1">
      <alignment horizontal="center" vertical="top" wrapText="1"/>
      <protection locked="0"/>
    </xf>
    <xf numFmtId="1" fontId="11" fillId="0" borderId="1" xfId="0" applyNumberFormat="1" applyFont="1" applyBorder="1" applyAlignment="1" applyProtection="1">
      <alignment horizontal="center" vertical="top" wrapText="1"/>
      <protection locked="0"/>
    </xf>
    <xf numFmtId="9" fontId="13" fillId="2" borderId="1" xfId="1" applyNumberFormat="1" applyFont="1" applyFill="1" applyBorder="1" applyAlignment="1" applyProtection="1">
      <alignment horizontal="center" vertical="center" wrapText="1"/>
      <protection hidden="1"/>
    </xf>
    <xf numFmtId="0" fontId="14" fillId="0" borderId="1" xfId="1" applyFont="1" applyBorder="1" applyAlignment="1" applyProtection="1">
      <alignment horizontal="left" vertical="top" wrapText="1"/>
      <protection locked="0"/>
    </xf>
    <xf numFmtId="0" fontId="14" fillId="0" borderId="1" xfId="1" applyFont="1" applyBorder="1" applyAlignment="1" applyProtection="1">
      <alignment horizontal="left" vertical="top"/>
      <protection locked="0"/>
    </xf>
    <xf numFmtId="0" fontId="14" fillId="0" borderId="19" xfId="1" applyFont="1" applyBorder="1" applyAlignment="1" applyProtection="1">
      <alignment horizontal="left" vertical="top"/>
      <protection locked="0"/>
    </xf>
    <xf numFmtId="0" fontId="14" fillId="0" borderId="4" xfId="1" applyFont="1" applyBorder="1" applyAlignment="1" applyProtection="1">
      <alignment horizontal="left" vertical="top" wrapText="1"/>
      <protection locked="0"/>
    </xf>
    <xf numFmtId="0" fontId="14" fillId="0" borderId="11" xfId="1" applyFont="1" applyBorder="1" applyAlignment="1" applyProtection="1">
      <alignment horizontal="left" vertical="top" wrapText="1"/>
      <protection locked="0"/>
    </xf>
    <xf numFmtId="0" fontId="14" fillId="0" borderId="20" xfId="1" applyFont="1" applyBorder="1" applyAlignment="1" applyProtection="1">
      <alignment horizontal="left" vertical="top" wrapText="1"/>
      <protection locked="0"/>
    </xf>
    <xf numFmtId="0" fontId="13" fillId="0" borderId="19" xfId="1" applyFont="1" applyBorder="1" applyAlignment="1" applyProtection="1">
      <alignment horizontal="center" vertical="top" wrapText="1"/>
      <protection locked="0"/>
    </xf>
    <xf numFmtId="0" fontId="13" fillId="0" borderId="4" xfId="1" applyFont="1" applyBorder="1" applyAlignment="1" applyProtection="1">
      <alignment horizontal="center" vertical="top" wrapText="1"/>
      <protection locked="0"/>
    </xf>
    <xf numFmtId="0" fontId="13" fillId="0" borderId="5" xfId="1" applyFont="1" applyBorder="1" applyAlignment="1" applyProtection="1">
      <alignment horizontal="center" vertical="top" wrapText="1"/>
      <protection locked="0"/>
    </xf>
    <xf numFmtId="0" fontId="13" fillId="0" borderId="20" xfId="1" applyFont="1" applyBorder="1" applyAlignment="1" applyProtection="1">
      <alignment horizontal="center" vertical="top" wrapText="1"/>
      <protection locked="0"/>
    </xf>
    <xf numFmtId="0" fontId="14" fillId="0" borderId="1" xfId="1" applyFont="1" applyBorder="1" applyAlignment="1" applyProtection="1">
      <alignment vertical="top"/>
      <protection locked="0"/>
    </xf>
    <xf numFmtId="0" fontId="14" fillId="0" borderId="5" xfId="1" applyFont="1" applyBorder="1" applyAlignment="1" applyProtection="1">
      <alignment horizontal="left" vertical="top" wrapText="1"/>
      <protection locked="0"/>
    </xf>
    <xf numFmtId="0" fontId="14" fillId="2" borderId="1" xfId="1" applyFont="1" applyFill="1" applyBorder="1" applyAlignment="1" applyProtection="1">
      <alignment horizontal="left" vertical="top" wrapText="1"/>
      <protection locked="0"/>
    </xf>
    <xf numFmtId="0" fontId="14" fillId="2" borderId="1" xfId="1" applyFont="1" applyFill="1" applyBorder="1" applyAlignment="1" applyProtection="1">
      <alignment horizontal="left" vertical="top"/>
      <protection locked="0"/>
    </xf>
    <xf numFmtId="0" fontId="7" fillId="0" borderId="4" xfId="1" applyFont="1" applyBorder="1" applyAlignment="1" applyProtection="1">
      <alignment horizontal="left" vertical="top" wrapText="1"/>
      <protection locked="0"/>
    </xf>
    <xf numFmtId="0" fontId="7" fillId="0" borderId="5" xfId="1" applyFont="1" applyBorder="1" applyAlignment="1" applyProtection="1">
      <alignment horizontal="left" vertical="top" wrapText="1"/>
      <protection locked="0"/>
    </xf>
    <xf numFmtId="2" fontId="7" fillId="0" borderId="1" xfId="1" applyNumberFormat="1" applyFont="1" applyBorder="1" applyAlignment="1" applyProtection="1">
      <alignment horizontal="left" vertical="top"/>
      <protection locked="0"/>
    </xf>
    <xf numFmtId="0" fontId="0" fillId="3" borderId="1" xfId="0" applyFill="1" applyBorder="1" applyAlignment="1">
      <alignment horizontal="center" wrapText="1"/>
    </xf>
    <xf numFmtId="0" fontId="10" fillId="0" borderId="1" xfId="0" applyFont="1" applyBorder="1" applyAlignment="1">
      <alignment horizontal="center"/>
    </xf>
    <xf numFmtId="0" fontId="10" fillId="0" borderId="1" xfId="5" applyFont="1" applyBorder="1" applyAlignment="1">
      <alignment horizontal="left"/>
    </xf>
    <xf numFmtId="14" fontId="14" fillId="0" borderId="4" xfId="1" applyNumberFormat="1" applyFont="1" applyBorder="1" applyAlignment="1" applyProtection="1">
      <alignment horizontal="left" vertical="top" wrapText="1"/>
      <protection locked="0"/>
    </xf>
    <xf numFmtId="0" fontId="13" fillId="0" borderId="21" xfId="1" applyFont="1" applyBorder="1" applyAlignment="1" applyProtection="1">
      <alignment horizontal="left" vertical="top" wrapText="1"/>
      <protection locked="0"/>
    </xf>
    <xf numFmtId="0" fontId="14" fillId="0" borderId="22" xfId="1" applyFont="1" applyBorder="1" applyAlignment="1" applyProtection="1">
      <alignment horizontal="left" vertical="top" wrapText="1"/>
      <protection locked="0"/>
    </xf>
    <xf numFmtId="0" fontId="13" fillId="0" borderId="22" xfId="1" applyFont="1" applyBorder="1" applyAlignment="1" applyProtection="1">
      <alignment horizontal="center" vertical="top" wrapText="1"/>
      <protection locked="0"/>
    </xf>
    <xf numFmtId="9" fontId="13" fillId="2" borderId="22" xfId="1" applyNumberFormat="1" applyFont="1" applyFill="1" applyBorder="1" applyAlignment="1" applyProtection="1">
      <alignment horizontal="center" vertical="center" wrapText="1"/>
      <protection hidden="1"/>
    </xf>
    <xf numFmtId="0" fontId="13" fillId="0" borderId="23" xfId="1" applyFont="1" applyBorder="1" applyAlignment="1" applyProtection="1">
      <alignment horizontal="center" vertical="top" wrapText="1"/>
      <protection locked="0"/>
    </xf>
    <xf numFmtId="0" fontId="13" fillId="0" borderId="24" xfId="1" applyFont="1" applyBorder="1" applyAlignment="1" applyProtection="1">
      <alignment horizontal="center" vertical="top" wrapText="1"/>
      <protection locked="0"/>
    </xf>
    <xf numFmtId="0" fontId="13" fillId="0" borderId="24" xfId="1" applyFont="1" applyBorder="1" applyAlignment="1" applyProtection="1">
      <alignment horizontal="center" wrapText="1"/>
      <protection locked="0"/>
    </xf>
    <xf numFmtId="9" fontId="13" fillId="2" borderId="24" xfId="1" applyNumberFormat="1" applyFont="1" applyFill="1" applyBorder="1" applyAlignment="1" applyProtection="1">
      <alignment horizontal="center" vertical="center" wrapText="1"/>
      <protection hidden="1"/>
    </xf>
    <xf numFmtId="9" fontId="13" fillId="2" borderId="24" xfId="1" applyNumberFormat="1" applyFont="1" applyFill="1" applyBorder="1" applyAlignment="1" applyProtection="1">
      <alignment horizontal="center" vertical="center" wrapText="1"/>
      <protection hidden="1"/>
    </xf>
    <xf numFmtId="9" fontId="13" fillId="2" borderId="25" xfId="1" applyNumberFormat="1" applyFont="1" applyFill="1" applyBorder="1" applyAlignment="1" applyProtection="1">
      <alignment horizontal="center" vertical="center" wrapText="1"/>
      <protection hidden="1"/>
    </xf>
    <xf numFmtId="0" fontId="13" fillId="0" borderId="26" xfId="1" applyFont="1" applyBorder="1" applyAlignment="1" applyProtection="1">
      <alignment horizontal="center" vertical="top"/>
      <protection locked="0"/>
    </xf>
    <xf numFmtId="0" fontId="13" fillId="0" borderId="3" xfId="1" applyFont="1" applyBorder="1" applyAlignment="1" applyProtection="1">
      <alignment horizontal="center" vertical="top"/>
      <protection locked="0"/>
    </xf>
    <xf numFmtId="0" fontId="13" fillId="0" borderId="3" xfId="1" applyFont="1" applyBorder="1" applyAlignment="1" applyProtection="1">
      <alignment horizontal="center" vertical="top"/>
      <protection locked="0"/>
    </xf>
    <xf numFmtId="0" fontId="13" fillId="0" borderId="27" xfId="1" applyFont="1" applyBorder="1" applyAlignment="1" applyProtection="1">
      <alignment horizontal="center" vertical="top"/>
      <protection locked="0"/>
    </xf>
    <xf numFmtId="0" fontId="14" fillId="0" borderId="28" xfId="1" applyFont="1" applyBorder="1" applyAlignment="1" applyProtection="1">
      <alignment horizontal="left" vertical="top" wrapText="1"/>
      <protection locked="0"/>
    </xf>
    <xf numFmtId="0" fontId="14" fillId="0" borderId="29" xfId="1" applyFont="1" applyBorder="1" applyAlignment="1" applyProtection="1">
      <alignment horizontal="left" vertical="top" wrapText="1"/>
      <protection locked="0"/>
    </xf>
    <xf numFmtId="0" fontId="14" fillId="0" borderId="30" xfId="1" applyFont="1" applyBorder="1" applyAlignment="1" applyProtection="1">
      <alignment horizontal="left" vertical="top" wrapText="1"/>
      <protection locked="0"/>
    </xf>
    <xf numFmtId="0" fontId="14" fillId="0" borderId="3" xfId="1" applyFont="1" applyBorder="1" applyAlignment="1" applyProtection="1">
      <alignment horizontal="left" vertical="top" wrapText="1"/>
      <protection locked="0"/>
    </xf>
    <xf numFmtId="0" fontId="13" fillId="0" borderId="26" xfId="1" applyFont="1" applyBorder="1" applyAlignment="1" applyProtection="1">
      <alignment horizontal="center" vertical="top"/>
      <protection locked="0"/>
    </xf>
    <xf numFmtId="0" fontId="14" fillId="0" borderId="31" xfId="1" applyFont="1" applyBorder="1" applyAlignment="1" applyProtection="1">
      <alignment horizontal="left" vertical="top" wrapText="1"/>
      <protection locked="0"/>
    </xf>
    <xf numFmtId="0" fontId="14" fillId="0" borderId="32" xfId="1" applyFont="1" applyBorder="1" applyAlignment="1" applyProtection="1">
      <alignment horizontal="left" vertical="top" wrapText="1"/>
      <protection locked="0"/>
    </xf>
    <xf numFmtId="0" fontId="14" fillId="0" borderId="33" xfId="1" applyFont="1" applyBorder="1" applyAlignment="1" applyProtection="1">
      <alignment horizontal="left" vertical="top" wrapText="1"/>
      <protection locked="0"/>
    </xf>
    <xf numFmtId="0" fontId="14" fillId="0" borderId="34" xfId="1" applyFont="1" applyBorder="1" applyAlignment="1" applyProtection="1">
      <alignment horizontal="left" vertical="top" wrapText="1"/>
      <protection locked="0"/>
    </xf>
    <xf numFmtId="0" fontId="14" fillId="0" borderId="35" xfId="1" applyFont="1" applyBorder="1" applyAlignment="1" applyProtection="1">
      <alignment horizontal="left" vertical="top" wrapText="1"/>
      <protection locked="0"/>
    </xf>
    <xf numFmtId="0" fontId="14" fillId="0" borderId="3" xfId="1" applyFont="1" applyBorder="1" applyAlignment="1" applyProtection="1">
      <alignment horizontal="left" vertical="top"/>
      <protection locked="0"/>
    </xf>
    <xf numFmtId="0" fontId="8" fillId="0" borderId="4" xfId="1" applyFont="1" applyBorder="1" applyAlignment="1" applyProtection="1">
      <alignment horizontal="left"/>
      <protection locked="0"/>
    </xf>
  </cellXfs>
  <cellStyles count="9">
    <cellStyle name="Comma 2" xfId="6" xr:uid="{00000000-0005-0000-0000-000000000000}"/>
    <cellStyle name="Excel Built-in Normal" xfId="2" xr:uid="{00000000-0005-0000-0000-000001000000}"/>
    <cellStyle name="Excel Built-in Normal 2" xfId="4" xr:uid="{00000000-0005-0000-0000-000002000000}"/>
    <cellStyle name="Hyperlink" xfId="8" builtinId="8"/>
    <cellStyle name="Normal" xfId="0" builtinId="0"/>
    <cellStyle name="Normal 2" xfId="3" xr:uid="{00000000-0005-0000-0000-000005000000}"/>
    <cellStyle name="Normal 3" xfId="1" xr:uid="{00000000-0005-0000-0000-000006000000}"/>
    <cellStyle name="Normal 3 3" xfId="7" xr:uid="{00000000-0005-0000-0000-000007000000}"/>
    <cellStyle name="Normal 4" xfId="5" xr:uid="{00000000-0005-0000-0000-000008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png"/><Relationship Id="rId18" Type="http://schemas.openxmlformats.org/officeDocument/2006/relationships/image" Target="../media/image18.png"/><Relationship Id="rId3" Type="http://schemas.openxmlformats.org/officeDocument/2006/relationships/image" Target="../media/image3.png"/><Relationship Id="rId7" Type="http://schemas.openxmlformats.org/officeDocument/2006/relationships/image" Target="../media/image7.jpeg"/><Relationship Id="rId12" Type="http://schemas.openxmlformats.org/officeDocument/2006/relationships/image" Target="../media/image12.png"/><Relationship Id="rId17" Type="http://schemas.openxmlformats.org/officeDocument/2006/relationships/image" Target="../media/image17.png"/><Relationship Id="rId2" Type="http://schemas.openxmlformats.org/officeDocument/2006/relationships/image" Target="../media/image2.png"/><Relationship Id="rId16" Type="http://schemas.openxmlformats.org/officeDocument/2006/relationships/image" Target="../media/image16.png"/><Relationship Id="rId1" Type="http://schemas.openxmlformats.org/officeDocument/2006/relationships/image" Target="../media/image1.jpeg"/><Relationship Id="rId6" Type="http://schemas.openxmlformats.org/officeDocument/2006/relationships/image" Target="../media/image6.jpeg"/><Relationship Id="rId11" Type="http://schemas.openxmlformats.org/officeDocument/2006/relationships/image" Target="../media/image11.png"/><Relationship Id="rId5" Type="http://schemas.openxmlformats.org/officeDocument/2006/relationships/image" Target="../media/image5.jpeg"/><Relationship Id="rId15" Type="http://schemas.openxmlformats.org/officeDocument/2006/relationships/image" Target="../media/image15.png"/><Relationship Id="rId10" Type="http://schemas.openxmlformats.org/officeDocument/2006/relationships/image" Target="../media/image10.emf"/><Relationship Id="rId4" Type="http://schemas.openxmlformats.org/officeDocument/2006/relationships/image" Target="../media/image4.jpeg"/><Relationship Id="rId9" Type="http://schemas.openxmlformats.org/officeDocument/2006/relationships/image" Target="../media/image9.jpeg"/><Relationship Id="rId14" Type="http://schemas.openxmlformats.org/officeDocument/2006/relationships/image" Target="../media/image14.png"/></Relationships>
</file>

<file path=xl/drawings/_rels/drawing2.xml.rels><?xml version="1.0" encoding="UTF-8" standalone="yes"?>
<Relationships xmlns="http://schemas.openxmlformats.org/package/2006/relationships"><Relationship Id="rId3" Type="http://schemas.openxmlformats.org/officeDocument/2006/relationships/image" Target="../media/image23.png"/><Relationship Id="rId2" Type="http://schemas.openxmlformats.org/officeDocument/2006/relationships/image" Target="../media/image22.png"/><Relationship Id="rId1" Type="http://schemas.openxmlformats.org/officeDocument/2006/relationships/image" Target="../media/image21.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20.png"/><Relationship Id="rId1" Type="http://schemas.openxmlformats.org/officeDocument/2006/relationships/image" Target="../media/image19.png"/></Relationships>
</file>

<file path=xl/drawings/drawing1.xml><?xml version="1.0" encoding="utf-8"?>
<xdr:wsDr xmlns:xdr="http://schemas.openxmlformats.org/drawingml/2006/spreadsheetDrawing" xmlns:a="http://schemas.openxmlformats.org/drawingml/2006/main">
  <xdr:twoCellAnchor editAs="oneCell">
    <xdr:from>
      <xdr:col>1</xdr:col>
      <xdr:colOff>649944</xdr:colOff>
      <xdr:row>538</xdr:row>
      <xdr:rowOff>78691</xdr:rowOff>
    </xdr:from>
    <xdr:to>
      <xdr:col>6</xdr:col>
      <xdr:colOff>369794</xdr:colOff>
      <xdr:row>552</xdr:row>
      <xdr:rowOff>101193</xdr:rowOff>
    </xdr:to>
    <xdr:pic>
      <xdr:nvPicPr>
        <xdr:cNvPr id="8" name="Picture 7">
          <a:extLst>
            <a:ext uri="{FF2B5EF4-FFF2-40B4-BE49-F238E27FC236}">
              <a16:creationId xmlns:a16="http://schemas.microsoft.com/office/drawing/2014/main" id="{00000000-0008-0000-0000-000008000000}"/>
            </a:ext>
          </a:extLst>
        </xdr:cNvPr>
        <xdr:cNvPicPr>
          <a:picLocks noChangeAspect="1"/>
        </xdr:cNvPicPr>
      </xdr:nvPicPr>
      <xdr:blipFill rotWithShape="1">
        <a:blip xmlns:r="http://schemas.openxmlformats.org/officeDocument/2006/relationships" r:embed="rId1" cstate="screen">
          <a:extLst>
            <a:ext uri="{28A0092B-C50C-407E-A947-70E740481C1C}">
              <a14:useLocalDpi xmlns:a14="http://schemas.microsoft.com/office/drawing/2010/main"/>
            </a:ext>
          </a:extLst>
        </a:blip>
        <a:srcRect/>
        <a:stretch/>
      </xdr:blipFill>
      <xdr:spPr>
        <a:xfrm>
          <a:off x="1467973" y="80469691"/>
          <a:ext cx="4157380" cy="2846383"/>
        </a:xfrm>
        <a:prstGeom prst="rect">
          <a:avLst/>
        </a:prstGeom>
        <a:ln>
          <a:solidFill>
            <a:schemeClr val="tx1"/>
          </a:solidFill>
        </a:ln>
      </xdr:spPr>
    </xdr:pic>
    <xdr:clientData/>
  </xdr:twoCellAnchor>
  <xdr:twoCellAnchor editAs="oneCell">
    <xdr:from>
      <xdr:col>1</xdr:col>
      <xdr:colOff>661150</xdr:colOff>
      <xdr:row>523</xdr:row>
      <xdr:rowOff>33616</xdr:rowOff>
    </xdr:from>
    <xdr:to>
      <xdr:col>6</xdr:col>
      <xdr:colOff>381002</xdr:colOff>
      <xdr:row>537</xdr:row>
      <xdr:rowOff>56119</xdr:rowOff>
    </xdr:to>
    <xdr:pic>
      <xdr:nvPicPr>
        <xdr:cNvPr id="9" name="Picture 8">
          <a:extLst>
            <a:ext uri="{FF2B5EF4-FFF2-40B4-BE49-F238E27FC236}">
              <a16:creationId xmlns:a16="http://schemas.microsoft.com/office/drawing/2014/main" id="{00000000-0008-0000-0000-000009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a:ext>
          </a:extLst>
        </a:blip>
        <a:srcRect/>
        <a:stretch/>
      </xdr:blipFill>
      <xdr:spPr>
        <a:xfrm>
          <a:off x="1479179" y="77399028"/>
          <a:ext cx="4157382" cy="2846383"/>
        </a:xfrm>
        <a:prstGeom prst="rect">
          <a:avLst/>
        </a:prstGeom>
        <a:ln>
          <a:solidFill>
            <a:schemeClr val="tx1"/>
          </a:solidFill>
        </a:ln>
      </xdr:spPr>
    </xdr:pic>
    <xdr:clientData/>
  </xdr:twoCellAnchor>
  <xdr:twoCellAnchor editAs="oneCell">
    <xdr:from>
      <xdr:col>0</xdr:col>
      <xdr:colOff>212482</xdr:colOff>
      <xdr:row>485</xdr:row>
      <xdr:rowOff>190501</xdr:rowOff>
    </xdr:from>
    <xdr:to>
      <xdr:col>7</xdr:col>
      <xdr:colOff>570769</xdr:colOff>
      <xdr:row>507</xdr:row>
      <xdr:rowOff>105509</xdr:rowOff>
    </xdr:to>
    <xdr:pic>
      <xdr:nvPicPr>
        <xdr:cNvPr id="20" name="Picture 19">
          <a:extLst>
            <a:ext uri="{FF2B5EF4-FFF2-40B4-BE49-F238E27FC236}">
              <a16:creationId xmlns:a16="http://schemas.microsoft.com/office/drawing/2014/main" id="{00000000-0008-0000-0000-000014000000}"/>
            </a:ext>
          </a:extLst>
        </xdr:cNvPr>
        <xdr:cNvPicPr>
          <a:picLocks noChangeAspect="1"/>
        </xdr:cNvPicPr>
      </xdr:nvPicPr>
      <xdr:blipFill>
        <a:blip xmlns:r="http://schemas.openxmlformats.org/officeDocument/2006/relationships" r:embed="rId3"/>
        <a:stretch>
          <a:fillRect/>
        </a:stretch>
      </xdr:blipFill>
      <xdr:spPr>
        <a:xfrm>
          <a:off x="212482" y="86787405"/>
          <a:ext cx="6029325" cy="4267200"/>
        </a:xfrm>
        <a:prstGeom prst="rect">
          <a:avLst/>
        </a:prstGeom>
        <a:ln>
          <a:solidFill>
            <a:sysClr val="windowText" lastClr="000000"/>
          </a:solidFill>
        </a:ln>
      </xdr:spPr>
    </xdr:pic>
    <xdr:clientData/>
  </xdr:twoCellAnchor>
  <xdr:twoCellAnchor>
    <xdr:from>
      <xdr:col>2</xdr:col>
      <xdr:colOff>736289</xdr:colOff>
      <xdr:row>498</xdr:row>
      <xdr:rowOff>132001</xdr:rowOff>
    </xdr:from>
    <xdr:to>
      <xdr:col>4</xdr:col>
      <xdr:colOff>203648</xdr:colOff>
      <xdr:row>502</xdr:row>
      <xdr:rowOff>132527</xdr:rowOff>
    </xdr:to>
    <xdr:sp macro="" textlink="">
      <xdr:nvSpPr>
        <xdr:cNvPr id="2" name="Rectangle 1">
          <a:extLst>
            <a:ext uri="{FF2B5EF4-FFF2-40B4-BE49-F238E27FC236}">
              <a16:creationId xmlns:a16="http://schemas.microsoft.com/office/drawing/2014/main" id="{00000000-0008-0000-0000-000002000000}"/>
            </a:ext>
          </a:extLst>
        </xdr:cNvPr>
        <xdr:cNvSpPr/>
      </xdr:nvSpPr>
      <xdr:spPr>
        <a:xfrm rot="1903422">
          <a:off x="2238308" y="89300655"/>
          <a:ext cx="1284436" cy="791834"/>
        </a:xfrm>
        <a:prstGeom prst="rect">
          <a:avLst/>
        </a:prstGeom>
        <a:noFill/>
        <a:ln w="38100">
          <a:solidFill>
            <a:srgbClr val="7030A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clientData/>
  </xdr:twoCellAnchor>
  <xdr:twoCellAnchor>
    <xdr:from>
      <xdr:col>1</xdr:col>
      <xdr:colOff>21113</xdr:colOff>
      <xdr:row>494</xdr:row>
      <xdr:rowOff>127965</xdr:rowOff>
    </xdr:from>
    <xdr:to>
      <xdr:col>2</xdr:col>
      <xdr:colOff>866802</xdr:colOff>
      <xdr:row>499</xdr:row>
      <xdr:rowOff>8623</xdr:rowOff>
    </xdr:to>
    <xdr:sp macro="" textlink="">
      <xdr:nvSpPr>
        <xdr:cNvPr id="21" name="Rectangle 20">
          <a:extLst>
            <a:ext uri="{FF2B5EF4-FFF2-40B4-BE49-F238E27FC236}">
              <a16:creationId xmlns:a16="http://schemas.microsoft.com/office/drawing/2014/main" id="{00000000-0008-0000-0000-000015000000}"/>
            </a:ext>
          </a:extLst>
        </xdr:cNvPr>
        <xdr:cNvSpPr/>
      </xdr:nvSpPr>
      <xdr:spPr>
        <a:xfrm rot="1903422">
          <a:off x="783113" y="88505311"/>
          <a:ext cx="1585708" cy="869793"/>
        </a:xfrm>
        <a:prstGeom prst="rect">
          <a:avLst/>
        </a:prstGeom>
        <a:noFill/>
        <a:ln w="38100">
          <a:solidFill>
            <a:srgbClr val="7030A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clientData/>
  </xdr:twoCellAnchor>
  <xdr:twoCellAnchor>
    <xdr:from>
      <xdr:col>0</xdr:col>
      <xdr:colOff>483578</xdr:colOff>
      <xdr:row>498</xdr:row>
      <xdr:rowOff>175845</xdr:rowOff>
    </xdr:from>
    <xdr:to>
      <xdr:col>2</xdr:col>
      <xdr:colOff>265995</xdr:colOff>
      <xdr:row>502</xdr:row>
      <xdr:rowOff>176371</xdr:rowOff>
    </xdr:to>
    <xdr:sp macro="" textlink="">
      <xdr:nvSpPr>
        <xdr:cNvPr id="22" name="Rectangle 21">
          <a:extLst>
            <a:ext uri="{FF2B5EF4-FFF2-40B4-BE49-F238E27FC236}">
              <a16:creationId xmlns:a16="http://schemas.microsoft.com/office/drawing/2014/main" id="{00000000-0008-0000-0000-000016000000}"/>
            </a:ext>
          </a:extLst>
        </xdr:cNvPr>
        <xdr:cNvSpPr/>
      </xdr:nvSpPr>
      <xdr:spPr>
        <a:xfrm rot="1903422">
          <a:off x="483578" y="89344499"/>
          <a:ext cx="1284436" cy="791834"/>
        </a:xfrm>
        <a:prstGeom prst="rect">
          <a:avLst/>
        </a:prstGeom>
        <a:noFill/>
        <a:ln w="38100">
          <a:solidFill>
            <a:srgbClr val="7030A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clientData/>
  </xdr:twoCellAnchor>
  <xdr:twoCellAnchor>
    <xdr:from>
      <xdr:col>3</xdr:col>
      <xdr:colOff>351691</xdr:colOff>
      <xdr:row>497</xdr:row>
      <xdr:rowOff>87924</xdr:rowOff>
    </xdr:from>
    <xdr:to>
      <xdr:col>4</xdr:col>
      <xdr:colOff>234461</xdr:colOff>
      <xdr:row>498</xdr:row>
      <xdr:rowOff>124559</xdr:rowOff>
    </xdr:to>
    <xdr:sp macro="" textlink="">
      <xdr:nvSpPr>
        <xdr:cNvPr id="3" name="TextBox 2">
          <a:extLst>
            <a:ext uri="{FF2B5EF4-FFF2-40B4-BE49-F238E27FC236}">
              <a16:creationId xmlns:a16="http://schemas.microsoft.com/office/drawing/2014/main" id="{00000000-0008-0000-0000-000003000000}"/>
            </a:ext>
          </a:extLst>
        </xdr:cNvPr>
        <xdr:cNvSpPr txBox="1"/>
      </xdr:nvSpPr>
      <xdr:spPr>
        <a:xfrm rot="1770223">
          <a:off x="2813537" y="89058751"/>
          <a:ext cx="740020" cy="23446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100" b="1"/>
            <a:t>Tower</a:t>
          </a:r>
          <a:r>
            <a:rPr lang="en-IN" sz="1100" b="1" baseline="0"/>
            <a:t> 1</a:t>
          </a:r>
          <a:r>
            <a:rPr lang="en-IN" sz="1100" baseline="0"/>
            <a:t> </a:t>
          </a:r>
          <a:endParaRPr lang="en-IN" sz="1100"/>
        </a:p>
      </xdr:txBody>
    </xdr:sp>
    <xdr:clientData/>
  </xdr:twoCellAnchor>
  <xdr:twoCellAnchor>
    <xdr:from>
      <xdr:col>2</xdr:col>
      <xdr:colOff>234461</xdr:colOff>
      <xdr:row>494</xdr:row>
      <xdr:rowOff>51291</xdr:rowOff>
    </xdr:from>
    <xdr:to>
      <xdr:col>3</xdr:col>
      <xdr:colOff>14654</xdr:colOff>
      <xdr:row>495</xdr:row>
      <xdr:rowOff>87926</xdr:rowOff>
    </xdr:to>
    <xdr:sp macro="" textlink="">
      <xdr:nvSpPr>
        <xdr:cNvPr id="23" name="TextBox 22">
          <a:extLst>
            <a:ext uri="{FF2B5EF4-FFF2-40B4-BE49-F238E27FC236}">
              <a16:creationId xmlns:a16="http://schemas.microsoft.com/office/drawing/2014/main" id="{00000000-0008-0000-0000-000017000000}"/>
            </a:ext>
          </a:extLst>
        </xdr:cNvPr>
        <xdr:cNvSpPr txBox="1"/>
      </xdr:nvSpPr>
      <xdr:spPr>
        <a:xfrm rot="1796398">
          <a:off x="1736480" y="88428637"/>
          <a:ext cx="740020" cy="23446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100" b="1"/>
            <a:t>Tower</a:t>
          </a:r>
          <a:r>
            <a:rPr lang="en-IN" sz="1100" b="1" baseline="0"/>
            <a:t> 2 </a:t>
          </a:r>
          <a:endParaRPr lang="en-IN" sz="1100" b="1"/>
        </a:p>
      </xdr:txBody>
    </xdr:sp>
    <xdr:clientData/>
  </xdr:twoCellAnchor>
  <xdr:twoCellAnchor>
    <xdr:from>
      <xdr:col>0</xdr:col>
      <xdr:colOff>486002</xdr:colOff>
      <xdr:row>502</xdr:row>
      <xdr:rowOff>168519</xdr:rowOff>
    </xdr:from>
    <xdr:to>
      <xdr:col>1</xdr:col>
      <xdr:colOff>464022</xdr:colOff>
      <xdr:row>504</xdr:row>
      <xdr:rowOff>7328</xdr:rowOff>
    </xdr:to>
    <xdr:sp macro="" textlink="">
      <xdr:nvSpPr>
        <xdr:cNvPr id="24" name="TextBox 23">
          <a:extLst>
            <a:ext uri="{FF2B5EF4-FFF2-40B4-BE49-F238E27FC236}">
              <a16:creationId xmlns:a16="http://schemas.microsoft.com/office/drawing/2014/main" id="{00000000-0008-0000-0000-000018000000}"/>
            </a:ext>
          </a:extLst>
        </xdr:cNvPr>
        <xdr:cNvSpPr txBox="1"/>
      </xdr:nvSpPr>
      <xdr:spPr>
        <a:xfrm rot="1770223">
          <a:off x="486002" y="90128481"/>
          <a:ext cx="740020" cy="23446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100" b="1"/>
            <a:t>Tower</a:t>
          </a:r>
          <a:r>
            <a:rPr lang="en-IN" sz="1100" b="1" baseline="0"/>
            <a:t> 3</a:t>
          </a:r>
          <a:endParaRPr lang="en-IN" sz="1100" b="1"/>
        </a:p>
      </xdr:txBody>
    </xdr:sp>
    <xdr:clientData/>
  </xdr:twoCellAnchor>
  <xdr:twoCellAnchor>
    <xdr:from>
      <xdr:col>8</xdr:col>
      <xdr:colOff>723900</xdr:colOff>
      <xdr:row>368</xdr:row>
      <xdr:rowOff>19050</xdr:rowOff>
    </xdr:from>
    <xdr:to>
      <xdr:col>16</xdr:col>
      <xdr:colOff>396312</xdr:colOff>
      <xdr:row>409</xdr:row>
      <xdr:rowOff>32509</xdr:rowOff>
    </xdr:to>
    <xdr:grpSp>
      <xdr:nvGrpSpPr>
        <xdr:cNvPr id="34" name="Group 33">
          <a:extLst>
            <a:ext uri="{FF2B5EF4-FFF2-40B4-BE49-F238E27FC236}">
              <a16:creationId xmlns:a16="http://schemas.microsoft.com/office/drawing/2014/main" id="{00000000-0008-0000-0000-000022000000}"/>
            </a:ext>
          </a:extLst>
        </xdr:cNvPr>
        <xdr:cNvGrpSpPr/>
      </xdr:nvGrpSpPr>
      <xdr:grpSpPr>
        <a:xfrm>
          <a:off x="7787640" y="84288630"/>
          <a:ext cx="5715072" cy="8128759"/>
          <a:chOff x="457956" y="403587"/>
          <a:chExt cx="5530287" cy="8204959"/>
        </a:xfrm>
      </xdr:grpSpPr>
      <xdr:pic>
        <xdr:nvPicPr>
          <xdr:cNvPr id="35" name="Picture 34">
            <a:extLst>
              <a:ext uri="{FF2B5EF4-FFF2-40B4-BE49-F238E27FC236}">
                <a16:creationId xmlns:a16="http://schemas.microsoft.com/office/drawing/2014/main" id="{00000000-0008-0000-0000-000023000000}"/>
              </a:ext>
            </a:extLst>
          </xdr:cNvPr>
          <xdr:cNvPicPr>
            <a:picLocks noChangeAspect="1"/>
          </xdr:cNvPicPr>
        </xdr:nvPicPr>
        <xdr:blipFill>
          <a:blip xmlns:r="http://schemas.openxmlformats.org/officeDocument/2006/relationships" r:embed="rId4" cstate="screen">
            <a:extLst>
              <a:ext uri="{28A0092B-C50C-407E-A947-70E740481C1C}">
                <a14:useLocalDpi xmlns:a14="http://schemas.microsoft.com/office/drawing/2010/main"/>
              </a:ext>
            </a:extLst>
          </a:blip>
          <a:stretch>
            <a:fillRect/>
          </a:stretch>
        </xdr:blipFill>
        <xdr:spPr>
          <a:xfrm>
            <a:off x="1012452" y="4150829"/>
            <a:ext cx="2166025" cy="2880000"/>
          </a:xfrm>
          <a:prstGeom prst="rect">
            <a:avLst/>
          </a:prstGeom>
          <a:ln>
            <a:solidFill>
              <a:schemeClr val="tx1"/>
            </a:solidFill>
          </a:ln>
        </xdr:spPr>
      </xdr:pic>
      <xdr:pic>
        <xdr:nvPicPr>
          <xdr:cNvPr id="36" name="Picture 35">
            <a:extLst>
              <a:ext uri="{FF2B5EF4-FFF2-40B4-BE49-F238E27FC236}">
                <a16:creationId xmlns:a16="http://schemas.microsoft.com/office/drawing/2014/main" id="{00000000-0008-0000-0000-000024000000}"/>
              </a:ext>
            </a:extLst>
          </xdr:cNvPr>
          <xdr:cNvPicPr>
            <a:picLocks noChangeAspect="1"/>
          </xdr:cNvPicPr>
        </xdr:nvPicPr>
        <xdr:blipFill>
          <a:blip xmlns:r="http://schemas.openxmlformats.org/officeDocument/2006/relationships" r:embed="rId5" cstate="screen">
            <a:extLst>
              <a:ext uri="{28A0092B-C50C-407E-A947-70E740481C1C}">
                <a14:useLocalDpi xmlns:a14="http://schemas.microsoft.com/office/drawing/2010/main"/>
              </a:ext>
            </a:extLst>
          </a:blip>
          <a:stretch>
            <a:fillRect/>
          </a:stretch>
        </xdr:blipFill>
        <xdr:spPr>
          <a:xfrm>
            <a:off x="457956" y="403587"/>
            <a:ext cx="2707532" cy="3600000"/>
          </a:xfrm>
          <a:prstGeom prst="rect">
            <a:avLst/>
          </a:prstGeom>
          <a:ln>
            <a:solidFill>
              <a:schemeClr val="tx1"/>
            </a:solidFill>
          </a:ln>
        </xdr:spPr>
      </xdr:pic>
      <xdr:pic>
        <xdr:nvPicPr>
          <xdr:cNvPr id="37" name="Picture 36">
            <a:extLst>
              <a:ext uri="{FF2B5EF4-FFF2-40B4-BE49-F238E27FC236}">
                <a16:creationId xmlns:a16="http://schemas.microsoft.com/office/drawing/2014/main" id="{00000000-0008-0000-0000-000025000000}"/>
              </a:ext>
            </a:extLst>
          </xdr:cNvPr>
          <xdr:cNvPicPr>
            <a:picLocks noChangeAspect="1"/>
          </xdr:cNvPicPr>
        </xdr:nvPicPr>
        <xdr:blipFill>
          <a:blip xmlns:r="http://schemas.openxmlformats.org/officeDocument/2006/relationships" r:embed="rId6" cstate="screen">
            <a:extLst>
              <a:ext uri="{28A0092B-C50C-407E-A947-70E740481C1C}">
                <a14:useLocalDpi xmlns:a14="http://schemas.microsoft.com/office/drawing/2010/main"/>
              </a:ext>
            </a:extLst>
          </a:blip>
          <a:stretch>
            <a:fillRect/>
          </a:stretch>
        </xdr:blipFill>
        <xdr:spPr>
          <a:xfrm>
            <a:off x="3280711" y="403587"/>
            <a:ext cx="2707532" cy="3600000"/>
          </a:xfrm>
          <a:prstGeom prst="rect">
            <a:avLst/>
          </a:prstGeom>
          <a:ln>
            <a:solidFill>
              <a:schemeClr val="tx1"/>
            </a:solidFill>
          </a:ln>
        </xdr:spPr>
      </xdr:pic>
      <xdr:pic>
        <xdr:nvPicPr>
          <xdr:cNvPr id="38" name="Picture 37">
            <a:extLst>
              <a:ext uri="{FF2B5EF4-FFF2-40B4-BE49-F238E27FC236}">
                <a16:creationId xmlns:a16="http://schemas.microsoft.com/office/drawing/2014/main" id="{00000000-0008-0000-0000-000026000000}"/>
              </a:ext>
            </a:extLst>
          </xdr:cNvPr>
          <xdr:cNvPicPr>
            <a:picLocks noChangeAspect="1"/>
          </xdr:cNvPicPr>
        </xdr:nvPicPr>
        <xdr:blipFill>
          <a:blip xmlns:r="http://schemas.openxmlformats.org/officeDocument/2006/relationships" r:embed="rId7" cstate="screen">
            <a:extLst>
              <a:ext uri="{28A0092B-C50C-407E-A947-70E740481C1C}">
                <a14:useLocalDpi xmlns:a14="http://schemas.microsoft.com/office/drawing/2010/main"/>
              </a:ext>
            </a:extLst>
          </a:blip>
          <a:stretch>
            <a:fillRect/>
          </a:stretch>
        </xdr:blipFill>
        <xdr:spPr>
          <a:xfrm>
            <a:off x="2106998" y="7168546"/>
            <a:ext cx="1083013" cy="1440000"/>
          </a:xfrm>
          <a:prstGeom prst="rect">
            <a:avLst/>
          </a:prstGeom>
          <a:ln>
            <a:solidFill>
              <a:schemeClr val="tx1"/>
            </a:solidFill>
          </a:ln>
        </xdr:spPr>
      </xdr:pic>
      <xdr:pic>
        <xdr:nvPicPr>
          <xdr:cNvPr id="39" name="Picture 38">
            <a:extLst>
              <a:ext uri="{FF2B5EF4-FFF2-40B4-BE49-F238E27FC236}">
                <a16:creationId xmlns:a16="http://schemas.microsoft.com/office/drawing/2014/main" id="{00000000-0008-0000-0000-000027000000}"/>
              </a:ext>
            </a:extLst>
          </xdr:cNvPr>
          <xdr:cNvPicPr>
            <a:picLocks noChangeAspect="1"/>
          </xdr:cNvPicPr>
        </xdr:nvPicPr>
        <xdr:blipFill rotWithShape="1">
          <a:blip xmlns:r="http://schemas.openxmlformats.org/officeDocument/2006/relationships" r:embed="rId8" cstate="screen">
            <a:extLst>
              <a:ext uri="{28A0092B-C50C-407E-A947-70E740481C1C}">
                <a14:useLocalDpi xmlns:a14="http://schemas.microsoft.com/office/drawing/2010/main"/>
              </a:ext>
            </a:extLst>
          </a:blip>
          <a:srcRect/>
          <a:stretch/>
        </xdr:blipFill>
        <xdr:spPr>
          <a:xfrm>
            <a:off x="3315881" y="7168546"/>
            <a:ext cx="1177090" cy="1440000"/>
          </a:xfrm>
          <a:prstGeom prst="rect">
            <a:avLst/>
          </a:prstGeom>
          <a:ln>
            <a:solidFill>
              <a:schemeClr val="tx1"/>
            </a:solidFill>
          </a:ln>
        </xdr:spPr>
      </xdr:pic>
      <xdr:pic>
        <xdr:nvPicPr>
          <xdr:cNvPr id="40" name="Picture 39">
            <a:extLst>
              <a:ext uri="{FF2B5EF4-FFF2-40B4-BE49-F238E27FC236}">
                <a16:creationId xmlns:a16="http://schemas.microsoft.com/office/drawing/2014/main" id="{00000000-0008-0000-0000-000028000000}"/>
              </a:ext>
            </a:extLst>
          </xdr:cNvPr>
          <xdr:cNvPicPr>
            <a:picLocks noChangeAspect="1"/>
          </xdr:cNvPicPr>
        </xdr:nvPicPr>
        <xdr:blipFill>
          <a:blip xmlns:r="http://schemas.openxmlformats.org/officeDocument/2006/relationships" r:embed="rId9" cstate="screen">
            <a:extLst>
              <a:ext uri="{28A0092B-C50C-407E-A947-70E740481C1C}">
                <a14:useLocalDpi xmlns:a14="http://schemas.microsoft.com/office/drawing/2010/main"/>
              </a:ext>
            </a:extLst>
          </a:blip>
          <a:stretch>
            <a:fillRect/>
          </a:stretch>
        </xdr:blipFill>
        <xdr:spPr>
          <a:xfrm>
            <a:off x="3315881" y="4150829"/>
            <a:ext cx="2166026" cy="2880000"/>
          </a:xfrm>
          <a:prstGeom prst="rect">
            <a:avLst/>
          </a:prstGeom>
          <a:ln>
            <a:solidFill>
              <a:schemeClr val="tx1"/>
            </a:solidFill>
          </a:ln>
        </xdr:spPr>
      </xdr:pic>
    </xdr:grpSp>
    <xdr:clientData/>
  </xdr:twoCellAnchor>
  <xdr:twoCellAnchor editAs="oneCell">
    <xdr:from>
      <xdr:col>0</xdr:col>
      <xdr:colOff>542925</xdr:colOff>
      <xdr:row>412</xdr:row>
      <xdr:rowOff>28575</xdr:rowOff>
    </xdr:from>
    <xdr:to>
      <xdr:col>7</xdr:col>
      <xdr:colOff>121158</xdr:colOff>
      <xdr:row>444</xdr:row>
      <xdr:rowOff>107775</xdr:rowOff>
    </xdr:to>
    <xdr:pic>
      <xdr:nvPicPr>
        <xdr:cNvPr id="31" name="Picture 30">
          <a:extLst>
            <a:ext uri="{FF2B5EF4-FFF2-40B4-BE49-F238E27FC236}">
              <a16:creationId xmlns:a16="http://schemas.microsoft.com/office/drawing/2014/main" id="{00000000-0008-0000-0000-00001F000000}"/>
            </a:ext>
          </a:extLst>
        </xdr:cNvPr>
        <xdr:cNvPicPr>
          <a:picLocks noChangeAspect="1"/>
        </xdr:cNvPicPr>
      </xdr:nvPicPr>
      <xdr:blipFill>
        <a:blip xmlns:r="http://schemas.openxmlformats.org/officeDocument/2006/relationships" r:embed="rId10" cstate="screen">
          <a:extLst>
            <a:ext uri="{28A0092B-C50C-407E-A947-70E740481C1C}">
              <a14:useLocalDpi xmlns:a14="http://schemas.microsoft.com/office/drawing/2010/main"/>
            </a:ext>
          </a:extLst>
        </a:blip>
        <a:stretch>
          <a:fillRect/>
        </a:stretch>
      </xdr:blipFill>
      <xdr:spPr>
        <a:xfrm>
          <a:off x="542925" y="90487500"/>
          <a:ext cx="5245608" cy="6480000"/>
        </a:xfrm>
        <a:prstGeom prst="rect">
          <a:avLst/>
        </a:prstGeom>
        <a:ln>
          <a:solidFill>
            <a:sysClr val="windowText" lastClr="000000"/>
          </a:solidFill>
        </a:ln>
      </xdr:spPr>
    </xdr:pic>
    <xdr:clientData/>
  </xdr:twoCellAnchor>
  <xdr:twoCellAnchor editAs="oneCell">
    <xdr:from>
      <xdr:col>1</xdr:col>
      <xdr:colOff>161925</xdr:colOff>
      <xdr:row>450</xdr:row>
      <xdr:rowOff>9525</xdr:rowOff>
    </xdr:from>
    <xdr:to>
      <xdr:col>6</xdr:col>
      <xdr:colOff>780457</xdr:colOff>
      <xdr:row>466</xdr:row>
      <xdr:rowOff>132934</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1"/>
        <a:stretch>
          <a:fillRect/>
        </a:stretch>
      </xdr:blipFill>
      <xdr:spPr>
        <a:xfrm>
          <a:off x="923925" y="99698175"/>
          <a:ext cx="4742857" cy="3323809"/>
        </a:xfrm>
        <a:prstGeom prst="rect">
          <a:avLst/>
        </a:prstGeom>
        <a:ln>
          <a:solidFill>
            <a:schemeClr val="tx1"/>
          </a:solidFill>
        </a:ln>
      </xdr:spPr>
    </xdr:pic>
    <xdr:clientData/>
  </xdr:twoCellAnchor>
  <xdr:oneCellAnchor>
    <xdr:from>
      <xdr:col>9</xdr:col>
      <xdr:colOff>76200</xdr:colOff>
      <xdr:row>366</xdr:row>
      <xdr:rowOff>146050</xdr:rowOff>
    </xdr:from>
    <xdr:ext cx="791563" cy="311496"/>
    <xdr:sp macro="" textlink="">
      <xdr:nvSpPr>
        <xdr:cNvPr id="5" name="TextBox 4">
          <a:extLst>
            <a:ext uri="{FF2B5EF4-FFF2-40B4-BE49-F238E27FC236}">
              <a16:creationId xmlns:a16="http://schemas.microsoft.com/office/drawing/2014/main" id="{00000000-0008-0000-0000-000005000000}"/>
            </a:ext>
          </a:extLst>
        </xdr:cNvPr>
        <xdr:cNvSpPr txBox="1"/>
      </xdr:nvSpPr>
      <xdr:spPr>
        <a:xfrm>
          <a:off x="8686800" y="81857850"/>
          <a:ext cx="791563"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400" b="0" cap="none" spc="0">
              <a:ln w="0"/>
              <a:solidFill>
                <a:sysClr val="windowText" lastClr="000000"/>
              </a:solidFill>
              <a:effectLst>
                <a:outerShdw blurRad="38100" dist="25400" dir="5400000" algn="ctr" rotWithShape="0">
                  <a:srgbClr val="6E747A">
                    <a:alpha val="43000"/>
                  </a:srgbClr>
                </a:outerShdw>
              </a:effectLst>
            </a:rPr>
            <a:t>Tower A</a:t>
          </a:r>
        </a:p>
      </xdr:txBody>
    </xdr:sp>
    <xdr:clientData/>
  </xdr:oneCellAnchor>
  <xdr:twoCellAnchor>
    <xdr:from>
      <xdr:col>0</xdr:col>
      <xdr:colOff>349250</xdr:colOff>
      <xdr:row>368</xdr:row>
      <xdr:rowOff>82550</xdr:rowOff>
    </xdr:from>
    <xdr:to>
      <xdr:col>7</xdr:col>
      <xdr:colOff>848296</xdr:colOff>
      <xdr:row>408</xdr:row>
      <xdr:rowOff>97420</xdr:rowOff>
    </xdr:to>
    <xdr:grpSp>
      <xdr:nvGrpSpPr>
        <xdr:cNvPr id="6" name="Group 5">
          <a:extLst>
            <a:ext uri="{FF2B5EF4-FFF2-40B4-BE49-F238E27FC236}">
              <a16:creationId xmlns:a16="http://schemas.microsoft.com/office/drawing/2014/main" id="{00000000-0008-0000-0000-000006000000}"/>
            </a:ext>
          </a:extLst>
        </xdr:cNvPr>
        <xdr:cNvGrpSpPr/>
      </xdr:nvGrpSpPr>
      <xdr:grpSpPr>
        <a:xfrm>
          <a:off x="349250" y="84352130"/>
          <a:ext cx="6343586" cy="7932050"/>
          <a:chOff x="349250" y="82353150"/>
          <a:chExt cx="6442646" cy="7882520"/>
        </a:xfrm>
      </xdr:grpSpPr>
      <xdr:pic>
        <xdr:nvPicPr>
          <xdr:cNvPr id="44" name="Picture 43">
            <a:extLst>
              <a:ext uri="{FF2B5EF4-FFF2-40B4-BE49-F238E27FC236}">
                <a16:creationId xmlns:a16="http://schemas.microsoft.com/office/drawing/2014/main" id="{00000000-0008-0000-0000-00002C000000}"/>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a:ext>
            </a:extLst>
          </a:blip>
          <a:stretch>
            <a:fillRect/>
          </a:stretch>
        </xdr:blipFill>
        <xdr:spPr>
          <a:xfrm>
            <a:off x="349250" y="82353150"/>
            <a:ext cx="2057724" cy="2736000"/>
          </a:xfrm>
          <a:prstGeom prst="rect">
            <a:avLst/>
          </a:prstGeom>
          <a:ln>
            <a:solidFill>
              <a:schemeClr val="tx1"/>
            </a:solidFill>
          </a:ln>
        </xdr:spPr>
      </xdr:pic>
      <xdr:pic>
        <xdr:nvPicPr>
          <xdr:cNvPr id="45" name="Picture 44">
            <a:extLst>
              <a:ext uri="{FF2B5EF4-FFF2-40B4-BE49-F238E27FC236}">
                <a16:creationId xmlns:a16="http://schemas.microsoft.com/office/drawing/2014/main" id="{00000000-0008-0000-0000-00002D00000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a:ext>
            </a:extLst>
          </a:blip>
          <a:stretch>
            <a:fillRect/>
          </a:stretch>
        </xdr:blipFill>
        <xdr:spPr>
          <a:xfrm>
            <a:off x="2541711" y="85214410"/>
            <a:ext cx="2057724" cy="2736000"/>
          </a:xfrm>
          <a:prstGeom prst="rect">
            <a:avLst/>
          </a:prstGeom>
          <a:ln>
            <a:solidFill>
              <a:schemeClr val="tx1"/>
            </a:solidFill>
          </a:ln>
        </xdr:spPr>
      </xdr:pic>
      <xdr:pic>
        <xdr:nvPicPr>
          <xdr:cNvPr id="46" name="Picture 45">
            <a:extLst>
              <a:ext uri="{FF2B5EF4-FFF2-40B4-BE49-F238E27FC236}">
                <a16:creationId xmlns:a16="http://schemas.microsoft.com/office/drawing/2014/main" id="{00000000-0008-0000-0000-00002E000000}"/>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a:ext>
            </a:extLst>
          </a:blip>
          <a:stretch>
            <a:fillRect/>
          </a:stretch>
        </xdr:blipFill>
        <xdr:spPr>
          <a:xfrm>
            <a:off x="2758313" y="88075670"/>
            <a:ext cx="1624519" cy="2160000"/>
          </a:xfrm>
          <a:prstGeom prst="rect">
            <a:avLst/>
          </a:prstGeom>
          <a:ln>
            <a:solidFill>
              <a:schemeClr val="tx1"/>
            </a:solidFill>
          </a:ln>
        </xdr:spPr>
      </xdr:pic>
      <xdr:pic>
        <xdr:nvPicPr>
          <xdr:cNvPr id="47" name="Picture 46">
            <a:extLst>
              <a:ext uri="{FF2B5EF4-FFF2-40B4-BE49-F238E27FC236}">
                <a16:creationId xmlns:a16="http://schemas.microsoft.com/office/drawing/2014/main" id="{00000000-0008-0000-0000-00002F000000}"/>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a:ext>
            </a:extLst>
          </a:blip>
          <a:stretch>
            <a:fillRect/>
          </a:stretch>
        </xdr:blipFill>
        <xdr:spPr>
          <a:xfrm>
            <a:off x="4734172" y="85214410"/>
            <a:ext cx="2057724" cy="2736000"/>
          </a:xfrm>
          <a:prstGeom prst="rect">
            <a:avLst/>
          </a:prstGeom>
          <a:ln>
            <a:solidFill>
              <a:schemeClr val="tx1"/>
            </a:solidFill>
          </a:ln>
        </xdr:spPr>
      </xdr:pic>
      <xdr:pic>
        <xdr:nvPicPr>
          <xdr:cNvPr id="48" name="Picture 47">
            <a:extLst>
              <a:ext uri="{FF2B5EF4-FFF2-40B4-BE49-F238E27FC236}">
                <a16:creationId xmlns:a16="http://schemas.microsoft.com/office/drawing/2014/main" id="{00000000-0008-0000-0000-000030000000}"/>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a:ext>
            </a:extLst>
          </a:blip>
          <a:stretch>
            <a:fillRect/>
          </a:stretch>
        </xdr:blipFill>
        <xdr:spPr>
          <a:xfrm>
            <a:off x="349250" y="85214410"/>
            <a:ext cx="2057724" cy="2736000"/>
          </a:xfrm>
          <a:prstGeom prst="rect">
            <a:avLst/>
          </a:prstGeom>
          <a:ln>
            <a:solidFill>
              <a:schemeClr val="tx1"/>
            </a:solidFill>
          </a:ln>
        </xdr:spPr>
      </xdr:pic>
      <xdr:pic>
        <xdr:nvPicPr>
          <xdr:cNvPr id="49" name="Picture 48">
            <a:extLst>
              <a:ext uri="{FF2B5EF4-FFF2-40B4-BE49-F238E27FC236}">
                <a16:creationId xmlns:a16="http://schemas.microsoft.com/office/drawing/2014/main" id="{00000000-0008-0000-0000-000031000000}"/>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a:ext>
            </a:extLst>
          </a:blip>
          <a:stretch>
            <a:fillRect/>
          </a:stretch>
        </xdr:blipFill>
        <xdr:spPr>
          <a:xfrm>
            <a:off x="4734172" y="82353150"/>
            <a:ext cx="2057724" cy="2736000"/>
          </a:xfrm>
          <a:prstGeom prst="rect">
            <a:avLst/>
          </a:prstGeom>
          <a:ln>
            <a:solidFill>
              <a:schemeClr val="tx1"/>
            </a:solidFill>
          </a:ln>
        </xdr:spPr>
      </xdr:pic>
      <xdr:pic>
        <xdr:nvPicPr>
          <xdr:cNvPr id="50" name="Picture 49">
            <a:extLst>
              <a:ext uri="{FF2B5EF4-FFF2-40B4-BE49-F238E27FC236}">
                <a16:creationId xmlns:a16="http://schemas.microsoft.com/office/drawing/2014/main" id="{00000000-0008-0000-0000-000032000000}"/>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a:ext>
            </a:extLst>
          </a:blip>
          <a:stretch>
            <a:fillRect/>
          </a:stretch>
        </xdr:blipFill>
        <xdr:spPr>
          <a:xfrm>
            <a:off x="2541711" y="82353150"/>
            <a:ext cx="2057724" cy="2736000"/>
          </a:xfrm>
          <a:prstGeom prst="rect">
            <a:avLst/>
          </a:prstGeom>
          <a:ln>
            <a:solidFill>
              <a:schemeClr val="tx1"/>
            </a:solidFill>
          </a:ln>
        </xdr:spPr>
      </xdr:pic>
      <xdr:sp macro="" textlink="">
        <xdr:nvSpPr>
          <xdr:cNvPr id="51" name="TextBox 50">
            <a:extLst>
              <a:ext uri="{FF2B5EF4-FFF2-40B4-BE49-F238E27FC236}">
                <a16:creationId xmlns:a16="http://schemas.microsoft.com/office/drawing/2014/main" id="{00000000-0008-0000-0000-000033000000}"/>
              </a:ext>
            </a:extLst>
          </xdr:cNvPr>
          <xdr:cNvSpPr txBox="1"/>
        </xdr:nvSpPr>
        <xdr:spPr>
          <a:xfrm>
            <a:off x="3405311" y="84423250"/>
            <a:ext cx="791563"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400" b="0" cap="none" spc="0">
                <a:ln w="0"/>
                <a:solidFill>
                  <a:srgbClr val="FFFF00"/>
                </a:solidFill>
                <a:effectLst>
                  <a:outerShdw blurRad="38100" dist="25400" dir="5400000" algn="ctr" rotWithShape="0">
                    <a:srgbClr val="6E747A">
                      <a:alpha val="43000"/>
                    </a:srgbClr>
                  </a:outerShdw>
                </a:effectLst>
              </a:rPr>
              <a:t>Tower A</a:t>
            </a:r>
          </a:p>
        </xdr:txBody>
      </xdr:sp>
      <xdr:sp macro="" textlink="">
        <xdr:nvSpPr>
          <xdr:cNvPr id="52" name="TextBox 51">
            <a:extLst>
              <a:ext uri="{FF2B5EF4-FFF2-40B4-BE49-F238E27FC236}">
                <a16:creationId xmlns:a16="http://schemas.microsoft.com/office/drawing/2014/main" id="{00000000-0008-0000-0000-000034000000}"/>
              </a:ext>
            </a:extLst>
          </xdr:cNvPr>
          <xdr:cNvSpPr txBox="1"/>
        </xdr:nvSpPr>
        <xdr:spPr>
          <a:xfrm>
            <a:off x="5000872" y="84467700"/>
            <a:ext cx="791563"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400" b="0" cap="none" spc="0">
                <a:ln w="0"/>
                <a:solidFill>
                  <a:srgbClr val="FFFF00"/>
                </a:solidFill>
                <a:effectLst>
                  <a:outerShdw blurRad="38100" dist="25400" dir="5400000" algn="ctr" rotWithShape="0">
                    <a:srgbClr val="6E747A">
                      <a:alpha val="43000"/>
                    </a:srgbClr>
                  </a:outerShdw>
                </a:effectLst>
              </a:rPr>
              <a:t>Tower B</a:t>
            </a:r>
          </a:p>
        </xdr:txBody>
      </xdr:sp>
      <xdr:sp macro="" textlink="">
        <xdr:nvSpPr>
          <xdr:cNvPr id="53" name="TextBox 52">
            <a:extLst>
              <a:ext uri="{FF2B5EF4-FFF2-40B4-BE49-F238E27FC236}">
                <a16:creationId xmlns:a16="http://schemas.microsoft.com/office/drawing/2014/main" id="{00000000-0008-0000-0000-000035000000}"/>
              </a:ext>
            </a:extLst>
          </xdr:cNvPr>
          <xdr:cNvSpPr txBox="1"/>
        </xdr:nvSpPr>
        <xdr:spPr>
          <a:xfrm>
            <a:off x="933450" y="87195610"/>
            <a:ext cx="783420"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400" b="0" cap="none" spc="0">
                <a:ln w="0"/>
                <a:solidFill>
                  <a:srgbClr val="FFFF00"/>
                </a:solidFill>
                <a:effectLst>
                  <a:outerShdw blurRad="38100" dist="25400" dir="5400000" algn="ctr" rotWithShape="0">
                    <a:srgbClr val="6E747A">
                      <a:alpha val="43000"/>
                    </a:srgbClr>
                  </a:outerShdw>
                </a:effectLst>
              </a:rPr>
              <a:t>Tower C</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11</xdr:row>
      <xdr:rowOff>0</xdr:rowOff>
    </xdr:from>
    <xdr:to>
      <xdr:col>6</xdr:col>
      <xdr:colOff>4566</xdr:colOff>
      <xdr:row>29</xdr:row>
      <xdr:rowOff>171000</xdr:rowOff>
    </xdr:to>
    <xdr:pic>
      <xdr:nvPicPr>
        <xdr:cNvPr id="9" name="Picture 8">
          <a:extLst>
            <a:ext uri="{FF2B5EF4-FFF2-40B4-BE49-F238E27FC236}">
              <a16:creationId xmlns:a16="http://schemas.microsoft.com/office/drawing/2014/main" id="{00000000-0008-0000-0300-000009000000}"/>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582706" y="2678206"/>
          <a:ext cx="6403125" cy="3600000"/>
        </a:xfrm>
        <a:prstGeom prst="rect">
          <a:avLst/>
        </a:prstGeom>
      </xdr:spPr>
    </xdr:pic>
    <xdr:clientData/>
  </xdr:twoCellAnchor>
  <xdr:twoCellAnchor editAs="oneCell">
    <xdr:from>
      <xdr:col>1</xdr:col>
      <xdr:colOff>1</xdr:colOff>
      <xdr:row>31</xdr:row>
      <xdr:rowOff>0</xdr:rowOff>
    </xdr:from>
    <xdr:to>
      <xdr:col>6</xdr:col>
      <xdr:colOff>4567</xdr:colOff>
      <xdr:row>49</xdr:row>
      <xdr:rowOff>171000</xdr:rowOff>
    </xdr:to>
    <xdr:pic>
      <xdr:nvPicPr>
        <xdr:cNvPr id="10" name="Picture 9">
          <a:extLst>
            <a:ext uri="{FF2B5EF4-FFF2-40B4-BE49-F238E27FC236}">
              <a16:creationId xmlns:a16="http://schemas.microsoft.com/office/drawing/2014/main" id="{00000000-0008-0000-0300-00000A000000}"/>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tretch>
          <a:fillRect/>
        </a:stretch>
      </xdr:blipFill>
      <xdr:spPr>
        <a:xfrm>
          <a:off x="582707" y="6488206"/>
          <a:ext cx="6403125" cy="3600000"/>
        </a:xfrm>
        <a:prstGeom prst="rect">
          <a:avLst/>
        </a:prstGeom>
      </xdr:spPr>
    </xdr:pic>
    <xdr:clientData/>
  </xdr:twoCellAnchor>
  <xdr:twoCellAnchor editAs="oneCell">
    <xdr:from>
      <xdr:col>1</xdr:col>
      <xdr:colOff>1</xdr:colOff>
      <xdr:row>51</xdr:row>
      <xdr:rowOff>0</xdr:rowOff>
    </xdr:from>
    <xdr:to>
      <xdr:col>6</xdr:col>
      <xdr:colOff>4567</xdr:colOff>
      <xdr:row>69</xdr:row>
      <xdr:rowOff>171000</xdr:rowOff>
    </xdr:to>
    <xdr:pic>
      <xdr:nvPicPr>
        <xdr:cNvPr id="11" name="Picture 10">
          <a:extLst>
            <a:ext uri="{FF2B5EF4-FFF2-40B4-BE49-F238E27FC236}">
              <a16:creationId xmlns:a16="http://schemas.microsoft.com/office/drawing/2014/main" id="{00000000-0008-0000-0300-00000B000000}"/>
            </a:ext>
          </a:extLst>
        </xdr:cNvPr>
        <xdr:cNvPicPr>
          <a:picLocks noChangeAspect="1"/>
        </xdr:cNvPicPr>
      </xdr:nvPicPr>
      <xdr:blipFill>
        <a:blip xmlns:r="http://schemas.openxmlformats.org/officeDocument/2006/relationships" r:embed="rId3" cstate="screen">
          <a:extLst>
            <a:ext uri="{28A0092B-C50C-407E-A947-70E740481C1C}">
              <a14:useLocalDpi xmlns:a14="http://schemas.microsoft.com/office/drawing/2010/main"/>
            </a:ext>
          </a:extLst>
        </a:blip>
        <a:stretch>
          <a:fillRect/>
        </a:stretch>
      </xdr:blipFill>
      <xdr:spPr>
        <a:xfrm>
          <a:off x="582707" y="10298206"/>
          <a:ext cx="6403125" cy="3600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goo.gl/maps/C3nWx3cTTFnQppJ59?coh=178572&amp;entry=tt" TargetMode="External"/><Relationship Id="rId4"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522"/>
  <sheetViews>
    <sheetView tabSelected="1" view="pageBreakPreview" topLeftCell="A79" zoomScaleNormal="100" zoomScaleSheetLayoutView="100" zoomScalePageLayoutView="85" workbookViewId="0">
      <selection activeCell="K64" sqref="K64"/>
    </sheetView>
  </sheetViews>
  <sheetFormatPr defaultColWidth="9.21875" defaultRowHeight="15.6" x14ac:dyDescent="0.3"/>
  <cols>
    <col min="1" max="1" width="11.44140625" style="21" customWidth="1"/>
    <col min="2" max="2" width="11.21875" style="21" customWidth="1"/>
    <col min="3" max="3" width="14.44140625" style="21" customWidth="1"/>
    <col min="4" max="4" width="12.77734375" style="21" customWidth="1"/>
    <col min="5" max="7" width="11.77734375" style="21" customWidth="1"/>
    <col min="8" max="8" width="17.77734375" style="21" customWidth="1"/>
    <col min="9" max="9" width="20.44140625" style="8" customWidth="1"/>
    <col min="10" max="10" width="9.77734375" style="8" bestFit="1" customWidth="1"/>
    <col min="11" max="11" width="11.77734375" style="8" bestFit="1" customWidth="1"/>
    <col min="12" max="252" width="9.21875" style="8"/>
    <col min="253" max="253" width="8.77734375" style="8" customWidth="1"/>
    <col min="254" max="254" width="9.77734375" style="8" customWidth="1"/>
    <col min="255" max="255" width="14.44140625" style="8" customWidth="1"/>
    <col min="256" max="256" width="7.21875" style="8" customWidth="1"/>
    <col min="257" max="257" width="5.5546875" style="8" customWidth="1"/>
    <col min="258" max="258" width="9" style="8" customWidth="1"/>
    <col min="259" max="260" width="9.77734375" style="8" customWidth="1"/>
    <col min="261" max="261" width="11.21875" style="8" customWidth="1"/>
    <col min="262" max="262" width="2.77734375" style="8" customWidth="1"/>
    <col min="263" max="263" width="3.5546875" style="8" customWidth="1"/>
    <col min="264" max="508" width="9.21875" style="8"/>
    <col min="509" max="509" width="8.77734375" style="8" customWidth="1"/>
    <col min="510" max="510" width="9.77734375" style="8" customWidth="1"/>
    <col min="511" max="511" width="14.44140625" style="8" customWidth="1"/>
    <col min="512" max="512" width="7.21875" style="8" customWidth="1"/>
    <col min="513" max="513" width="5.5546875" style="8" customWidth="1"/>
    <col min="514" max="514" width="9" style="8" customWidth="1"/>
    <col min="515" max="516" width="9.77734375" style="8" customWidth="1"/>
    <col min="517" max="517" width="11.21875" style="8" customWidth="1"/>
    <col min="518" max="518" width="2.77734375" style="8" customWidth="1"/>
    <col min="519" max="519" width="3.5546875" style="8" customWidth="1"/>
    <col min="520" max="764" width="9.21875" style="8"/>
    <col min="765" max="765" width="8.77734375" style="8" customWidth="1"/>
    <col min="766" max="766" width="9.77734375" style="8" customWidth="1"/>
    <col min="767" max="767" width="14.44140625" style="8" customWidth="1"/>
    <col min="768" max="768" width="7.21875" style="8" customWidth="1"/>
    <col min="769" max="769" width="5.5546875" style="8" customWidth="1"/>
    <col min="770" max="770" width="9" style="8" customWidth="1"/>
    <col min="771" max="772" width="9.77734375" style="8" customWidth="1"/>
    <col min="773" max="773" width="11.21875" style="8" customWidth="1"/>
    <col min="774" max="774" width="2.77734375" style="8" customWidth="1"/>
    <col min="775" max="775" width="3.5546875" style="8" customWidth="1"/>
    <col min="776" max="1020" width="9.21875" style="8"/>
    <col min="1021" max="1021" width="8.77734375" style="8" customWidth="1"/>
    <col min="1022" max="1022" width="9.77734375" style="8" customWidth="1"/>
    <col min="1023" max="1023" width="14.44140625" style="8" customWidth="1"/>
    <col min="1024" max="1024" width="7.21875" style="8" customWidth="1"/>
    <col min="1025" max="1025" width="5.5546875" style="8" customWidth="1"/>
    <col min="1026" max="1026" width="9" style="8" customWidth="1"/>
    <col min="1027" max="1028" width="9.77734375" style="8" customWidth="1"/>
    <col min="1029" max="1029" width="11.21875" style="8" customWidth="1"/>
    <col min="1030" max="1030" width="2.77734375" style="8" customWidth="1"/>
    <col min="1031" max="1031" width="3.5546875" style="8" customWidth="1"/>
    <col min="1032" max="1276" width="9.21875" style="8"/>
    <col min="1277" max="1277" width="8.77734375" style="8" customWidth="1"/>
    <col min="1278" max="1278" width="9.77734375" style="8" customWidth="1"/>
    <col min="1279" max="1279" width="14.44140625" style="8" customWidth="1"/>
    <col min="1280" max="1280" width="7.21875" style="8" customWidth="1"/>
    <col min="1281" max="1281" width="5.5546875" style="8" customWidth="1"/>
    <col min="1282" max="1282" width="9" style="8" customWidth="1"/>
    <col min="1283" max="1284" width="9.77734375" style="8" customWidth="1"/>
    <col min="1285" max="1285" width="11.21875" style="8" customWidth="1"/>
    <col min="1286" max="1286" width="2.77734375" style="8" customWidth="1"/>
    <col min="1287" max="1287" width="3.5546875" style="8" customWidth="1"/>
    <col min="1288" max="1532" width="9.21875" style="8"/>
    <col min="1533" max="1533" width="8.77734375" style="8" customWidth="1"/>
    <col min="1534" max="1534" width="9.77734375" style="8" customWidth="1"/>
    <col min="1535" max="1535" width="14.44140625" style="8" customWidth="1"/>
    <col min="1536" max="1536" width="7.21875" style="8" customWidth="1"/>
    <col min="1537" max="1537" width="5.5546875" style="8" customWidth="1"/>
    <col min="1538" max="1538" width="9" style="8" customWidth="1"/>
    <col min="1539" max="1540" width="9.77734375" style="8" customWidth="1"/>
    <col min="1541" max="1541" width="11.21875" style="8" customWidth="1"/>
    <col min="1542" max="1542" width="2.77734375" style="8" customWidth="1"/>
    <col min="1543" max="1543" width="3.5546875" style="8" customWidth="1"/>
    <col min="1544" max="1788" width="9.21875" style="8"/>
    <col min="1789" max="1789" width="8.77734375" style="8" customWidth="1"/>
    <col min="1790" max="1790" width="9.77734375" style="8" customWidth="1"/>
    <col min="1791" max="1791" width="14.44140625" style="8" customWidth="1"/>
    <col min="1792" max="1792" width="7.21875" style="8" customWidth="1"/>
    <col min="1793" max="1793" width="5.5546875" style="8" customWidth="1"/>
    <col min="1794" max="1794" width="9" style="8" customWidth="1"/>
    <col min="1795" max="1796" width="9.77734375" style="8" customWidth="1"/>
    <col min="1797" max="1797" width="11.21875" style="8" customWidth="1"/>
    <col min="1798" max="1798" width="2.77734375" style="8" customWidth="1"/>
    <col min="1799" max="1799" width="3.5546875" style="8" customWidth="1"/>
    <col min="1800" max="2044" width="9.21875" style="8"/>
    <col min="2045" max="2045" width="8.77734375" style="8" customWidth="1"/>
    <col min="2046" max="2046" width="9.77734375" style="8" customWidth="1"/>
    <col min="2047" max="2047" width="14.44140625" style="8" customWidth="1"/>
    <col min="2048" max="2048" width="7.21875" style="8" customWidth="1"/>
    <col min="2049" max="2049" width="5.5546875" style="8" customWidth="1"/>
    <col min="2050" max="2050" width="9" style="8" customWidth="1"/>
    <col min="2051" max="2052" width="9.77734375" style="8" customWidth="1"/>
    <col min="2053" max="2053" width="11.21875" style="8" customWidth="1"/>
    <col min="2054" max="2054" width="2.77734375" style="8" customWidth="1"/>
    <col min="2055" max="2055" width="3.5546875" style="8" customWidth="1"/>
    <col min="2056" max="2300" width="9.21875" style="8"/>
    <col min="2301" max="2301" width="8.77734375" style="8" customWidth="1"/>
    <col min="2302" max="2302" width="9.77734375" style="8" customWidth="1"/>
    <col min="2303" max="2303" width="14.44140625" style="8" customWidth="1"/>
    <col min="2304" max="2304" width="7.21875" style="8" customWidth="1"/>
    <col min="2305" max="2305" width="5.5546875" style="8" customWidth="1"/>
    <col min="2306" max="2306" width="9" style="8" customWidth="1"/>
    <col min="2307" max="2308" width="9.77734375" style="8" customWidth="1"/>
    <col min="2309" max="2309" width="11.21875" style="8" customWidth="1"/>
    <col min="2310" max="2310" width="2.77734375" style="8" customWidth="1"/>
    <col min="2311" max="2311" width="3.5546875" style="8" customWidth="1"/>
    <col min="2312" max="2556" width="9.21875" style="8"/>
    <col min="2557" max="2557" width="8.77734375" style="8" customWidth="1"/>
    <col min="2558" max="2558" width="9.77734375" style="8" customWidth="1"/>
    <col min="2559" max="2559" width="14.44140625" style="8" customWidth="1"/>
    <col min="2560" max="2560" width="7.21875" style="8" customWidth="1"/>
    <col min="2561" max="2561" width="5.5546875" style="8" customWidth="1"/>
    <col min="2562" max="2562" width="9" style="8" customWidth="1"/>
    <col min="2563" max="2564" width="9.77734375" style="8" customWidth="1"/>
    <col min="2565" max="2565" width="11.21875" style="8" customWidth="1"/>
    <col min="2566" max="2566" width="2.77734375" style="8" customWidth="1"/>
    <col min="2567" max="2567" width="3.5546875" style="8" customWidth="1"/>
    <col min="2568" max="2812" width="9.21875" style="8"/>
    <col min="2813" max="2813" width="8.77734375" style="8" customWidth="1"/>
    <col min="2814" max="2814" width="9.77734375" style="8" customWidth="1"/>
    <col min="2815" max="2815" width="14.44140625" style="8" customWidth="1"/>
    <col min="2816" max="2816" width="7.21875" style="8" customWidth="1"/>
    <col min="2817" max="2817" width="5.5546875" style="8" customWidth="1"/>
    <col min="2818" max="2818" width="9" style="8" customWidth="1"/>
    <col min="2819" max="2820" width="9.77734375" style="8" customWidth="1"/>
    <col min="2821" max="2821" width="11.21875" style="8" customWidth="1"/>
    <col min="2822" max="2822" width="2.77734375" style="8" customWidth="1"/>
    <col min="2823" max="2823" width="3.5546875" style="8" customWidth="1"/>
    <col min="2824" max="3068" width="9.21875" style="8"/>
    <col min="3069" max="3069" width="8.77734375" style="8" customWidth="1"/>
    <col min="3070" max="3070" width="9.77734375" style="8" customWidth="1"/>
    <col min="3071" max="3071" width="14.44140625" style="8" customWidth="1"/>
    <col min="3072" max="3072" width="7.21875" style="8" customWidth="1"/>
    <col min="3073" max="3073" width="5.5546875" style="8" customWidth="1"/>
    <col min="3074" max="3074" width="9" style="8" customWidth="1"/>
    <col min="3075" max="3076" width="9.77734375" style="8" customWidth="1"/>
    <col min="3077" max="3077" width="11.21875" style="8" customWidth="1"/>
    <col min="3078" max="3078" width="2.77734375" style="8" customWidth="1"/>
    <col min="3079" max="3079" width="3.5546875" style="8" customWidth="1"/>
    <col min="3080" max="3324" width="9.21875" style="8"/>
    <col min="3325" max="3325" width="8.77734375" style="8" customWidth="1"/>
    <col min="3326" max="3326" width="9.77734375" style="8" customWidth="1"/>
    <col min="3327" max="3327" width="14.44140625" style="8" customWidth="1"/>
    <col min="3328" max="3328" width="7.21875" style="8" customWidth="1"/>
    <col min="3329" max="3329" width="5.5546875" style="8" customWidth="1"/>
    <col min="3330" max="3330" width="9" style="8" customWidth="1"/>
    <col min="3331" max="3332" width="9.77734375" style="8" customWidth="1"/>
    <col min="3333" max="3333" width="11.21875" style="8" customWidth="1"/>
    <col min="3334" max="3334" width="2.77734375" style="8" customWidth="1"/>
    <col min="3335" max="3335" width="3.5546875" style="8" customWidth="1"/>
    <col min="3336" max="3580" width="9.21875" style="8"/>
    <col min="3581" max="3581" width="8.77734375" style="8" customWidth="1"/>
    <col min="3582" max="3582" width="9.77734375" style="8" customWidth="1"/>
    <col min="3583" max="3583" width="14.44140625" style="8" customWidth="1"/>
    <col min="3584" max="3584" width="7.21875" style="8" customWidth="1"/>
    <col min="3585" max="3585" width="5.5546875" style="8" customWidth="1"/>
    <col min="3586" max="3586" width="9" style="8" customWidth="1"/>
    <col min="3587" max="3588" width="9.77734375" style="8" customWidth="1"/>
    <col min="3589" max="3589" width="11.21875" style="8" customWidth="1"/>
    <col min="3590" max="3590" width="2.77734375" style="8" customWidth="1"/>
    <col min="3591" max="3591" width="3.5546875" style="8" customWidth="1"/>
    <col min="3592" max="3836" width="9.21875" style="8"/>
    <col min="3837" max="3837" width="8.77734375" style="8" customWidth="1"/>
    <col min="3838" max="3838" width="9.77734375" style="8" customWidth="1"/>
    <col min="3839" max="3839" width="14.44140625" style="8" customWidth="1"/>
    <col min="3840" max="3840" width="7.21875" style="8" customWidth="1"/>
    <col min="3841" max="3841" width="5.5546875" style="8" customWidth="1"/>
    <col min="3842" max="3842" width="9" style="8" customWidth="1"/>
    <col min="3843" max="3844" width="9.77734375" style="8" customWidth="1"/>
    <col min="3845" max="3845" width="11.21875" style="8" customWidth="1"/>
    <col min="3846" max="3846" width="2.77734375" style="8" customWidth="1"/>
    <col min="3847" max="3847" width="3.5546875" style="8" customWidth="1"/>
    <col min="3848" max="4092" width="9.21875" style="8"/>
    <col min="4093" max="4093" width="8.77734375" style="8" customWidth="1"/>
    <col min="4094" max="4094" width="9.77734375" style="8" customWidth="1"/>
    <col min="4095" max="4095" width="14.44140625" style="8" customWidth="1"/>
    <col min="4096" max="4096" width="7.21875" style="8" customWidth="1"/>
    <col min="4097" max="4097" width="5.5546875" style="8" customWidth="1"/>
    <col min="4098" max="4098" width="9" style="8" customWidth="1"/>
    <col min="4099" max="4100" width="9.77734375" style="8" customWidth="1"/>
    <col min="4101" max="4101" width="11.21875" style="8" customWidth="1"/>
    <col min="4102" max="4102" width="2.77734375" style="8" customWidth="1"/>
    <col min="4103" max="4103" width="3.5546875" style="8" customWidth="1"/>
    <col min="4104" max="4348" width="9.21875" style="8"/>
    <col min="4349" max="4349" width="8.77734375" style="8" customWidth="1"/>
    <col min="4350" max="4350" width="9.77734375" style="8" customWidth="1"/>
    <col min="4351" max="4351" width="14.44140625" style="8" customWidth="1"/>
    <col min="4352" max="4352" width="7.21875" style="8" customWidth="1"/>
    <col min="4353" max="4353" width="5.5546875" style="8" customWidth="1"/>
    <col min="4354" max="4354" width="9" style="8" customWidth="1"/>
    <col min="4355" max="4356" width="9.77734375" style="8" customWidth="1"/>
    <col min="4357" max="4357" width="11.21875" style="8" customWidth="1"/>
    <col min="4358" max="4358" width="2.77734375" style="8" customWidth="1"/>
    <col min="4359" max="4359" width="3.5546875" style="8" customWidth="1"/>
    <col min="4360" max="4604" width="9.21875" style="8"/>
    <col min="4605" max="4605" width="8.77734375" style="8" customWidth="1"/>
    <col min="4606" max="4606" width="9.77734375" style="8" customWidth="1"/>
    <col min="4607" max="4607" width="14.44140625" style="8" customWidth="1"/>
    <col min="4608" max="4608" width="7.21875" style="8" customWidth="1"/>
    <col min="4609" max="4609" width="5.5546875" style="8" customWidth="1"/>
    <col min="4610" max="4610" width="9" style="8" customWidth="1"/>
    <col min="4611" max="4612" width="9.77734375" style="8" customWidth="1"/>
    <col min="4613" max="4613" width="11.21875" style="8" customWidth="1"/>
    <col min="4614" max="4614" width="2.77734375" style="8" customWidth="1"/>
    <col min="4615" max="4615" width="3.5546875" style="8" customWidth="1"/>
    <col min="4616" max="4860" width="9.21875" style="8"/>
    <col min="4861" max="4861" width="8.77734375" style="8" customWidth="1"/>
    <col min="4862" max="4862" width="9.77734375" style="8" customWidth="1"/>
    <col min="4863" max="4863" width="14.44140625" style="8" customWidth="1"/>
    <col min="4864" max="4864" width="7.21875" style="8" customWidth="1"/>
    <col min="4865" max="4865" width="5.5546875" style="8" customWidth="1"/>
    <col min="4866" max="4866" width="9" style="8" customWidth="1"/>
    <col min="4867" max="4868" width="9.77734375" style="8" customWidth="1"/>
    <col min="4869" max="4869" width="11.21875" style="8" customWidth="1"/>
    <col min="4870" max="4870" width="2.77734375" style="8" customWidth="1"/>
    <col min="4871" max="4871" width="3.5546875" style="8" customWidth="1"/>
    <col min="4872" max="5116" width="9.21875" style="8"/>
    <col min="5117" max="5117" width="8.77734375" style="8" customWidth="1"/>
    <col min="5118" max="5118" width="9.77734375" style="8" customWidth="1"/>
    <col min="5119" max="5119" width="14.44140625" style="8" customWidth="1"/>
    <col min="5120" max="5120" width="7.21875" style="8" customWidth="1"/>
    <col min="5121" max="5121" width="5.5546875" style="8" customWidth="1"/>
    <col min="5122" max="5122" width="9" style="8" customWidth="1"/>
    <col min="5123" max="5124" width="9.77734375" style="8" customWidth="1"/>
    <col min="5125" max="5125" width="11.21875" style="8" customWidth="1"/>
    <col min="5126" max="5126" width="2.77734375" style="8" customWidth="1"/>
    <col min="5127" max="5127" width="3.5546875" style="8" customWidth="1"/>
    <col min="5128" max="5372" width="9.21875" style="8"/>
    <col min="5373" max="5373" width="8.77734375" style="8" customWidth="1"/>
    <col min="5374" max="5374" width="9.77734375" style="8" customWidth="1"/>
    <col min="5375" max="5375" width="14.44140625" style="8" customWidth="1"/>
    <col min="5376" max="5376" width="7.21875" style="8" customWidth="1"/>
    <col min="5377" max="5377" width="5.5546875" style="8" customWidth="1"/>
    <col min="5378" max="5378" width="9" style="8" customWidth="1"/>
    <col min="5379" max="5380" width="9.77734375" style="8" customWidth="1"/>
    <col min="5381" max="5381" width="11.21875" style="8" customWidth="1"/>
    <col min="5382" max="5382" width="2.77734375" style="8" customWidth="1"/>
    <col min="5383" max="5383" width="3.5546875" style="8" customWidth="1"/>
    <col min="5384" max="5628" width="9.21875" style="8"/>
    <col min="5629" max="5629" width="8.77734375" style="8" customWidth="1"/>
    <col min="5630" max="5630" width="9.77734375" style="8" customWidth="1"/>
    <col min="5631" max="5631" width="14.44140625" style="8" customWidth="1"/>
    <col min="5632" max="5632" width="7.21875" style="8" customWidth="1"/>
    <col min="5633" max="5633" width="5.5546875" style="8" customWidth="1"/>
    <col min="5634" max="5634" width="9" style="8" customWidth="1"/>
    <col min="5635" max="5636" width="9.77734375" style="8" customWidth="1"/>
    <col min="5637" max="5637" width="11.21875" style="8" customWidth="1"/>
    <col min="5638" max="5638" width="2.77734375" style="8" customWidth="1"/>
    <col min="5639" max="5639" width="3.5546875" style="8" customWidth="1"/>
    <col min="5640" max="5884" width="9.21875" style="8"/>
    <col min="5885" max="5885" width="8.77734375" style="8" customWidth="1"/>
    <col min="5886" max="5886" width="9.77734375" style="8" customWidth="1"/>
    <col min="5887" max="5887" width="14.44140625" style="8" customWidth="1"/>
    <col min="5888" max="5888" width="7.21875" style="8" customWidth="1"/>
    <col min="5889" max="5889" width="5.5546875" style="8" customWidth="1"/>
    <col min="5890" max="5890" width="9" style="8" customWidth="1"/>
    <col min="5891" max="5892" width="9.77734375" style="8" customWidth="1"/>
    <col min="5893" max="5893" width="11.21875" style="8" customWidth="1"/>
    <col min="5894" max="5894" width="2.77734375" style="8" customWidth="1"/>
    <col min="5895" max="5895" width="3.5546875" style="8" customWidth="1"/>
    <col min="5896" max="6140" width="9.21875" style="8"/>
    <col min="6141" max="6141" width="8.77734375" style="8" customWidth="1"/>
    <col min="6142" max="6142" width="9.77734375" style="8" customWidth="1"/>
    <col min="6143" max="6143" width="14.44140625" style="8" customWidth="1"/>
    <col min="6144" max="6144" width="7.21875" style="8" customWidth="1"/>
    <col min="6145" max="6145" width="5.5546875" style="8" customWidth="1"/>
    <col min="6146" max="6146" width="9" style="8" customWidth="1"/>
    <col min="6147" max="6148" width="9.77734375" style="8" customWidth="1"/>
    <col min="6149" max="6149" width="11.21875" style="8" customWidth="1"/>
    <col min="6150" max="6150" width="2.77734375" style="8" customWidth="1"/>
    <col min="6151" max="6151" width="3.5546875" style="8" customWidth="1"/>
    <col min="6152" max="6396" width="9.21875" style="8"/>
    <col min="6397" max="6397" width="8.77734375" style="8" customWidth="1"/>
    <col min="6398" max="6398" width="9.77734375" style="8" customWidth="1"/>
    <col min="6399" max="6399" width="14.44140625" style="8" customWidth="1"/>
    <col min="6400" max="6400" width="7.21875" style="8" customWidth="1"/>
    <col min="6401" max="6401" width="5.5546875" style="8" customWidth="1"/>
    <col min="6402" max="6402" width="9" style="8" customWidth="1"/>
    <col min="6403" max="6404" width="9.77734375" style="8" customWidth="1"/>
    <col min="6405" max="6405" width="11.21875" style="8" customWidth="1"/>
    <col min="6406" max="6406" width="2.77734375" style="8" customWidth="1"/>
    <col min="6407" max="6407" width="3.5546875" style="8" customWidth="1"/>
    <col min="6408" max="6652" width="9.21875" style="8"/>
    <col min="6653" max="6653" width="8.77734375" style="8" customWidth="1"/>
    <col min="6654" max="6654" width="9.77734375" style="8" customWidth="1"/>
    <col min="6655" max="6655" width="14.44140625" style="8" customWidth="1"/>
    <col min="6656" max="6656" width="7.21875" style="8" customWidth="1"/>
    <col min="6657" max="6657" width="5.5546875" style="8" customWidth="1"/>
    <col min="6658" max="6658" width="9" style="8" customWidth="1"/>
    <col min="6659" max="6660" width="9.77734375" style="8" customWidth="1"/>
    <col min="6661" max="6661" width="11.21875" style="8" customWidth="1"/>
    <col min="6662" max="6662" width="2.77734375" style="8" customWidth="1"/>
    <col min="6663" max="6663" width="3.5546875" style="8" customWidth="1"/>
    <col min="6664" max="6908" width="9.21875" style="8"/>
    <col min="6909" max="6909" width="8.77734375" style="8" customWidth="1"/>
    <col min="6910" max="6910" width="9.77734375" style="8" customWidth="1"/>
    <col min="6911" max="6911" width="14.44140625" style="8" customWidth="1"/>
    <col min="6912" max="6912" width="7.21875" style="8" customWidth="1"/>
    <col min="6913" max="6913" width="5.5546875" style="8" customWidth="1"/>
    <col min="6914" max="6914" width="9" style="8" customWidth="1"/>
    <col min="6915" max="6916" width="9.77734375" style="8" customWidth="1"/>
    <col min="6917" max="6917" width="11.21875" style="8" customWidth="1"/>
    <col min="6918" max="6918" width="2.77734375" style="8" customWidth="1"/>
    <col min="6919" max="6919" width="3.5546875" style="8" customWidth="1"/>
    <col min="6920" max="7164" width="9.21875" style="8"/>
    <col min="7165" max="7165" width="8.77734375" style="8" customWidth="1"/>
    <col min="7166" max="7166" width="9.77734375" style="8" customWidth="1"/>
    <col min="7167" max="7167" width="14.44140625" style="8" customWidth="1"/>
    <col min="7168" max="7168" width="7.21875" style="8" customWidth="1"/>
    <col min="7169" max="7169" width="5.5546875" style="8" customWidth="1"/>
    <col min="7170" max="7170" width="9" style="8" customWidth="1"/>
    <col min="7171" max="7172" width="9.77734375" style="8" customWidth="1"/>
    <col min="7173" max="7173" width="11.21875" style="8" customWidth="1"/>
    <col min="7174" max="7174" width="2.77734375" style="8" customWidth="1"/>
    <col min="7175" max="7175" width="3.5546875" style="8" customWidth="1"/>
    <col min="7176" max="7420" width="9.21875" style="8"/>
    <col min="7421" max="7421" width="8.77734375" style="8" customWidth="1"/>
    <col min="7422" max="7422" width="9.77734375" style="8" customWidth="1"/>
    <col min="7423" max="7423" width="14.44140625" style="8" customWidth="1"/>
    <col min="7424" max="7424" width="7.21875" style="8" customWidth="1"/>
    <col min="7425" max="7425" width="5.5546875" style="8" customWidth="1"/>
    <col min="7426" max="7426" width="9" style="8" customWidth="1"/>
    <col min="7427" max="7428" width="9.77734375" style="8" customWidth="1"/>
    <col min="7429" max="7429" width="11.21875" style="8" customWidth="1"/>
    <col min="7430" max="7430" width="2.77734375" style="8" customWidth="1"/>
    <col min="7431" max="7431" width="3.5546875" style="8" customWidth="1"/>
    <col min="7432" max="7676" width="9.21875" style="8"/>
    <col min="7677" max="7677" width="8.77734375" style="8" customWidth="1"/>
    <col min="7678" max="7678" width="9.77734375" style="8" customWidth="1"/>
    <col min="7679" max="7679" width="14.44140625" style="8" customWidth="1"/>
    <col min="7680" max="7680" width="7.21875" style="8" customWidth="1"/>
    <col min="7681" max="7681" width="5.5546875" style="8" customWidth="1"/>
    <col min="7682" max="7682" width="9" style="8" customWidth="1"/>
    <col min="7683" max="7684" width="9.77734375" style="8" customWidth="1"/>
    <col min="7685" max="7685" width="11.21875" style="8" customWidth="1"/>
    <col min="7686" max="7686" width="2.77734375" style="8" customWidth="1"/>
    <col min="7687" max="7687" width="3.5546875" style="8" customWidth="1"/>
    <col min="7688" max="7932" width="9.21875" style="8"/>
    <col min="7933" max="7933" width="8.77734375" style="8" customWidth="1"/>
    <col min="7934" max="7934" width="9.77734375" style="8" customWidth="1"/>
    <col min="7935" max="7935" width="14.44140625" style="8" customWidth="1"/>
    <col min="7936" max="7936" width="7.21875" style="8" customWidth="1"/>
    <col min="7937" max="7937" width="5.5546875" style="8" customWidth="1"/>
    <col min="7938" max="7938" width="9" style="8" customWidth="1"/>
    <col min="7939" max="7940" width="9.77734375" style="8" customWidth="1"/>
    <col min="7941" max="7941" width="11.21875" style="8" customWidth="1"/>
    <col min="7942" max="7942" width="2.77734375" style="8" customWidth="1"/>
    <col min="7943" max="7943" width="3.5546875" style="8" customWidth="1"/>
    <col min="7944" max="8188" width="9.21875" style="8"/>
    <col min="8189" max="8189" width="8.77734375" style="8" customWidth="1"/>
    <col min="8190" max="8190" width="9.77734375" style="8" customWidth="1"/>
    <col min="8191" max="8191" width="14.44140625" style="8" customWidth="1"/>
    <col min="8192" max="8192" width="7.21875" style="8" customWidth="1"/>
    <col min="8193" max="8193" width="5.5546875" style="8" customWidth="1"/>
    <col min="8194" max="8194" width="9" style="8" customWidth="1"/>
    <col min="8195" max="8196" width="9.77734375" style="8" customWidth="1"/>
    <col min="8197" max="8197" width="11.21875" style="8" customWidth="1"/>
    <col min="8198" max="8198" width="2.77734375" style="8" customWidth="1"/>
    <col min="8199" max="8199" width="3.5546875" style="8" customWidth="1"/>
    <col min="8200" max="8444" width="9.21875" style="8"/>
    <col min="8445" max="8445" width="8.77734375" style="8" customWidth="1"/>
    <col min="8446" max="8446" width="9.77734375" style="8" customWidth="1"/>
    <col min="8447" max="8447" width="14.44140625" style="8" customWidth="1"/>
    <col min="8448" max="8448" width="7.21875" style="8" customWidth="1"/>
    <col min="8449" max="8449" width="5.5546875" style="8" customWidth="1"/>
    <col min="8450" max="8450" width="9" style="8" customWidth="1"/>
    <col min="8451" max="8452" width="9.77734375" style="8" customWidth="1"/>
    <col min="8453" max="8453" width="11.21875" style="8" customWidth="1"/>
    <col min="8454" max="8454" width="2.77734375" style="8" customWidth="1"/>
    <col min="8455" max="8455" width="3.5546875" style="8" customWidth="1"/>
    <col min="8456" max="8700" width="9.21875" style="8"/>
    <col min="8701" max="8701" width="8.77734375" style="8" customWidth="1"/>
    <col min="8702" max="8702" width="9.77734375" style="8" customWidth="1"/>
    <col min="8703" max="8703" width="14.44140625" style="8" customWidth="1"/>
    <col min="8704" max="8704" width="7.21875" style="8" customWidth="1"/>
    <col min="8705" max="8705" width="5.5546875" style="8" customWidth="1"/>
    <col min="8706" max="8706" width="9" style="8" customWidth="1"/>
    <col min="8707" max="8708" width="9.77734375" style="8" customWidth="1"/>
    <col min="8709" max="8709" width="11.21875" style="8" customWidth="1"/>
    <col min="8710" max="8710" width="2.77734375" style="8" customWidth="1"/>
    <col min="8711" max="8711" width="3.5546875" style="8" customWidth="1"/>
    <col min="8712" max="8956" width="9.21875" style="8"/>
    <col min="8957" max="8957" width="8.77734375" style="8" customWidth="1"/>
    <col min="8958" max="8958" width="9.77734375" style="8" customWidth="1"/>
    <col min="8959" max="8959" width="14.44140625" style="8" customWidth="1"/>
    <col min="8960" max="8960" width="7.21875" style="8" customWidth="1"/>
    <col min="8961" max="8961" width="5.5546875" style="8" customWidth="1"/>
    <col min="8962" max="8962" width="9" style="8" customWidth="1"/>
    <col min="8963" max="8964" width="9.77734375" style="8" customWidth="1"/>
    <col min="8965" max="8965" width="11.21875" style="8" customWidth="1"/>
    <col min="8966" max="8966" width="2.77734375" style="8" customWidth="1"/>
    <col min="8967" max="8967" width="3.5546875" style="8" customWidth="1"/>
    <col min="8968" max="9212" width="9.21875" style="8"/>
    <col min="9213" max="9213" width="8.77734375" style="8" customWidth="1"/>
    <col min="9214" max="9214" width="9.77734375" style="8" customWidth="1"/>
    <col min="9215" max="9215" width="14.44140625" style="8" customWidth="1"/>
    <col min="9216" max="9216" width="7.21875" style="8" customWidth="1"/>
    <col min="9217" max="9217" width="5.5546875" style="8" customWidth="1"/>
    <col min="9218" max="9218" width="9" style="8" customWidth="1"/>
    <col min="9219" max="9220" width="9.77734375" style="8" customWidth="1"/>
    <col min="9221" max="9221" width="11.21875" style="8" customWidth="1"/>
    <col min="9222" max="9222" width="2.77734375" style="8" customWidth="1"/>
    <col min="9223" max="9223" width="3.5546875" style="8" customWidth="1"/>
    <col min="9224" max="9468" width="9.21875" style="8"/>
    <col min="9469" max="9469" width="8.77734375" style="8" customWidth="1"/>
    <col min="9470" max="9470" width="9.77734375" style="8" customWidth="1"/>
    <col min="9471" max="9471" width="14.44140625" style="8" customWidth="1"/>
    <col min="9472" max="9472" width="7.21875" style="8" customWidth="1"/>
    <col min="9473" max="9473" width="5.5546875" style="8" customWidth="1"/>
    <col min="9474" max="9474" width="9" style="8" customWidth="1"/>
    <col min="9475" max="9476" width="9.77734375" style="8" customWidth="1"/>
    <col min="9477" max="9477" width="11.21875" style="8" customWidth="1"/>
    <col min="9478" max="9478" width="2.77734375" style="8" customWidth="1"/>
    <col min="9479" max="9479" width="3.5546875" style="8" customWidth="1"/>
    <col min="9480" max="9724" width="9.21875" style="8"/>
    <col min="9725" max="9725" width="8.77734375" style="8" customWidth="1"/>
    <col min="9726" max="9726" width="9.77734375" style="8" customWidth="1"/>
    <col min="9727" max="9727" width="14.44140625" style="8" customWidth="1"/>
    <col min="9728" max="9728" width="7.21875" style="8" customWidth="1"/>
    <col min="9729" max="9729" width="5.5546875" style="8" customWidth="1"/>
    <col min="9730" max="9730" width="9" style="8" customWidth="1"/>
    <col min="9731" max="9732" width="9.77734375" style="8" customWidth="1"/>
    <col min="9733" max="9733" width="11.21875" style="8" customWidth="1"/>
    <col min="9734" max="9734" width="2.77734375" style="8" customWidth="1"/>
    <col min="9735" max="9735" width="3.5546875" style="8" customWidth="1"/>
    <col min="9736" max="9980" width="9.21875" style="8"/>
    <col min="9981" max="9981" width="8.77734375" style="8" customWidth="1"/>
    <col min="9982" max="9982" width="9.77734375" style="8" customWidth="1"/>
    <col min="9983" max="9983" width="14.44140625" style="8" customWidth="1"/>
    <col min="9984" max="9984" width="7.21875" style="8" customWidth="1"/>
    <col min="9985" max="9985" width="5.5546875" style="8" customWidth="1"/>
    <col min="9986" max="9986" width="9" style="8" customWidth="1"/>
    <col min="9987" max="9988" width="9.77734375" style="8" customWidth="1"/>
    <col min="9989" max="9989" width="11.21875" style="8" customWidth="1"/>
    <col min="9990" max="9990" width="2.77734375" style="8" customWidth="1"/>
    <col min="9991" max="9991" width="3.5546875" style="8" customWidth="1"/>
    <col min="9992" max="10236" width="9.21875" style="8"/>
    <col min="10237" max="10237" width="8.77734375" style="8" customWidth="1"/>
    <col min="10238" max="10238" width="9.77734375" style="8" customWidth="1"/>
    <col min="10239" max="10239" width="14.44140625" style="8" customWidth="1"/>
    <col min="10240" max="10240" width="7.21875" style="8" customWidth="1"/>
    <col min="10241" max="10241" width="5.5546875" style="8" customWidth="1"/>
    <col min="10242" max="10242" width="9" style="8" customWidth="1"/>
    <col min="10243" max="10244" width="9.77734375" style="8" customWidth="1"/>
    <col min="10245" max="10245" width="11.21875" style="8" customWidth="1"/>
    <col min="10246" max="10246" width="2.77734375" style="8" customWidth="1"/>
    <col min="10247" max="10247" width="3.5546875" style="8" customWidth="1"/>
    <col min="10248" max="10492" width="9.21875" style="8"/>
    <col min="10493" max="10493" width="8.77734375" style="8" customWidth="1"/>
    <col min="10494" max="10494" width="9.77734375" style="8" customWidth="1"/>
    <col min="10495" max="10495" width="14.44140625" style="8" customWidth="1"/>
    <col min="10496" max="10496" width="7.21875" style="8" customWidth="1"/>
    <col min="10497" max="10497" width="5.5546875" style="8" customWidth="1"/>
    <col min="10498" max="10498" width="9" style="8" customWidth="1"/>
    <col min="10499" max="10500" width="9.77734375" style="8" customWidth="1"/>
    <col min="10501" max="10501" width="11.21875" style="8" customWidth="1"/>
    <col min="10502" max="10502" width="2.77734375" style="8" customWidth="1"/>
    <col min="10503" max="10503" width="3.5546875" style="8" customWidth="1"/>
    <col min="10504" max="10748" width="9.21875" style="8"/>
    <col min="10749" max="10749" width="8.77734375" style="8" customWidth="1"/>
    <col min="10750" max="10750" width="9.77734375" style="8" customWidth="1"/>
    <col min="10751" max="10751" width="14.44140625" style="8" customWidth="1"/>
    <col min="10752" max="10752" width="7.21875" style="8" customWidth="1"/>
    <col min="10753" max="10753" width="5.5546875" style="8" customWidth="1"/>
    <col min="10754" max="10754" width="9" style="8" customWidth="1"/>
    <col min="10755" max="10756" width="9.77734375" style="8" customWidth="1"/>
    <col min="10757" max="10757" width="11.21875" style="8" customWidth="1"/>
    <col min="10758" max="10758" width="2.77734375" style="8" customWidth="1"/>
    <col min="10759" max="10759" width="3.5546875" style="8" customWidth="1"/>
    <col min="10760" max="11004" width="9.21875" style="8"/>
    <col min="11005" max="11005" width="8.77734375" style="8" customWidth="1"/>
    <col min="11006" max="11006" width="9.77734375" style="8" customWidth="1"/>
    <col min="11007" max="11007" width="14.44140625" style="8" customWidth="1"/>
    <col min="11008" max="11008" width="7.21875" style="8" customWidth="1"/>
    <col min="11009" max="11009" width="5.5546875" style="8" customWidth="1"/>
    <col min="11010" max="11010" width="9" style="8" customWidth="1"/>
    <col min="11011" max="11012" width="9.77734375" style="8" customWidth="1"/>
    <col min="11013" max="11013" width="11.21875" style="8" customWidth="1"/>
    <col min="11014" max="11014" width="2.77734375" style="8" customWidth="1"/>
    <col min="11015" max="11015" width="3.5546875" style="8" customWidth="1"/>
    <col min="11016" max="11260" width="9.21875" style="8"/>
    <col min="11261" max="11261" width="8.77734375" style="8" customWidth="1"/>
    <col min="11262" max="11262" width="9.77734375" style="8" customWidth="1"/>
    <col min="11263" max="11263" width="14.44140625" style="8" customWidth="1"/>
    <col min="11264" max="11264" width="7.21875" style="8" customWidth="1"/>
    <col min="11265" max="11265" width="5.5546875" style="8" customWidth="1"/>
    <col min="11266" max="11266" width="9" style="8" customWidth="1"/>
    <col min="11267" max="11268" width="9.77734375" style="8" customWidth="1"/>
    <col min="11269" max="11269" width="11.21875" style="8" customWidth="1"/>
    <col min="11270" max="11270" width="2.77734375" style="8" customWidth="1"/>
    <col min="11271" max="11271" width="3.5546875" style="8" customWidth="1"/>
    <col min="11272" max="11516" width="9.21875" style="8"/>
    <col min="11517" max="11517" width="8.77734375" style="8" customWidth="1"/>
    <col min="11518" max="11518" width="9.77734375" style="8" customWidth="1"/>
    <col min="11519" max="11519" width="14.44140625" style="8" customWidth="1"/>
    <col min="11520" max="11520" width="7.21875" style="8" customWidth="1"/>
    <col min="11521" max="11521" width="5.5546875" style="8" customWidth="1"/>
    <col min="11522" max="11522" width="9" style="8" customWidth="1"/>
    <col min="11523" max="11524" width="9.77734375" style="8" customWidth="1"/>
    <col min="11525" max="11525" width="11.21875" style="8" customWidth="1"/>
    <col min="11526" max="11526" width="2.77734375" style="8" customWidth="1"/>
    <col min="11527" max="11527" width="3.5546875" style="8" customWidth="1"/>
    <col min="11528" max="11772" width="9.21875" style="8"/>
    <col min="11773" max="11773" width="8.77734375" style="8" customWidth="1"/>
    <col min="11774" max="11774" width="9.77734375" style="8" customWidth="1"/>
    <col min="11775" max="11775" width="14.44140625" style="8" customWidth="1"/>
    <col min="11776" max="11776" width="7.21875" style="8" customWidth="1"/>
    <col min="11777" max="11777" width="5.5546875" style="8" customWidth="1"/>
    <col min="11778" max="11778" width="9" style="8" customWidth="1"/>
    <col min="11779" max="11780" width="9.77734375" style="8" customWidth="1"/>
    <col min="11781" max="11781" width="11.21875" style="8" customWidth="1"/>
    <col min="11782" max="11782" width="2.77734375" style="8" customWidth="1"/>
    <col min="11783" max="11783" width="3.5546875" style="8" customWidth="1"/>
    <col min="11784" max="12028" width="9.21875" style="8"/>
    <col min="12029" max="12029" width="8.77734375" style="8" customWidth="1"/>
    <col min="12030" max="12030" width="9.77734375" style="8" customWidth="1"/>
    <col min="12031" max="12031" width="14.44140625" style="8" customWidth="1"/>
    <col min="12032" max="12032" width="7.21875" style="8" customWidth="1"/>
    <col min="12033" max="12033" width="5.5546875" style="8" customWidth="1"/>
    <col min="12034" max="12034" width="9" style="8" customWidth="1"/>
    <col min="12035" max="12036" width="9.77734375" style="8" customWidth="1"/>
    <col min="12037" max="12037" width="11.21875" style="8" customWidth="1"/>
    <col min="12038" max="12038" width="2.77734375" style="8" customWidth="1"/>
    <col min="12039" max="12039" width="3.5546875" style="8" customWidth="1"/>
    <col min="12040" max="12284" width="9.21875" style="8"/>
    <col min="12285" max="12285" width="8.77734375" style="8" customWidth="1"/>
    <col min="12286" max="12286" width="9.77734375" style="8" customWidth="1"/>
    <col min="12287" max="12287" width="14.44140625" style="8" customWidth="1"/>
    <col min="12288" max="12288" width="7.21875" style="8" customWidth="1"/>
    <col min="12289" max="12289" width="5.5546875" style="8" customWidth="1"/>
    <col min="12290" max="12290" width="9" style="8" customWidth="1"/>
    <col min="12291" max="12292" width="9.77734375" style="8" customWidth="1"/>
    <col min="12293" max="12293" width="11.21875" style="8" customWidth="1"/>
    <col min="12294" max="12294" width="2.77734375" style="8" customWidth="1"/>
    <col min="12295" max="12295" width="3.5546875" style="8" customWidth="1"/>
    <col min="12296" max="12540" width="9.21875" style="8"/>
    <col min="12541" max="12541" width="8.77734375" style="8" customWidth="1"/>
    <col min="12542" max="12542" width="9.77734375" style="8" customWidth="1"/>
    <col min="12543" max="12543" width="14.44140625" style="8" customWidth="1"/>
    <col min="12544" max="12544" width="7.21875" style="8" customWidth="1"/>
    <col min="12545" max="12545" width="5.5546875" style="8" customWidth="1"/>
    <col min="12546" max="12546" width="9" style="8" customWidth="1"/>
    <col min="12547" max="12548" width="9.77734375" style="8" customWidth="1"/>
    <col min="12549" max="12549" width="11.21875" style="8" customWidth="1"/>
    <col min="12550" max="12550" width="2.77734375" style="8" customWidth="1"/>
    <col min="12551" max="12551" width="3.5546875" style="8" customWidth="1"/>
    <col min="12552" max="12796" width="9.21875" style="8"/>
    <col min="12797" max="12797" width="8.77734375" style="8" customWidth="1"/>
    <col min="12798" max="12798" width="9.77734375" style="8" customWidth="1"/>
    <col min="12799" max="12799" width="14.44140625" style="8" customWidth="1"/>
    <col min="12800" max="12800" width="7.21875" style="8" customWidth="1"/>
    <col min="12801" max="12801" width="5.5546875" style="8" customWidth="1"/>
    <col min="12802" max="12802" width="9" style="8" customWidth="1"/>
    <col min="12803" max="12804" width="9.77734375" style="8" customWidth="1"/>
    <col min="12805" max="12805" width="11.21875" style="8" customWidth="1"/>
    <col min="12806" max="12806" width="2.77734375" style="8" customWidth="1"/>
    <col min="12807" max="12807" width="3.5546875" style="8" customWidth="1"/>
    <col min="12808" max="13052" width="9.21875" style="8"/>
    <col min="13053" max="13053" width="8.77734375" style="8" customWidth="1"/>
    <col min="13054" max="13054" width="9.77734375" style="8" customWidth="1"/>
    <col min="13055" max="13055" width="14.44140625" style="8" customWidth="1"/>
    <col min="13056" max="13056" width="7.21875" style="8" customWidth="1"/>
    <col min="13057" max="13057" width="5.5546875" style="8" customWidth="1"/>
    <col min="13058" max="13058" width="9" style="8" customWidth="1"/>
    <col min="13059" max="13060" width="9.77734375" style="8" customWidth="1"/>
    <col min="13061" max="13061" width="11.21875" style="8" customWidth="1"/>
    <col min="13062" max="13062" width="2.77734375" style="8" customWidth="1"/>
    <col min="13063" max="13063" width="3.5546875" style="8" customWidth="1"/>
    <col min="13064" max="13308" width="9.21875" style="8"/>
    <col min="13309" max="13309" width="8.77734375" style="8" customWidth="1"/>
    <col min="13310" max="13310" width="9.77734375" style="8" customWidth="1"/>
    <col min="13311" max="13311" width="14.44140625" style="8" customWidth="1"/>
    <col min="13312" max="13312" width="7.21875" style="8" customWidth="1"/>
    <col min="13313" max="13313" width="5.5546875" style="8" customWidth="1"/>
    <col min="13314" max="13314" width="9" style="8" customWidth="1"/>
    <col min="13315" max="13316" width="9.77734375" style="8" customWidth="1"/>
    <col min="13317" max="13317" width="11.21875" style="8" customWidth="1"/>
    <col min="13318" max="13318" width="2.77734375" style="8" customWidth="1"/>
    <col min="13319" max="13319" width="3.5546875" style="8" customWidth="1"/>
    <col min="13320" max="13564" width="9.21875" style="8"/>
    <col min="13565" max="13565" width="8.77734375" style="8" customWidth="1"/>
    <col min="13566" max="13566" width="9.77734375" style="8" customWidth="1"/>
    <col min="13567" max="13567" width="14.44140625" style="8" customWidth="1"/>
    <col min="13568" max="13568" width="7.21875" style="8" customWidth="1"/>
    <col min="13569" max="13569" width="5.5546875" style="8" customWidth="1"/>
    <col min="13570" max="13570" width="9" style="8" customWidth="1"/>
    <col min="13571" max="13572" width="9.77734375" style="8" customWidth="1"/>
    <col min="13573" max="13573" width="11.21875" style="8" customWidth="1"/>
    <col min="13574" max="13574" width="2.77734375" style="8" customWidth="1"/>
    <col min="13575" max="13575" width="3.5546875" style="8" customWidth="1"/>
    <col min="13576" max="13820" width="9.21875" style="8"/>
    <col min="13821" max="13821" width="8.77734375" style="8" customWidth="1"/>
    <col min="13822" max="13822" width="9.77734375" style="8" customWidth="1"/>
    <col min="13823" max="13823" width="14.44140625" style="8" customWidth="1"/>
    <col min="13824" max="13824" width="7.21875" style="8" customWidth="1"/>
    <col min="13825" max="13825" width="5.5546875" style="8" customWidth="1"/>
    <col min="13826" max="13826" width="9" style="8" customWidth="1"/>
    <col min="13827" max="13828" width="9.77734375" style="8" customWidth="1"/>
    <col min="13829" max="13829" width="11.21875" style="8" customWidth="1"/>
    <col min="13830" max="13830" width="2.77734375" style="8" customWidth="1"/>
    <col min="13831" max="13831" width="3.5546875" style="8" customWidth="1"/>
    <col min="13832" max="14076" width="9.21875" style="8"/>
    <col min="14077" max="14077" width="8.77734375" style="8" customWidth="1"/>
    <col min="14078" max="14078" width="9.77734375" style="8" customWidth="1"/>
    <col min="14079" max="14079" width="14.44140625" style="8" customWidth="1"/>
    <col min="14080" max="14080" width="7.21875" style="8" customWidth="1"/>
    <col min="14081" max="14081" width="5.5546875" style="8" customWidth="1"/>
    <col min="14082" max="14082" width="9" style="8" customWidth="1"/>
    <col min="14083" max="14084" width="9.77734375" style="8" customWidth="1"/>
    <col min="14085" max="14085" width="11.21875" style="8" customWidth="1"/>
    <col min="14086" max="14086" width="2.77734375" style="8" customWidth="1"/>
    <col min="14087" max="14087" width="3.5546875" style="8" customWidth="1"/>
    <col min="14088" max="14332" width="9.21875" style="8"/>
    <col min="14333" max="14333" width="8.77734375" style="8" customWidth="1"/>
    <col min="14334" max="14334" width="9.77734375" style="8" customWidth="1"/>
    <col min="14335" max="14335" width="14.44140625" style="8" customWidth="1"/>
    <col min="14336" max="14336" width="7.21875" style="8" customWidth="1"/>
    <col min="14337" max="14337" width="5.5546875" style="8" customWidth="1"/>
    <col min="14338" max="14338" width="9" style="8" customWidth="1"/>
    <col min="14339" max="14340" width="9.77734375" style="8" customWidth="1"/>
    <col min="14341" max="14341" width="11.21875" style="8" customWidth="1"/>
    <col min="14342" max="14342" width="2.77734375" style="8" customWidth="1"/>
    <col min="14343" max="14343" width="3.5546875" style="8" customWidth="1"/>
    <col min="14344" max="14588" width="9.21875" style="8"/>
    <col min="14589" max="14589" width="8.77734375" style="8" customWidth="1"/>
    <col min="14590" max="14590" width="9.77734375" style="8" customWidth="1"/>
    <col min="14591" max="14591" width="14.44140625" style="8" customWidth="1"/>
    <col min="14592" max="14592" width="7.21875" style="8" customWidth="1"/>
    <col min="14593" max="14593" width="5.5546875" style="8" customWidth="1"/>
    <col min="14594" max="14594" width="9" style="8" customWidth="1"/>
    <col min="14595" max="14596" width="9.77734375" style="8" customWidth="1"/>
    <col min="14597" max="14597" width="11.21875" style="8" customWidth="1"/>
    <col min="14598" max="14598" width="2.77734375" style="8" customWidth="1"/>
    <col min="14599" max="14599" width="3.5546875" style="8" customWidth="1"/>
    <col min="14600" max="14844" width="9.21875" style="8"/>
    <col min="14845" max="14845" width="8.77734375" style="8" customWidth="1"/>
    <col min="14846" max="14846" width="9.77734375" style="8" customWidth="1"/>
    <col min="14847" max="14847" width="14.44140625" style="8" customWidth="1"/>
    <col min="14848" max="14848" width="7.21875" style="8" customWidth="1"/>
    <col min="14849" max="14849" width="5.5546875" style="8" customWidth="1"/>
    <col min="14850" max="14850" width="9" style="8" customWidth="1"/>
    <col min="14851" max="14852" width="9.77734375" style="8" customWidth="1"/>
    <col min="14853" max="14853" width="11.21875" style="8" customWidth="1"/>
    <col min="14854" max="14854" width="2.77734375" style="8" customWidth="1"/>
    <col min="14855" max="14855" width="3.5546875" style="8" customWidth="1"/>
    <col min="14856" max="15100" width="9.21875" style="8"/>
    <col min="15101" max="15101" width="8.77734375" style="8" customWidth="1"/>
    <col min="15102" max="15102" width="9.77734375" style="8" customWidth="1"/>
    <col min="15103" max="15103" width="14.44140625" style="8" customWidth="1"/>
    <col min="15104" max="15104" width="7.21875" style="8" customWidth="1"/>
    <col min="15105" max="15105" width="5.5546875" style="8" customWidth="1"/>
    <col min="15106" max="15106" width="9" style="8" customWidth="1"/>
    <col min="15107" max="15108" width="9.77734375" style="8" customWidth="1"/>
    <col min="15109" max="15109" width="11.21875" style="8" customWidth="1"/>
    <col min="15110" max="15110" width="2.77734375" style="8" customWidth="1"/>
    <col min="15111" max="15111" width="3.5546875" style="8" customWidth="1"/>
    <col min="15112" max="15356" width="9.21875" style="8"/>
    <col min="15357" max="15357" width="8.77734375" style="8" customWidth="1"/>
    <col min="15358" max="15358" width="9.77734375" style="8" customWidth="1"/>
    <col min="15359" max="15359" width="14.44140625" style="8" customWidth="1"/>
    <col min="15360" max="15360" width="7.21875" style="8" customWidth="1"/>
    <col min="15361" max="15361" width="5.5546875" style="8" customWidth="1"/>
    <col min="15362" max="15362" width="9" style="8" customWidth="1"/>
    <col min="15363" max="15364" width="9.77734375" style="8" customWidth="1"/>
    <col min="15365" max="15365" width="11.21875" style="8" customWidth="1"/>
    <col min="15366" max="15366" width="2.77734375" style="8" customWidth="1"/>
    <col min="15367" max="15367" width="3.5546875" style="8" customWidth="1"/>
    <col min="15368" max="15612" width="9.21875" style="8"/>
    <col min="15613" max="15613" width="8.77734375" style="8" customWidth="1"/>
    <col min="15614" max="15614" width="9.77734375" style="8" customWidth="1"/>
    <col min="15615" max="15615" width="14.44140625" style="8" customWidth="1"/>
    <col min="15616" max="15616" width="7.21875" style="8" customWidth="1"/>
    <col min="15617" max="15617" width="5.5546875" style="8" customWidth="1"/>
    <col min="15618" max="15618" width="9" style="8" customWidth="1"/>
    <col min="15619" max="15620" width="9.77734375" style="8" customWidth="1"/>
    <col min="15621" max="15621" width="11.21875" style="8" customWidth="1"/>
    <col min="15622" max="15622" width="2.77734375" style="8" customWidth="1"/>
    <col min="15623" max="15623" width="3.5546875" style="8" customWidth="1"/>
    <col min="15624" max="15868" width="9.21875" style="8"/>
    <col min="15869" max="15869" width="8.77734375" style="8" customWidth="1"/>
    <col min="15870" max="15870" width="9.77734375" style="8" customWidth="1"/>
    <col min="15871" max="15871" width="14.44140625" style="8" customWidth="1"/>
    <col min="15872" max="15872" width="7.21875" style="8" customWidth="1"/>
    <col min="15873" max="15873" width="5.5546875" style="8" customWidth="1"/>
    <col min="15874" max="15874" width="9" style="8" customWidth="1"/>
    <col min="15875" max="15876" width="9.77734375" style="8" customWidth="1"/>
    <col min="15877" max="15877" width="11.21875" style="8" customWidth="1"/>
    <col min="15878" max="15878" width="2.77734375" style="8" customWidth="1"/>
    <col min="15879" max="15879" width="3.5546875" style="8" customWidth="1"/>
    <col min="15880" max="16124" width="9.21875" style="8"/>
    <col min="16125" max="16125" width="8.77734375" style="8" customWidth="1"/>
    <col min="16126" max="16126" width="9.77734375" style="8" customWidth="1"/>
    <col min="16127" max="16127" width="14.44140625" style="8" customWidth="1"/>
    <col min="16128" max="16128" width="7.21875" style="8" customWidth="1"/>
    <col min="16129" max="16129" width="5.5546875" style="8" customWidth="1"/>
    <col min="16130" max="16130" width="9" style="8" customWidth="1"/>
    <col min="16131" max="16132" width="9.77734375" style="8" customWidth="1"/>
    <col min="16133" max="16133" width="11.21875" style="8" customWidth="1"/>
    <col min="16134" max="16134" width="2.77734375" style="8" customWidth="1"/>
    <col min="16135" max="16135" width="3.5546875" style="8" customWidth="1"/>
    <col min="16136" max="16384" width="9.21875" style="8"/>
  </cols>
  <sheetData>
    <row r="1" spans="1:9" ht="46.5" customHeight="1" x14ac:dyDescent="0.3">
      <c r="A1" s="152" t="s">
        <v>284</v>
      </c>
      <c r="B1" s="152"/>
      <c r="C1" s="152"/>
      <c r="D1" s="152"/>
      <c r="E1" s="152"/>
      <c r="F1" s="152"/>
      <c r="G1" s="152"/>
      <c r="H1" s="152"/>
    </row>
    <row r="2" spans="1:9" ht="16.5" customHeight="1" x14ac:dyDescent="0.3">
      <c r="A2" s="138" t="s">
        <v>0</v>
      </c>
      <c r="B2" s="138"/>
      <c r="C2" s="138"/>
      <c r="D2" s="138"/>
      <c r="E2" s="138"/>
      <c r="F2" s="138"/>
      <c r="G2" s="138"/>
      <c r="H2" s="138"/>
    </row>
    <row r="3" spans="1:9" x14ac:dyDescent="0.3">
      <c r="A3" s="116" t="s">
        <v>1</v>
      </c>
      <c r="B3" s="116"/>
      <c r="C3" s="116"/>
      <c r="D3" s="116"/>
      <c r="E3" s="153" t="str">
        <f ca="1">TEXT(TODAY(),"DD/MM/YYYY")</f>
        <v>04/09/2025</v>
      </c>
      <c r="F3" s="153"/>
      <c r="G3" s="153"/>
      <c r="H3" s="153"/>
    </row>
    <row r="4" spans="1:9" ht="15" customHeight="1" x14ac:dyDescent="0.3">
      <c r="A4" s="116" t="s">
        <v>2</v>
      </c>
      <c r="B4" s="116"/>
      <c r="C4" s="116"/>
      <c r="D4" s="116"/>
      <c r="E4" s="141" t="s">
        <v>196</v>
      </c>
      <c r="F4" s="141"/>
      <c r="G4" s="141"/>
      <c r="H4" s="141"/>
    </row>
    <row r="5" spans="1:9" x14ac:dyDescent="0.3">
      <c r="A5" s="116" t="s">
        <v>3</v>
      </c>
      <c r="B5" s="116"/>
      <c r="C5" s="116"/>
      <c r="D5" s="116"/>
      <c r="E5" s="154">
        <v>45873</v>
      </c>
      <c r="F5" s="154"/>
      <c r="G5" s="154"/>
      <c r="H5" s="154"/>
    </row>
    <row r="6" spans="1:9" ht="16.5" customHeight="1" x14ac:dyDescent="0.3">
      <c r="A6" s="116" t="s">
        <v>4</v>
      </c>
      <c r="B6" s="116"/>
      <c r="C6" s="116"/>
      <c r="D6" s="116"/>
      <c r="E6" s="136" t="s">
        <v>227</v>
      </c>
      <c r="F6" s="136"/>
      <c r="G6" s="136"/>
      <c r="H6" s="136"/>
      <c r="I6" s="58" t="s">
        <v>228</v>
      </c>
    </row>
    <row r="7" spans="1:9" ht="15" customHeight="1" x14ac:dyDescent="0.3">
      <c r="A7" s="116" t="s">
        <v>5</v>
      </c>
      <c r="B7" s="116"/>
      <c r="C7" s="116"/>
      <c r="D7" s="116"/>
      <c r="E7" s="136" t="str">
        <f>E6</f>
        <v>M/s.Arimas Real Estate Private Limited</v>
      </c>
      <c r="F7" s="136"/>
      <c r="G7" s="136"/>
      <c r="H7" s="136"/>
      <c r="I7" s="58"/>
    </row>
    <row r="8" spans="1:9" x14ac:dyDescent="0.3">
      <c r="A8" s="116" t="s">
        <v>6</v>
      </c>
      <c r="B8" s="116"/>
      <c r="C8" s="116"/>
      <c r="D8" s="116"/>
      <c r="E8" s="142" t="s">
        <v>158</v>
      </c>
      <c r="F8" s="142"/>
      <c r="G8" s="142"/>
      <c r="H8" s="142"/>
    </row>
    <row r="9" spans="1:9" x14ac:dyDescent="0.3">
      <c r="A9" s="116" t="s">
        <v>247</v>
      </c>
      <c r="B9" s="116"/>
      <c r="C9" s="116"/>
      <c r="D9" s="116"/>
      <c r="E9" s="116" t="s">
        <v>193</v>
      </c>
      <c r="F9" s="116"/>
      <c r="G9" s="116"/>
      <c r="H9" s="116"/>
    </row>
    <row r="10" spans="1:9" x14ac:dyDescent="0.3">
      <c r="A10" s="116" t="s">
        <v>248</v>
      </c>
      <c r="B10" s="116"/>
      <c r="C10" s="116"/>
      <c r="D10" s="116"/>
      <c r="E10" s="116" t="s">
        <v>308</v>
      </c>
      <c r="F10" s="116"/>
      <c r="G10" s="116"/>
      <c r="H10" s="116"/>
    </row>
    <row r="11" spans="1:9" x14ac:dyDescent="0.3">
      <c r="A11" s="149" t="s">
        <v>7</v>
      </c>
      <c r="B11" s="149"/>
      <c r="C11" s="149"/>
      <c r="D11" s="149"/>
      <c r="E11" s="80" t="s">
        <v>306</v>
      </c>
      <c r="F11" s="149"/>
      <c r="G11" s="149"/>
      <c r="H11" s="149"/>
    </row>
    <row r="12" spans="1:9" x14ac:dyDescent="0.3">
      <c r="A12" s="116" t="s">
        <v>8</v>
      </c>
      <c r="B12" s="116"/>
      <c r="C12" s="116"/>
      <c r="D12" s="116"/>
      <c r="E12" s="80" t="s">
        <v>194</v>
      </c>
      <c r="F12" s="80"/>
      <c r="G12" s="80"/>
      <c r="H12" s="80"/>
    </row>
    <row r="13" spans="1:9" x14ac:dyDescent="0.3">
      <c r="A13" s="116" t="s">
        <v>9</v>
      </c>
      <c r="B13" s="116"/>
      <c r="C13" s="116"/>
      <c r="D13" s="116"/>
      <c r="E13" s="149" t="s">
        <v>157</v>
      </c>
      <c r="F13" s="149"/>
      <c r="G13" s="149"/>
      <c r="H13" s="149"/>
    </row>
    <row r="14" spans="1:9" ht="34.5" customHeight="1" x14ac:dyDescent="0.3">
      <c r="A14" s="136" t="s">
        <v>10</v>
      </c>
      <c r="B14" s="136"/>
      <c r="C14" s="136" t="str">
        <f>CONCATENATE((IF(OR(E8="",E8="NA"),"",E8)),", ",(IF(OR(A15="",A15="NA"),"",A15)),".",(IF(OR(C15="",C15="NA"),"",C15)),", ",(IF(OR(C16="",C16="NA"),"",C16)),", ",(IF(OR(G16="",G16="NA"),"",G16)),", ",(IF(OR(C17="",C17="NA"),"",C17)),", ",(IF(OR(C18="",C18="NA"),"",C18)),", ",(IF(OR(G17="",G17="NA"),"",G17)),".")</f>
        <v>Kalpataru Elitus, CTS No.533PT 533/1, 533/2 PT and 553 PT, LBS Marg, Nahur, Mulund West, Kurla, Mumbai.</v>
      </c>
      <c r="D14" s="136"/>
      <c r="E14" s="136"/>
      <c r="F14" s="136"/>
      <c r="G14" s="136"/>
      <c r="H14" s="136"/>
    </row>
    <row r="15" spans="1:9" ht="15.75" customHeight="1" x14ac:dyDescent="0.3">
      <c r="A15" s="80" t="s">
        <v>198</v>
      </c>
      <c r="B15" s="80"/>
      <c r="C15" s="80" t="s">
        <v>162</v>
      </c>
      <c r="D15" s="80"/>
      <c r="E15" s="80"/>
      <c r="F15" s="80"/>
      <c r="G15" s="80"/>
      <c r="H15" s="80"/>
    </row>
    <row r="16" spans="1:9" ht="15.75" customHeight="1" x14ac:dyDescent="0.3">
      <c r="A16" s="136" t="s">
        <v>11</v>
      </c>
      <c r="B16" s="136"/>
      <c r="C16" s="149" t="s">
        <v>159</v>
      </c>
      <c r="D16" s="149"/>
      <c r="E16" s="136" t="s">
        <v>104</v>
      </c>
      <c r="F16" s="136"/>
      <c r="G16" s="80" t="s">
        <v>163</v>
      </c>
      <c r="H16" s="80"/>
    </row>
    <row r="17" spans="1:8" x14ac:dyDescent="0.3">
      <c r="A17" s="116" t="s">
        <v>13</v>
      </c>
      <c r="B17" s="116"/>
      <c r="C17" s="80" t="s">
        <v>299</v>
      </c>
      <c r="D17" s="80"/>
      <c r="E17" s="136" t="s">
        <v>12</v>
      </c>
      <c r="F17" s="136"/>
      <c r="G17" s="150" t="s">
        <v>161</v>
      </c>
      <c r="H17" s="150"/>
    </row>
    <row r="18" spans="1:8" x14ac:dyDescent="0.3">
      <c r="A18" s="116" t="s">
        <v>105</v>
      </c>
      <c r="B18" s="116"/>
      <c r="C18" s="80" t="s">
        <v>160</v>
      </c>
      <c r="D18" s="80"/>
      <c r="E18" s="136" t="s">
        <v>14</v>
      </c>
      <c r="F18" s="136"/>
      <c r="G18" s="80">
        <v>400080</v>
      </c>
      <c r="H18" s="80"/>
    </row>
    <row r="19" spans="1:8" ht="32.25" customHeight="1" x14ac:dyDescent="0.3">
      <c r="A19" s="116" t="s">
        <v>15</v>
      </c>
      <c r="B19" s="116"/>
      <c r="C19" s="151" t="s">
        <v>165</v>
      </c>
      <c r="D19" s="151"/>
      <c r="E19" s="136" t="s">
        <v>16</v>
      </c>
      <c r="F19" s="136"/>
      <c r="G19" s="80" t="s">
        <v>164</v>
      </c>
      <c r="H19" s="80"/>
    </row>
    <row r="20" spans="1:8" ht="15" customHeight="1" x14ac:dyDescent="0.3">
      <c r="A20" s="136" t="s">
        <v>110</v>
      </c>
      <c r="B20" s="136"/>
      <c r="C20" s="136"/>
      <c r="D20" s="136"/>
      <c r="E20" s="149" t="s">
        <v>17</v>
      </c>
      <c r="F20" s="149"/>
      <c r="G20" s="149"/>
      <c r="H20" s="149"/>
    </row>
    <row r="21" spans="1:8" ht="18.75" customHeight="1" x14ac:dyDescent="0.3">
      <c r="A21" s="136"/>
      <c r="B21" s="136"/>
      <c r="C21" s="136"/>
      <c r="D21" s="136"/>
      <c r="E21" s="149"/>
      <c r="F21" s="149"/>
      <c r="G21" s="149"/>
      <c r="H21" s="149"/>
    </row>
    <row r="22" spans="1:8" ht="15" customHeight="1" x14ac:dyDescent="0.3">
      <c r="A22" s="136" t="s">
        <v>18</v>
      </c>
      <c r="B22" s="136"/>
      <c r="C22" s="136"/>
      <c r="D22" s="136"/>
      <c r="E22" s="80" t="s">
        <v>19</v>
      </c>
      <c r="F22" s="80"/>
      <c r="G22" s="80"/>
      <c r="H22" s="80"/>
    </row>
    <row r="23" spans="1:8" ht="15" customHeight="1" x14ac:dyDescent="0.3">
      <c r="A23" s="116" t="s">
        <v>20</v>
      </c>
      <c r="B23" s="116"/>
      <c r="C23" s="116"/>
      <c r="D23" s="116"/>
      <c r="E23" s="80" t="s">
        <v>166</v>
      </c>
      <c r="F23" s="80"/>
      <c r="G23" s="80"/>
      <c r="H23" s="80"/>
    </row>
    <row r="24" spans="1:8" x14ac:dyDescent="0.3">
      <c r="A24" s="116" t="s">
        <v>21</v>
      </c>
      <c r="B24" s="116"/>
      <c r="C24" s="116"/>
      <c r="D24" s="116"/>
      <c r="E24" s="80" t="s">
        <v>22</v>
      </c>
      <c r="F24" s="80"/>
      <c r="G24" s="80"/>
      <c r="H24" s="80"/>
    </row>
    <row r="25" spans="1:8" x14ac:dyDescent="0.3">
      <c r="A25" s="116" t="s">
        <v>23</v>
      </c>
      <c r="B25" s="116"/>
      <c r="C25" s="116"/>
      <c r="D25" s="116"/>
      <c r="E25" s="80" t="s">
        <v>167</v>
      </c>
      <c r="F25" s="80"/>
      <c r="G25" s="80"/>
      <c r="H25" s="80"/>
    </row>
    <row r="26" spans="1:8" x14ac:dyDescent="0.3">
      <c r="A26" s="116" t="s">
        <v>24</v>
      </c>
      <c r="B26" s="116"/>
      <c r="C26" s="116"/>
      <c r="D26" s="116"/>
      <c r="E26" s="80" t="s">
        <v>25</v>
      </c>
      <c r="F26" s="80"/>
      <c r="G26" s="80"/>
      <c r="H26" s="80"/>
    </row>
    <row r="27" spans="1:8" x14ac:dyDescent="0.3">
      <c r="A27" s="116" t="s">
        <v>117</v>
      </c>
      <c r="B27" s="116"/>
      <c r="C27" s="116"/>
      <c r="D27" s="116"/>
      <c r="E27" s="80" t="s">
        <v>118</v>
      </c>
      <c r="F27" s="80"/>
      <c r="G27" s="80"/>
      <c r="H27" s="80"/>
    </row>
    <row r="28" spans="1:8" ht="15" customHeight="1" x14ac:dyDescent="0.3">
      <c r="A28" s="136" t="s">
        <v>34</v>
      </c>
      <c r="B28" s="136"/>
      <c r="C28" s="136"/>
      <c r="D28" s="136"/>
      <c r="E28" s="141" t="s">
        <v>195</v>
      </c>
      <c r="F28" s="141"/>
      <c r="G28" s="141"/>
      <c r="H28" s="141"/>
    </row>
    <row r="29" spans="1:8" x14ac:dyDescent="0.3">
      <c r="A29" s="136" t="s">
        <v>131</v>
      </c>
      <c r="B29" s="136"/>
      <c r="C29" s="136"/>
      <c r="D29" s="136"/>
      <c r="E29" s="136" t="s">
        <v>35</v>
      </c>
      <c r="F29" s="136"/>
      <c r="G29" s="136"/>
      <c r="H29" s="136"/>
    </row>
    <row r="30" spans="1:8" s="12" customFormat="1" x14ac:dyDescent="0.3">
      <c r="A30" s="135" t="s">
        <v>132</v>
      </c>
      <c r="B30" s="135"/>
      <c r="C30" s="145" t="s">
        <v>30</v>
      </c>
      <c r="D30" s="145"/>
      <c r="E30" s="145"/>
      <c r="F30" s="145" t="s">
        <v>32</v>
      </c>
      <c r="G30" s="145"/>
      <c r="H30" s="145"/>
    </row>
    <row r="31" spans="1:8" s="12" customFormat="1" x14ac:dyDescent="0.3">
      <c r="A31" s="134" t="s">
        <v>26</v>
      </c>
      <c r="B31" s="134" t="s">
        <v>31</v>
      </c>
      <c r="C31" s="144" t="s">
        <v>31</v>
      </c>
      <c r="D31" s="144"/>
      <c r="E31" s="144"/>
      <c r="F31" s="139" t="s">
        <v>290</v>
      </c>
      <c r="G31" s="144"/>
      <c r="H31" s="144"/>
    </row>
    <row r="32" spans="1:8" x14ac:dyDescent="0.3">
      <c r="A32" s="134" t="s">
        <v>27</v>
      </c>
      <c r="B32" s="134" t="s">
        <v>31</v>
      </c>
      <c r="C32" s="144" t="s">
        <v>31</v>
      </c>
      <c r="D32" s="144"/>
      <c r="E32" s="144"/>
      <c r="F32" s="144" t="s">
        <v>200</v>
      </c>
      <c r="G32" s="144"/>
      <c r="H32" s="144"/>
    </row>
    <row r="33" spans="1:8" s="12" customFormat="1" x14ac:dyDescent="0.3">
      <c r="A33" s="134" t="s">
        <v>29</v>
      </c>
      <c r="B33" s="134" t="s">
        <v>31</v>
      </c>
      <c r="C33" s="144" t="s">
        <v>31</v>
      </c>
      <c r="D33" s="144"/>
      <c r="E33" s="144"/>
      <c r="F33" s="144" t="s">
        <v>168</v>
      </c>
      <c r="G33" s="144"/>
      <c r="H33" s="144"/>
    </row>
    <row r="34" spans="1:8" x14ac:dyDescent="0.3">
      <c r="A34" s="134" t="s">
        <v>28</v>
      </c>
      <c r="B34" s="134" t="s">
        <v>31</v>
      </c>
      <c r="C34" s="144" t="s">
        <v>31</v>
      </c>
      <c r="D34" s="144"/>
      <c r="E34" s="144"/>
      <c r="F34" s="144" t="s">
        <v>289</v>
      </c>
      <c r="G34" s="144"/>
      <c r="H34" s="144"/>
    </row>
    <row r="35" spans="1:8" x14ac:dyDescent="0.3">
      <c r="A35" s="116" t="s">
        <v>33</v>
      </c>
      <c r="B35" s="116"/>
      <c r="C35" s="116"/>
      <c r="D35" s="116"/>
      <c r="E35" s="116"/>
      <c r="F35" s="116"/>
      <c r="G35" s="116"/>
      <c r="H35" s="116"/>
    </row>
    <row r="36" spans="1:8" ht="15.75" customHeight="1" x14ac:dyDescent="0.3">
      <c r="A36" s="142" t="s">
        <v>320</v>
      </c>
      <c r="B36" s="142"/>
      <c r="C36" s="205" t="s">
        <v>321</v>
      </c>
      <c r="D36" s="147"/>
      <c r="E36" s="147"/>
      <c r="F36" s="147"/>
      <c r="G36" s="147"/>
      <c r="H36" s="148"/>
    </row>
    <row r="37" spans="1:8" ht="15.75" customHeight="1" x14ac:dyDescent="0.3">
      <c r="A37" s="142" t="s">
        <v>245</v>
      </c>
      <c r="B37" s="142"/>
      <c r="C37" s="146" t="s">
        <v>246</v>
      </c>
      <c r="D37" s="147"/>
      <c r="E37" s="147"/>
      <c r="F37" s="147"/>
      <c r="G37" s="147"/>
      <c r="H37" s="148"/>
    </row>
    <row r="38" spans="1:8" x14ac:dyDescent="0.3">
      <c r="A38" s="142" t="s">
        <v>36</v>
      </c>
      <c r="B38" s="142"/>
      <c r="C38" s="142"/>
      <c r="D38" s="142"/>
      <c r="E38" s="142"/>
      <c r="F38" s="142"/>
      <c r="G38" s="142"/>
      <c r="H38" s="142"/>
    </row>
    <row r="39" spans="1:8" x14ac:dyDescent="0.3">
      <c r="A39" s="116" t="s">
        <v>37</v>
      </c>
      <c r="B39" s="116"/>
      <c r="C39" s="116"/>
      <c r="D39" s="116"/>
      <c r="E39" s="143">
        <v>26367.200000000001</v>
      </c>
      <c r="F39" s="143"/>
      <c r="G39" s="143"/>
      <c r="H39" s="143"/>
    </row>
    <row r="40" spans="1:8" x14ac:dyDescent="0.3">
      <c r="A40" s="116" t="s">
        <v>38</v>
      </c>
      <c r="B40" s="116"/>
      <c r="C40" s="116"/>
      <c r="D40" s="116"/>
      <c r="E40" s="140">
        <v>1</v>
      </c>
      <c r="F40" s="140"/>
      <c r="G40" s="140"/>
      <c r="H40" s="140"/>
    </row>
    <row r="41" spans="1:8" x14ac:dyDescent="0.3">
      <c r="A41" s="116" t="s">
        <v>39</v>
      </c>
      <c r="B41" s="116"/>
      <c r="C41" s="116"/>
      <c r="D41" s="116"/>
      <c r="E41" s="140">
        <f>E43/E39-E40</f>
        <v>0.95823325950423244</v>
      </c>
      <c r="F41" s="140"/>
      <c r="G41" s="140"/>
      <c r="H41" s="140"/>
    </row>
    <row r="42" spans="1:8" x14ac:dyDescent="0.3">
      <c r="A42" s="116" t="s">
        <v>40</v>
      </c>
      <c r="B42" s="116"/>
      <c r="C42" s="116"/>
      <c r="D42" s="116"/>
      <c r="E42" s="140">
        <f>E40+E41</f>
        <v>1.9582332595042324</v>
      </c>
      <c r="F42" s="140"/>
      <c r="G42" s="140"/>
      <c r="H42" s="140"/>
    </row>
    <row r="43" spans="1:8" x14ac:dyDescent="0.3">
      <c r="A43" s="116" t="s">
        <v>130</v>
      </c>
      <c r="B43" s="116"/>
      <c r="C43" s="116"/>
      <c r="D43" s="116"/>
      <c r="E43" s="175">
        <v>51633.127999999997</v>
      </c>
      <c r="F43" s="175"/>
      <c r="G43" s="175"/>
      <c r="H43" s="175"/>
    </row>
    <row r="44" spans="1:8" x14ac:dyDescent="0.3">
      <c r="A44" s="149" t="s">
        <v>41</v>
      </c>
      <c r="B44" s="149"/>
      <c r="C44" s="149"/>
      <c r="D44" s="149"/>
      <c r="E44" s="149" t="s">
        <v>197</v>
      </c>
      <c r="F44" s="149"/>
      <c r="G44" s="149"/>
      <c r="H44" s="149"/>
    </row>
    <row r="45" spans="1:8" x14ac:dyDescent="0.3">
      <c r="A45" s="142" t="s">
        <v>42</v>
      </c>
      <c r="B45" s="142"/>
      <c r="C45" s="142"/>
      <c r="D45" s="142"/>
      <c r="E45" s="142"/>
      <c r="F45" s="142"/>
      <c r="G45" s="142"/>
      <c r="H45" s="142"/>
    </row>
    <row r="46" spans="1:8" x14ac:dyDescent="0.3">
      <c r="A46" s="136" t="s">
        <v>43</v>
      </c>
      <c r="B46" s="136"/>
      <c r="C46" s="81" t="s">
        <v>169</v>
      </c>
      <c r="D46" s="81"/>
      <c r="E46" s="81"/>
      <c r="F46" s="43" t="s">
        <v>44</v>
      </c>
      <c r="G46" s="79">
        <v>45170</v>
      </c>
      <c r="H46" s="80"/>
    </row>
    <row r="47" spans="1:8" x14ac:dyDescent="0.3">
      <c r="A47" s="173" t="s">
        <v>45</v>
      </c>
      <c r="B47" s="174"/>
      <c r="C47" s="81" t="s">
        <v>169</v>
      </c>
      <c r="D47" s="81"/>
      <c r="E47" s="81"/>
      <c r="F47" s="43" t="s">
        <v>44</v>
      </c>
      <c r="G47" s="79">
        <v>45170</v>
      </c>
      <c r="H47" s="80"/>
    </row>
    <row r="48" spans="1:8" s="11" customFormat="1" x14ac:dyDescent="0.3">
      <c r="A48" s="80" t="s">
        <v>46</v>
      </c>
      <c r="B48" s="80"/>
      <c r="C48" s="81" t="s">
        <v>282</v>
      </c>
      <c r="D48" s="117"/>
      <c r="E48" s="117"/>
      <c r="F48" s="14" t="s">
        <v>44</v>
      </c>
      <c r="G48" s="79">
        <v>45323</v>
      </c>
      <c r="H48" s="80"/>
    </row>
    <row r="49" spans="1:11" s="11" customFormat="1" ht="148.5" customHeight="1" x14ac:dyDescent="0.3">
      <c r="A49" s="80"/>
      <c r="B49" s="80"/>
      <c r="C49" s="81" t="s">
        <v>283</v>
      </c>
      <c r="D49" s="81"/>
      <c r="E49" s="81"/>
      <c r="F49" s="15" t="s">
        <v>126</v>
      </c>
      <c r="G49" s="79" t="s">
        <v>281</v>
      </c>
      <c r="H49" s="80"/>
    </row>
    <row r="50" spans="1:11" s="11" customFormat="1" x14ac:dyDescent="0.3">
      <c r="A50" s="80" t="s">
        <v>46</v>
      </c>
      <c r="B50" s="80"/>
      <c r="C50" s="81" t="s">
        <v>285</v>
      </c>
      <c r="D50" s="117"/>
      <c r="E50" s="117"/>
      <c r="F50" s="14" t="s">
        <v>44</v>
      </c>
      <c r="G50" s="79">
        <v>45470</v>
      </c>
      <c r="H50" s="80"/>
    </row>
    <row r="51" spans="1:11" s="11" customFormat="1" ht="114" customHeight="1" x14ac:dyDescent="0.3">
      <c r="A51" s="80"/>
      <c r="B51" s="80"/>
      <c r="C51" s="81" t="s">
        <v>287</v>
      </c>
      <c r="D51" s="81"/>
      <c r="E51" s="81"/>
      <c r="F51" s="15" t="s">
        <v>126</v>
      </c>
      <c r="G51" s="79" t="s">
        <v>286</v>
      </c>
      <c r="H51" s="80"/>
    </row>
    <row r="52" spans="1:11" ht="132.6" customHeight="1" x14ac:dyDescent="0.3">
      <c r="A52" s="159" t="s">
        <v>312</v>
      </c>
      <c r="B52" s="159"/>
      <c r="C52" s="171" t="s">
        <v>313</v>
      </c>
      <c r="D52" s="172"/>
      <c r="E52" s="172" t="s">
        <v>47</v>
      </c>
      <c r="F52" s="48" t="s">
        <v>44</v>
      </c>
      <c r="G52" s="179">
        <v>45835</v>
      </c>
      <c r="H52" s="170"/>
    </row>
    <row r="53" spans="1:11" x14ac:dyDescent="0.3">
      <c r="A53" s="169" t="s">
        <v>49</v>
      </c>
      <c r="B53" s="169"/>
      <c r="C53" s="169"/>
      <c r="D53" s="169"/>
      <c r="E53" s="169"/>
      <c r="F53" s="169"/>
      <c r="G53" s="169"/>
      <c r="H53" s="169"/>
    </row>
    <row r="54" spans="1:11" x14ac:dyDescent="0.3">
      <c r="A54" s="136" t="s">
        <v>129</v>
      </c>
      <c r="B54" s="136"/>
      <c r="C54" s="136"/>
      <c r="D54" s="116">
        <f>E43</f>
        <v>51633.127999999997</v>
      </c>
      <c r="E54" s="116"/>
      <c r="F54" s="116"/>
      <c r="G54" s="116"/>
      <c r="H54" s="116"/>
    </row>
    <row r="55" spans="1:11" x14ac:dyDescent="0.3">
      <c r="A55" s="80" t="s">
        <v>50</v>
      </c>
      <c r="B55" s="149"/>
      <c r="C55" s="149"/>
      <c r="D55" s="149" t="s">
        <v>270</v>
      </c>
      <c r="E55" s="149"/>
      <c r="F55" s="149"/>
      <c r="G55" s="149"/>
      <c r="H55" s="149"/>
    </row>
    <row r="56" spans="1:11" ht="50.25" customHeight="1" x14ac:dyDescent="0.3">
      <c r="A56" s="116" t="s">
        <v>51</v>
      </c>
      <c r="B56" s="116"/>
      <c r="C56" s="116"/>
      <c r="D56" s="136" t="s">
        <v>314</v>
      </c>
      <c r="E56" s="136"/>
      <c r="F56" s="136"/>
      <c r="G56" s="136"/>
      <c r="H56" s="136"/>
    </row>
    <row r="57" spans="1:11" ht="50.25" customHeight="1" x14ac:dyDescent="0.3">
      <c r="A57" s="116" t="s">
        <v>127</v>
      </c>
      <c r="B57" s="116"/>
      <c r="C57" s="116"/>
      <c r="D57" s="136" t="s">
        <v>314</v>
      </c>
      <c r="E57" s="136"/>
      <c r="F57" s="136"/>
      <c r="G57" s="136"/>
      <c r="H57" s="136"/>
    </row>
    <row r="58" spans="1:11" ht="15.75" customHeight="1" x14ac:dyDescent="0.3">
      <c r="A58" s="116" t="s">
        <v>48</v>
      </c>
      <c r="B58" s="116"/>
      <c r="C58" s="116"/>
      <c r="D58" s="136" t="s">
        <v>229</v>
      </c>
      <c r="E58" s="136"/>
      <c r="F58" s="136"/>
      <c r="G58" s="136"/>
      <c r="H58" s="136"/>
    </row>
    <row r="59" spans="1:11" ht="15.75" customHeight="1" x14ac:dyDescent="0.3">
      <c r="A59" s="116" t="s">
        <v>123</v>
      </c>
      <c r="B59" s="116"/>
      <c r="C59" s="116"/>
      <c r="D59" s="136" t="s">
        <v>124</v>
      </c>
      <c r="E59" s="136"/>
      <c r="F59" s="136"/>
      <c r="G59" s="136"/>
      <c r="H59" s="136"/>
    </row>
    <row r="60" spans="1:11" ht="15.75" customHeight="1" x14ac:dyDescent="0.3">
      <c r="A60" s="116" t="s">
        <v>125</v>
      </c>
      <c r="B60" s="116"/>
      <c r="C60" s="116"/>
      <c r="D60" s="136" t="s">
        <v>25</v>
      </c>
      <c r="E60" s="136"/>
      <c r="F60" s="136"/>
      <c r="G60" s="136"/>
      <c r="H60" s="136"/>
      <c r="J60" s="23"/>
      <c r="K60" s="23"/>
    </row>
    <row r="61" spans="1:11" s="11" customFormat="1" ht="15.75" customHeight="1" x14ac:dyDescent="0.3">
      <c r="A61" s="149" t="s">
        <v>122</v>
      </c>
      <c r="B61" s="149"/>
      <c r="C61" s="149"/>
      <c r="D61" s="80" t="s">
        <v>199</v>
      </c>
      <c r="E61" s="80"/>
      <c r="F61" s="80"/>
      <c r="G61" s="80"/>
      <c r="H61" s="80"/>
      <c r="J61" s="49"/>
      <c r="K61" s="49"/>
    </row>
    <row r="62" spans="1:11" x14ac:dyDescent="0.3">
      <c r="A62" s="149" t="s">
        <v>317</v>
      </c>
      <c r="B62" s="149"/>
      <c r="C62" s="149"/>
      <c r="D62" s="80" t="s">
        <v>31</v>
      </c>
      <c r="E62" s="80"/>
      <c r="F62" s="80"/>
      <c r="G62" s="80"/>
      <c r="H62" s="80"/>
    </row>
    <row r="63" spans="1:11" ht="33" customHeight="1" thickBot="1" x14ac:dyDescent="0.35">
      <c r="A63" s="180" t="s">
        <v>315</v>
      </c>
      <c r="B63" s="180"/>
      <c r="C63" s="180"/>
      <c r="D63" s="180" t="s">
        <v>316</v>
      </c>
      <c r="E63" s="180"/>
      <c r="F63" s="180"/>
      <c r="G63" s="180"/>
      <c r="H63" s="180"/>
    </row>
    <row r="64" spans="1:11" ht="15.75" customHeight="1" thickBot="1" x14ac:dyDescent="0.35">
      <c r="A64" s="194" t="s">
        <v>201</v>
      </c>
      <c r="B64" s="195"/>
      <c r="C64" s="195" t="s">
        <v>233</v>
      </c>
      <c r="D64" s="195"/>
      <c r="E64" s="195"/>
      <c r="F64" s="195"/>
      <c r="G64" s="195"/>
      <c r="H64" s="196"/>
      <c r="I64" s="26" t="str">
        <f ca="1">(IF(C68=0,"Work not yet Started.",IF(D68=50%,"Excavation work in process",IF(D68=100%,"Excavation work completed, ","0")))&amp;(IF(C69=0%,"",IF(D69=25%,"Footing work is process",IF(D69=50%,"Footing work Completed",IF(D69=75%,"Plinth work is process",IF(D69=100%,"Plinth work completed","0"))))))&amp;(IF(C70&gt;0,", RCC upto "&amp;C70&amp;" Slab completed",""))&amp;(IF(C71&gt;0,", Brickwork upto "&amp;C71&amp;" Floor completed"," "))&amp;(IF(C72&gt;0,", Internal Plaster upto "&amp;C72&amp;" Floor completed"," "))&amp;(IF(C73&gt;0,", External Plaster upto "&amp;C73&amp;" Floor completed"," "))&amp;(IF(C74&gt;0,", Flooring upto "&amp;C74&amp;" Floor completed"," "))&amp;(IF(C75&gt;0,", Painting upto "&amp;C75&amp;" Floor completed"," "))&amp;(IF(C76&gt;0,", Finishing upto "&amp;C76&amp;" Floor completed"," ")))</f>
        <v xml:space="preserve">Excavation work completed, Plinth work completed, RCC upto 39 Slab completed, Brickwork upto 38 Floor completed, Internal Plaster upto 38 Floor completed, External Plaster upto 38 Floor completed, Flooring upto 26 Floor completed, Painting upto 23 Floor completed </v>
      </c>
      <c r="J64" s="26"/>
      <c r="K64" s="27"/>
    </row>
    <row r="65" spans="1:11" s="11" customFormat="1" x14ac:dyDescent="0.3">
      <c r="A65" s="190" t="s">
        <v>103</v>
      </c>
      <c r="B65" s="191"/>
      <c r="C65" s="191">
        <v>1</v>
      </c>
      <c r="D65" s="191"/>
      <c r="E65" s="192" t="s">
        <v>102</v>
      </c>
      <c r="F65" s="192">
        <v>0</v>
      </c>
      <c r="G65" s="192" t="s">
        <v>116</v>
      </c>
      <c r="H65" s="193">
        <f ca="1">--TRIM(RIGHT(SUBSTITUTE(LEFT(C64,_xlfn.AGGREGATE(16,6,FIND({0,1,2,3,4,5,6,7,8,9},C64,ROW(INDIRECT("1:"&amp;LEN(C64)))),1))," ",REPT(" ",LEN(C64))),LEN(C64)))</f>
        <v>38</v>
      </c>
      <c r="I65" s="23" t="s">
        <v>142</v>
      </c>
      <c r="J65" s="23"/>
      <c r="K65" s="28"/>
    </row>
    <row r="66" spans="1:11" s="11" customFormat="1" ht="68.25" customHeight="1" x14ac:dyDescent="0.3">
      <c r="A66" s="161" t="s">
        <v>128</v>
      </c>
      <c r="B66" s="160"/>
      <c r="C66" s="159" t="str">
        <f ca="1">I64</f>
        <v xml:space="preserve">Excavation work completed, Plinth work completed, RCC upto 39 Slab completed, Brickwork upto 38 Floor completed, Internal Plaster upto 38 Floor completed, External Plaster upto 38 Floor completed, Flooring upto 26 Floor completed, Painting upto 23 Floor completed </v>
      </c>
      <c r="D66" s="159"/>
      <c r="E66" s="159"/>
      <c r="F66" s="159"/>
      <c r="G66" s="159"/>
      <c r="H66" s="181"/>
      <c r="I66" s="23" t="s">
        <v>202</v>
      </c>
      <c r="J66" s="23"/>
      <c r="K66" s="28"/>
    </row>
    <row r="67" spans="1:11" s="11" customFormat="1" x14ac:dyDescent="0.3">
      <c r="A67" s="165" t="s">
        <v>52</v>
      </c>
      <c r="B67" s="139"/>
      <c r="C67" s="50" t="s">
        <v>203</v>
      </c>
      <c r="D67" s="61" t="s">
        <v>119</v>
      </c>
      <c r="E67" s="139" t="s">
        <v>121</v>
      </c>
      <c r="F67" s="139"/>
      <c r="G67" s="139" t="s">
        <v>120</v>
      </c>
      <c r="H67" s="182"/>
      <c r="I67" s="23" t="s">
        <v>143</v>
      </c>
      <c r="J67" s="8"/>
      <c r="K67" s="29"/>
    </row>
    <row r="68" spans="1:11" x14ac:dyDescent="0.3">
      <c r="A68" s="165" t="s">
        <v>204</v>
      </c>
      <c r="B68" s="139"/>
      <c r="C68" s="46">
        <f ca="1">K71</f>
        <v>38</v>
      </c>
      <c r="D68" s="72">
        <f ca="1">((100/H65)*C68)/100</f>
        <v>1</v>
      </c>
      <c r="E68" s="158">
        <f ca="1">(IF(C66=I66,"100%",IF(C66=I67,"100%",(((C69/H65*10)+(40/(C65+F65+H65)*C70)+(7.5/(H65)*C71)+(7.5/(H65)*C72)+(10/H65*C73)+(10/H65*C74)+(5/H65*C75)+(5/H65*C76)+(5/H65*C77))/100))))</f>
        <v>0.84868421052631571</v>
      </c>
      <c r="F68" s="158"/>
      <c r="G68" s="158">
        <f ca="1">((((C68/H65)*20)+((C69/H65)*25)+(30/(H65+F65+C65)*C70)+(5/H65*C71)+(5/H65*C72)+(5/H65*C73)+(5/H65*C74)+(0/H65*C75)+(0/H65*C76)+(5/H65*C77))/100)</f>
        <v>0.93421052631578949</v>
      </c>
      <c r="H68" s="183"/>
      <c r="I68" s="23"/>
      <c r="K68" s="29"/>
    </row>
    <row r="69" spans="1:11" x14ac:dyDescent="0.3">
      <c r="A69" s="165" t="s">
        <v>53</v>
      </c>
      <c r="B69" s="139"/>
      <c r="C69" s="46">
        <v>38</v>
      </c>
      <c r="D69" s="72">
        <f ca="1">((100/H65)*C69)/100</f>
        <v>1</v>
      </c>
      <c r="E69" s="158"/>
      <c r="F69" s="158"/>
      <c r="G69" s="158"/>
      <c r="H69" s="183"/>
      <c r="K69" s="29"/>
    </row>
    <row r="70" spans="1:11" x14ac:dyDescent="0.3">
      <c r="A70" s="165" t="s">
        <v>205</v>
      </c>
      <c r="B70" s="139"/>
      <c r="C70" s="47">
        <v>39</v>
      </c>
      <c r="D70" s="72">
        <f ca="1">((100/(C65+F65+H65))*C70)/100</f>
        <v>1.0000000000000002</v>
      </c>
      <c r="E70" s="158"/>
      <c r="F70" s="158"/>
      <c r="G70" s="158"/>
      <c r="H70" s="183"/>
      <c r="I70" s="54" t="s">
        <v>136</v>
      </c>
      <c r="J70" s="30"/>
      <c r="K70" s="55">
        <f ca="1">H65*50%</f>
        <v>19</v>
      </c>
    </row>
    <row r="71" spans="1:11" x14ac:dyDescent="0.3">
      <c r="A71" s="165" t="s">
        <v>206</v>
      </c>
      <c r="B71" s="139" t="s">
        <v>207</v>
      </c>
      <c r="C71" s="47">
        <v>38</v>
      </c>
      <c r="D71" s="72">
        <f ca="1">((100/H65)*C71)/100</f>
        <v>1</v>
      </c>
      <c r="E71" s="158"/>
      <c r="F71" s="158"/>
      <c r="G71" s="158"/>
      <c r="H71" s="183"/>
      <c r="I71" s="54" t="s">
        <v>137</v>
      </c>
      <c r="J71" s="30"/>
      <c r="K71" s="55">
        <f ca="1">H65</f>
        <v>38</v>
      </c>
    </row>
    <row r="72" spans="1:11" x14ac:dyDescent="0.3">
      <c r="A72" s="165" t="s">
        <v>208</v>
      </c>
      <c r="B72" s="139" t="s">
        <v>207</v>
      </c>
      <c r="C72" s="47">
        <v>38</v>
      </c>
      <c r="D72" s="72">
        <f ca="1">((100/H65)*C72)/100</f>
        <v>1</v>
      </c>
      <c r="E72" s="158"/>
      <c r="F72" s="158"/>
      <c r="G72" s="158"/>
      <c r="H72" s="183"/>
      <c r="I72" s="54"/>
      <c r="J72" s="30"/>
      <c r="K72" s="55"/>
    </row>
    <row r="73" spans="1:11" ht="15" customHeight="1" x14ac:dyDescent="0.3">
      <c r="A73" s="165" t="s">
        <v>209</v>
      </c>
      <c r="B73" s="139" t="s">
        <v>210</v>
      </c>
      <c r="C73" s="47">
        <v>38</v>
      </c>
      <c r="D73" s="72">
        <f ca="1">((100/(H65))*C73)/100</f>
        <v>1</v>
      </c>
      <c r="E73" s="158"/>
      <c r="F73" s="158"/>
      <c r="G73" s="158"/>
      <c r="H73" s="183"/>
      <c r="I73" s="54" t="s">
        <v>138</v>
      </c>
      <c r="J73" s="30"/>
      <c r="K73" s="55">
        <f ca="1">H65*25%</f>
        <v>9.5</v>
      </c>
    </row>
    <row r="74" spans="1:11" x14ac:dyDescent="0.3">
      <c r="A74" s="165" t="s">
        <v>211</v>
      </c>
      <c r="B74" s="139" t="s">
        <v>211</v>
      </c>
      <c r="C74" s="46">
        <v>26</v>
      </c>
      <c r="D74" s="72">
        <f ca="1">((100/H65)*C74)/100</f>
        <v>0.6842105263157896</v>
      </c>
      <c r="E74" s="158"/>
      <c r="F74" s="158"/>
      <c r="G74" s="158"/>
      <c r="H74" s="183"/>
      <c r="I74" s="54" t="s">
        <v>139</v>
      </c>
      <c r="J74" s="30"/>
      <c r="K74" s="55">
        <f ca="1">H65*50%</f>
        <v>19</v>
      </c>
    </row>
    <row r="75" spans="1:11" x14ac:dyDescent="0.3">
      <c r="A75" s="165" t="s">
        <v>212</v>
      </c>
      <c r="B75" s="139"/>
      <c r="C75" s="46">
        <v>23</v>
      </c>
      <c r="D75" s="72">
        <f ca="1">((100/H65)*C75)/100</f>
        <v>0.60526315789473684</v>
      </c>
      <c r="E75" s="158"/>
      <c r="F75" s="158"/>
      <c r="G75" s="158"/>
      <c r="H75" s="183"/>
      <c r="I75" s="54" t="s">
        <v>140</v>
      </c>
      <c r="J75" s="30"/>
      <c r="K75" s="55">
        <f ca="1">H65*75%</f>
        <v>28.5</v>
      </c>
    </row>
    <row r="76" spans="1:11" ht="15" customHeight="1" x14ac:dyDescent="0.3">
      <c r="A76" s="165" t="s">
        <v>213</v>
      </c>
      <c r="B76" s="139" t="s">
        <v>213</v>
      </c>
      <c r="C76" s="46">
        <v>0</v>
      </c>
      <c r="D76" s="72">
        <f ca="1">((100/(H65))*C76)/100</f>
        <v>0</v>
      </c>
      <c r="E76" s="158"/>
      <c r="F76" s="158"/>
      <c r="G76" s="158"/>
      <c r="H76" s="183"/>
      <c r="I76" s="54" t="s">
        <v>141</v>
      </c>
      <c r="J76" s="30"/>
      <c r="K76" s="55">
        <f ca="1">H65</f>
        <v>38</v>
      </c>
    </row>
    <row r="77" spans="1:11" ht="16.2" thickBot="1" x14ac:dyDescent="0.35">
      <c r="A77" s="184" t="s">
        <v>214</v>
      </c>
      <c r="B77" s="185"/>
      <c r="C77" s="186">
        <v>0</v>
      </c>
      <c r="D77" s="187">
        <f ca="1">((100/(H65))*C77)/100</f>
        <v>0</v>
      </c>
      <c r="E77" s="188"/>
      <c r="F77" s="188"/>
      <c r="G77" s="188"/>
      <c r="H77" s="189"/>
      <c r="I77" s="56"/>
      <c r="J77" s="56"/>
      <c r="K77" s="57"/>
    </row>
    <row r="78" spans="1:11" ht="15.75" customHeight="1" thickBot="1" x14ac:dyDescent="0.35">
      <c r="A78" s="199" t="s">
        <v>201</v>
      </c>
      <c r="B78" s="200"/>
      <c r="C78" s="201" t="s">
        <v>234</v>
      </c>
      <c r="D78" s="202"/>
      <c r="E78" s="202"/>
      <c r="F78" s="202"/>
      <c r="G78" s="202"/>
      <c r="H78" s="203"/>
      <c r="I78" s="26" t="str">
        <f ca="1">(IF(E82&gt;99%,"All work completed. Please provide OC.",IF(E82&gt;89.8%,"Plinth, RCC, Brick, Plaster, Flooring, Painting work Completed. Finishing work is in process.",IF(E82&lt;94%,(IF(C82=0,"Work not yet Started.",IF(D82=25%,"Piling work in process",IF(D82=50%,"Excavation work in process",IF(D82=100%,"Excavation work Completed. ","0")))&amp;(IF(C83=0%,"",IF(C83=J84,"Footing work is process",IF(C83=J85,"Footing work Completed",IF(C83=J86,"1st Basement Completed",IF(C83=J87,"1st &amp; 2nd Basement Completed",IF(C83=J88,"1st to 3rd Basement Completed",IF(C83=J89,"1st to 4th Basement Completed",IF(C83=J90,"Plinth work is process",IF(C83=J91,"Plinth work completed","0")))))))))))&amp;(IF(C84=(D79+F79+H79),", RCC Slab Completed",IF(C84&gt;0,", RCC upto "&amp;C84&amp;" Slab Completed",""))&amp;(IF(C85=H79,", Brickwork Completed",IF(C85&gt;0,", Brickwork upto "&amp;C85&amp;" Floor Completed",""))&amp;(IF(C86=H79,", Internal Plaster Completed",IF(C86&gt;0,", Internal Plaster upto "&amp;C86&amp;" Floor Completed",""))&amp;(IF(C87=H79,", External Plaster Completed",IF(C87&gt;0,", External Plaster upto "&amp;C87&amp;" Floor Completed",""))&amp;(IF(C88=H79,", Flooring Completed",IF(C88&gt;0,", Flooring upto "&amp;C88&amp;" Floor Completed",""))&amp;(IF(C89=H79,", Painting Completed",IF(C89&gt;0,", Painting upto "&amp;C89&amp;" Floor Completed",""))&amp;(IF(C90&gt;0,", Finishing upto "&amp;C90&amp;" Floor Completed","")&amp;(IF(C84&gt;0.5,".",""))))))))))))))</f>
        <v>Excavation work Completed. Plinth work completed, RCC Slab Completed, Brickwork upto 36 Floor Completed, Internal Plaster upto 23.4 Floor Completed, External Plaster upto 23.4 Floor Completed, Flooring upto 10 Floor Completed.</v>
      </c>
      <c r="J78" s="27"/>
      <c r="K78" s="27"/>
    </row>
    <row r="79" spans="1:11" s="11" customFormat="1" x14ac:dyDescent="0.3">
      <c r="A79" s="198" t="s">
        <v>236</v>
      </c>
      <c r="B79" s="192">
        <v>2</v>
      </c>
      <c r="C79" s="192" t="s">
        <v>103</v>
      </c>
      <c r="D79" s="192">
        <v>1</v>
      </c>
      <c r="E79" s="192" t="s">
        <v>102</v>
      </c>
      <c r="F79" s="192">
        <v>0</v>
      </c>
      <c r="G79" s="192" t="s">
        <v>116</v>
      </c>
      <c r="H79" s="193">
        <f ca="1">--TRIM(RIGHT(SUBSTITUTE(LEFT(C78,_xlfn.AGGREGATE(16,6,FIND({0,1,2,3,4,5,6,7,8,9},C78,ROW(INDIRECT("1:"&amp;LEN(C78)))),1))," ",REPT(" ",LEN(C78))),LEN(C78)))</f>
        <v>38</v>
      </c>
      <c r="I79" s="23"/>
      <c r="J79" s="28"/>
      <c r="K79" s="28"/>
    </row>
    <row r="80" spans="1:11" s="11" customFormat="1" ht="48" customHeight="1" x14ac:dyDescent="0.3">
      <c r="A80" s="161" t="s">
        <v>128</v>
      </c>
      <c r="B80" s="160"/>
      <c r="C80" s="162" t="str">
        <f ca="1">I78</f>
        <v>Excavation work Completed. Plinth work completed, RCC Slab Completed, Brickwork upto 36 Floor Completed, Internal Plaster upto 23.4 Floor Completed, External Plaster upto 23.4 Floor Completed, Flooring upto 10 Floor Completed.</v>
      </c>
      <c r="D80" s="163"/>
      <c r="E80" s="163"/>
      <c r="F80" s="163"/>
      <c r="G80" s="163"/>
      <c r="H80" s="164"/>
      <c r="I80" s="23" t="s">
        <v>143</v>
      </c>
      <c r="J80" s="28"/>
      <c r="K80" s="28"/>
    </row>
    <row r="81" spans="1:11" s="11" customFormat="1" ht="15.75" customHeight="1" x14ac:dyDescent="0.3">
      <c r="A81" s="165" t="s">
        <v>52</v>
      </c>
      <c r="B81" s="139"/>
      <c r="C81" s="50" t="s">
        <v>203</v>
      </c>
      <c r="D81" s="50" t="s">
        <v>119</v>
      </c>
      <c r="E81" s="166" t="s">
        <v>121</v>
      </c>
      <c r="F81" s="167"/>
      <c r="G81" s="166" t="s">
        <v>120</v>
      </c>
      <c r="H81" s="168"/>
      <c r="I81" s="54" t="s">
        <v>237</v>
      </c>
      <c r="J81" s="29">
        <f ca="1">H79*25%</f>
        <v>9.5</v>
      </c>
      <c r="K81" s="29"/>
    </row>
    <row r="82" spans="1:11" x14ac:dyDescent="0.3">
      <c r="A82" s="165" t="s">
        <v>204</v>
      </c>
      <c r="B82" s="139"/>
      <c r="C82" s="46">
        <f ca="1">J83</f>
        <v>38</v>
      </c>
      <c r="D82" s="72">
        <f ca="1">((100/H79)*C82)/100</f>
        <v>1</v>
      </c>
      <c r="E82" s="158">
        <f ca="1">(((C83/H79*10)+(40/(D79+F79+H79)*C84)+(7.5/(H79)*C85)+(7.5/(H79)*C86)+(10/H79*C87)+(10/H79*C88)+(5/H79*C89)+(5/H79*C90)+(5/H79*C91))/100)</f>
        <v>0.70513157894736844</v>
      </c>
      <c r="F82" s="158"/>
      <c r="G82" s="158">
        <f ca="1">((((C82/H79)*20)+((C83/H79)*25)+(30/(H79+F79+D79)*C84)+(5/H79*C85)+(5/H79*C86)+(5/H79*C87)+(5/H79*C88)+(0/H79*C89)+(0/H79*C90)+(5/H79*C91))/100)</f>
        <v>0.87210526315789461</v>
      </c>
      <c r="H82" s="183"/>
      <c r="I82" s="54" t="s">
        <v>136</v>
      </c>
      <c r="J82" s="55">
        <f ca="1">H79*50%</f>
        <v>19</v>
      </c>
      <c r="K82" s="29"/>
    </row>
    <row r="83" spans="1:11" x14ac:dyDescent="0.3">
      <c r="A83" s="165" t="s">
        <v>53</v>
      </c>
      <c r="B83" s="139"/>
      <c r="C83" s="47">
        <f ca="1">K85</f>
        <v>38</v>
      </c>
      <c r="D83" s="72">
        <f ca="1">((100/H79)*C83)/100</f>
        <v>1</v>
      </c>
      <c r="E83" s="158"/>
      <c r="F83" s="158"/>
      <c r="G83" s="158"/>
      <c r="H83" s="183"/>
      <c r="I83" s="54" t="s">
        <v>137</v>
      </c>
      <c r="J83" s="55">
        <f ca="1">H79</f>
        <v>38</v>
      </c>
      <c r="K83" s="29"/>
    </row>
    <row r="84" spans="1:11" x14ac:dyDescent="0.3">
      <c r="A84" s="165" t="s">
        <v>238</v>
      </c>
      <c r="B84" s="139"/>
      <c r="C84" s="47">
        <v>39</v>
      </c>
      <c r="D84" s="72">
        <f ca="1">((100/(D79+F79+H79))*C84)/100</f>
        <v>1.0000000000000002</v>
      </c>
      <c r="E84" s="158"/>
      <c r="F84" s="158"/>
      <c r="G84" s="158"/>
      <c r="H84" s="183"/>
      <c r="I84" s="54" t="s">
        <v>138</v>
      </c>
      <c r="J84" s="62">
        <f ca="1">(IF(B79&gt;1,(H79/(B79+2)),H79/4))</f>
        <v>9.5</v>
      </c>
      <c r="K84" s="55">
        <f ca="1">H79*50%</f>
        <v>19</v>
      </c>
    </row>
    <row r="85" spans="1:11" ht="15" customHeight="1" x14ac:dyDescent="0.3">
      <c r="A85" s="165" t="s">
        <v>206</v>
      </c>
      <c r="B85" s="139" t="s">
        <v>207</v>
      </c>
      <c r="C85" s="47">
        <v>36</v>
      </c>
      <c r="D85" s="72">
        <f ca="1">((100/H79)*C85)/100</f>
        <v>0.94736842105263164</v>
      </c>
      <c r="E85" s="158"/>
      <c r="F85" s="158"/>
      <c r="G85" s="158"/>
      <c r="H85" s="183"/>
      <c r="I85" s="54" t="s">
        <v>139</v>
      </c>
      <c r="J85" s="62">
        <f ca="1">(IF(B79&gt;1,(H79/(B79+2)+J84),H79/4+J84))</f>
        <v>19</v>
      </c>
      <c r="K85" s="55">
        <f ca="1">H79</f>
        <v>38</v>
      </c>
    </row>
    <row r="86" spans="1:11" ht="15.75" customHeight="1" x14ac:dyDescent="0.3">
      <c r="A86" s="165" t="s">
        <v>208</v>
      </c>
      <c r="B86" s="139" t="s">
        <v>207</v>
      </c>
      <c r="C86" s="47">
        <f>C85*0.65</f>
        <v>23.400000000000002</v>
      </c>
      <c r="D86" s="72">
        <f ca="1">((100/H79)*C86)/100</f>
        <v>0.61578947368421066</v>
      </c>
      <c r="E86" s="158"/>
      <c r="F86" s="158"/>
      <c r="G86" s="158"/>
      <c r="H86" s="183"/>
      <c r="I86" s="54" t="s">
        <v>239</v>
      </c>
      <c r="J86" s="62">
        <f ca="1">(IF(B79&gt;1,(H79/(B79+2)+J85),0))</f>
        <v>28.5</v>
      </c>
      <c r="K86" s="55"/>
    </row>
    <row r="87" spans="1:11" ht="15" customHeight="1" x14ac:dyDescent="0.3">
      <c r="A87" s="165" t="s">
        <v>209</v>
      </c>
      <c r="B87" s="139" t="s">
        <v>210</v>
      </c>
      <c r="C87" s="47">
        <f>C86</f>
        <v>23.400000000000002</v>
      </c>
      <c r="D87" s="72">
        <f ca="1">((100/(H79))*C87)/100</f>
        <v>0.61578947368421066</v>
      </c>
      <c r="E87" s="158"/>
      <c r="F87" s="158"/>
      <c r="G87" s="158"/>
      <c r="H87" s="183"/>
      <c r="I87" s="54" t="s">
        <v>240</v>
      </c>
      <c r="J87" s="62">
        <f>(IF(B79&gt;2,(H79/(B79+2)+J86),0))</f>
        <v>0</v>
      </c>
      <c r="K87" s="55">
        <f ca="1">H79*25%</f>
        <v>9.5</v>
      </c>
    </row>
    <row r="88" spans="1:11" ht="15.75" customHeight="1" x14ac:dyDescent="0.3">
      <c r="A88" s="165" t="s">
        <v>211</v>
      </c>
      <c r="B88" s="139" t="s">
        <v>211</v>
      </c>
      <c r="C88" s="46">
        <v>10</v>
      </c>
      <c r="D88" s="72">
        <f ca="1">((100/H79)*C88)/100</f>
        <v>0.26315789473684215</v>
      </c>
      <c r="E88" s="158"/>
      <c r="F88" s="158"/>
      <c r="G88" s="158"/>
      <c r="H88" s="183"/>
      <c r="I88" s="54" t="s">
        <v>241</v>
      </c>
      <c r="J88" s="63">
        <f>(IF(B79&gt;3,(H79/(B79+2)+J87),0))</f>
        <v>0</v>
      </c>
      <c r="K88" s="55">
        <f ca="1">H79*50%</f>
        <v>19</v>
      </c>
    </row>
    <row r="89" spans="1:11" ht="15.75" customHeight="1" x14ac:dyDescent="0.3">
      <c r="A89" s="165" t="s">
        <v>212</v>
      </c>
      <c r="B89" s="139"/>
      <c r="C89" s="46">
        <v>0</v>
      </c>
      <c r="D89" s="72">
        <f ca="1">((100/H79)*C89)/100</f>
        <v>0</v>
      </c>
      <c r="E89" s="158"/>
      <c r="F89" s="158"/>
      <c r="G89" s="158"/>
      <c r="H89" s="183"/>
      <c r="I89" s="54" t="s">
        <v>242</v>
      </c>
      <c r="J89" s="62">
        <f>(IF(B79&gt;4,(H79/(B79+2)+J88),0))</f>
        <v>0</v>
      </c>
      <c r="K89" s="55">
        <f ca="1">H79*75%</f>
        <v>28.5</v>
      </c>
    </row>
    <row r="90" spans="1:11" ht="15" customHeight="1" x14ac:dyDescent="0.3">
      <c r="A90" s="165" t="s">
        <v>213</v>
      </c>
      <c r="B90" s="139" t="s">
        <v>213</v>
      </c>
      <c r="C90" s="46">
        <v>0</v>
      </c>
      <c r="D90" s="72">
        <f ca="1">((100/(H79))*C90)/100</f>
        <v>0</v>
      </c>
      <c r="E90" s="158"/>
      <c r="F90" s="158"/>
      <c r="G90" s="158"/>
      <c r="H90" s="183"/>
      <c r="I90" s="54" t="s">
        <v>140</v>
      </c>
      <c r="J90" s="62">
        <f>(IF(B79=1,(H79/(B79+3)+J85),IF(B79=0,(H79/4+J85),IF(B79&gt;1,0))))</f>
        <v>0</v>
      </c>
      <c r="K90" s="55">
        <f ca="1">H79</f>
        <v>38</v>
      </c>
    </row>
    <row r="91" spans="1:11" ht="16.2" thickBot="1" x14ac:dyDescent="0.35">
      <c r="A91" s="184" t="s">
        <v>214</v>
      </c>
      <c r="B91" s="185"/>
      <c r="C91" s="186">
        <v>0</v>
      </c>
      <c r="D91" s="187">
        <f ca="1">((100/(H79))*C91)/100</f>
        <v>0</v>
      </c>
      <c r="E91" s="188"/>
      <c r="F91" s="188"/>
      <c r="G91" s="188"/>
      <c r="H91" s="189"/>
      <c r="I91" s="64" t="s">
        <v>141</v>
      </c>
      <c r="J91" s="65">
        <f ca="1">(IF(B79&gt;1.5,(H79/(B79+2)+J85+MAX(0,J86-J85)+MAX(0,J87-J86)+MAX(0,J88-J87)+MAX(0,J89-J88)+MAX(0,J90-J89)),IF(B79=1,(H79/(B79+3)+J90),IF(B79=0,H79/4+J90))))</f>
        <v>38</v>
      </c>
      <c r="K91" s="57"/>
    </row>
    <row r="92" spans="1:11" ht="15.75" customHeight="1" thickBot="1" x14ac:dyDescent="0.35">
      <c r="A92" s="194" t="s">
        <v>201</v>
      </c>
      <c r="B92" s="195"/>
      <c r="C92" s="195" t="s">
        <v>235</v>
      </c>
      <c r="D92" s="195"/>
      <c r="E92" s="195"/>
      <c r="F92" s="195"/>
      <c r="G92" s="195"/>
      <c r="H92" s="196"/>
      <c r="I92" s="26" t="str">
        <f ca="1">(IF(C96=0,"Work not yet Started.",IF(D96=50%,"Excavation work in process",IF(D96=100%,"Excavation work completed, ","0")))&amp;(IF(C97=0%,"",IF(D97=25%,"Footing work is process",IF(D97=50%,"Footing work Completed",IF(D97=75%,"Plinth work is process",IF(D97=100%,"Plinth work completed","0"))))))&amp;(IF(C98&gt;0,", RCC upto "&amp;C98&amp;" Slab completed",""))&amp;(IF(C99&gt;0,", Brickwork upto "&amp;C99&amp;" Floor completed"," "))&amp;(IF(C100&gt;0,", Internal Plaster upto "&amp;C100&amp;" Floor completed"," "))&amp;(IF(C101&gt;0,", External Plaster upto "&amp;C101&amp;" Floor completed"," "))&amp;(IF(C102&gt;0,", Flooring upto "&amp;C102&amp;" Floor completed"," "))&amp;(IF(C103&gt;0,", Painting upto "&amp;C103&amp;" Floor completed"," "))&amp;(IF(C104&gt;0,", Finishing upto "&amp;C104&amp;" Floor completed"," ")))</f>
        <v>Excavation work completed, Plinth work completed, RCC upto 39 Slab completed, Brickwork upto 38 Floor completed, Internal Plaster upto 38 Floor completed, External Plaster upto 38 Floor completed, Flooring upto 38 Floor completed, Painting upto 38 Floor completed, Finishing upto 38 Floor completed</v>
      </c>
      <c r="J92" s="26"/>
      <c r="K92" s="27"/>
    </row>
    <row r="93" spans="1:11" s="11" customFormat="1" x14ac:dyDescent="0.3">
      <c r="A93" s="190" t="s">
        <v>103</v>
      </c>
      <c r="B93" s="191"/>
      <c r="C93" s="191">
        <v>1</v>
      </c>
      <c r="D93" s="191"/>
      <c r="E93" s="192" t="s">
        <v>102</v>
      </c>
      <c r="F93" s="192">
        <v>0</v>
      </c>
      <c r="G93" s="192" t="s">
        <v>116</v>
      </c>
      <c r="H93" s="193">
        <f ca="1">--TRIM(RIGHT(SUBSTITUTE(LEFT(C92,_xlfn.AGGREGATE(16,6,FIND({0,1,2,3,4,5,6,7,8,9},C92,ROW(INDIRECT("1:"&amp;LEN(C92)))),1))," ",REPT(" ",LEN(C92))),LEN(C92)))</f>
        <v>38</v>
      </c>
      <c r="I93" s="23" t="s">
        <v>142</v>
      </c>
      <c r="J93" s="23"/>
      <c r="K93" s="28"/>
    </row>
    <row r="94" spans="1:11" s="11" customFormat="1" x14ac:dyDescent="0.3">
      <c r="A94" s="161" t="s">
        <v>128</v>
      </c>
      <c r="B94" s="160"/>
      <c r="C94" s="159" t="str">
        <f>I95</f>
        <v>All work Completed. OC Received.</v>
      </c>
      <c r="D94" s="159"/>
      <c r="E94" s="159"/>
      <c r="F94" s="159"/>
      <c r="G94" s="159"/>
      <c r="H94" s="181"/>
      <c r="I94" s="23" t="s">
        <v>202</v>
      </c>
      <c r="J94" s="23"/>
      <c r="K94" s="28"/>
    </row>
    <row r="95" spans="1:11" s="11" customFormat="1" x14ac:dyDescent="0.3">
      <c r="A95" s="165" t="s">
        <v>52</v>
      </c>
      <c r="B95" s="139"/>
      <c r="C95" s="50" t="s">
        <v>203</v>
      </c>
      <c r="D95" s="66" t="s">
        <v>119</v>
      </c>
      <c r="E95" s="139" t="s">
        <v>121</v>
      </c>
      <c r="F95" s="139"/>
      <c r="G95" s="139" t="s">
        <v>120</v>
      </c>
      <c r="H95" s="182"/>
      <c r="I95" s="23" t="s">
        <v>143</v>
      </c>
      <c r="J95" s="8"/>
      <c r="K95" s="29"/>
    </row>
    <row r="96" spans="1:11" x14ac:dyDescent="0.3">
      <c r="A96" s="165" t="s">
        <v>204</v>
      </c>
      <c r="B96" s="139"/>
      <c r="C96" s="46">
        <f ca="1">K99</f>
        <v>38</v>
      </c>
      <c r="D96" s="72">
        <f ca="1">((100/H93)*C96)/100</f>
        <v>1</v>
      </c>
      <c r="E96" s="158" t="str">
        <f>(IF(C94=I94,"100%",IF(C94=I95,"100%",(((C97/H93*10)+(40/(C93+F93+H93)*C98)+(7.5/(H93)*C99)+(7.5/(H93)*C100)+(10/H93*C101)+(10/H93*C102)+(5/H93*C103)+(5/H93*C104)+(5/H93*C105))/100))))</f>
        <v>100%</v>
      </c>
      <c r="F96" s="158"/>
      <c r="G96" s="158">
        <f ca="1">((((C96/H93)*20)+((C97/H93)*25)+(30/(H93+F93+C93)*C98)+(5/H93*C99)+(5/H93*C100)+(5/H93*C101)+(5/H93*C102)+(0/H93*C103)+(0/H93*C104)+(5/H93*C105))/100)</f>
        <v>1</v>
      </c>
      <c r="H96" s="183"/>
      <c r="I96" s="23"/>
      <c r="K96" s="29"/>
    </row>
    <row r="97" spans="1:11" x14ac:dyDescent="0.3">
      <c r="A97" s="165" t="s">
        <v>53</v>
      </c>
      <c r="B97" s="139"/>
      <c r="C97" s="46">
        <v>38</v>
      </c>
      <c r="D97" s="72">
        <f ca="1">((100/H93)*C97)/100</f>
        <v>1</v>
      </c>
      <c r="E97" s="158"/>
      <c r="F97" s="158"/>
      <c r="G97" s="158"/>
      <c r="H97" s="183"/>
      <c r="K97" s="29"/>
    </row>
    <row r="98" spans="1:11" x14ac:dyDescent="0.3">
      <c r="A98" s="165" t="s">
        <v>205</v>
      </c>
      <c r="B98" s="139"/>
      <c r="C98" s="47">
        <v>39</v>
      </c>
      <c r="D98" s="72">
        <f ca="1">((100/(C93+F93+H93))*C98)/100</f>
        <v>1.0000000000000002</v>
      </c>
      <c r="E98" s="158"/>
      <c r="F98" s="158"/>
      <c r="G98" s="158"/>
      <c r="H98" s="183"/>
      <c r="I98" s="54" t="s">
        <v>136</v>
      </c>
      <c r="J98" s="30"/>
      <c r="K98" s="55">
        <f ca="1">H93*50%</f>
        <v>19</v>
      </c>
    </row>
    <row r="99" spans="1:11" x14ac:dyDescent="0.3">
      <c r="A99" s="165" t="s">
        <v>206</v>
      </c>
      <c r="B99" s="139" t="s">
        <v>207</v>
      </c>
      <c r="C99" s="47">
        <f>C98-1</f>
        <v>38</v>
      </c>
      <c r="D99" s="72">
        <f ca="1">((100/H93)*C99)/100</f>
        <v>1</v>
      </c>
      <c r="E99" s="158"/>
      <c r="F99" s="158"/>
      <c r="G99" s="158"/>
      <c r="H99" s="183"/>
      <c r="I99" s="54" t="s">
        <v>137</v>
      </c>
      <c r="J99" s="30"/>
      <c r="K99" s="55">
        <f ca="1">H93</f>
        <v>38</v>
      </c>
    </row>
    <row r="100" spans="1:11" x14ac:dyDescent="0.3">
      <c r="A100" s="165" t="s">
        <v>208</v>
      </c>
      <c r="B100" s="139" t="s">
        <v>207</v>
      </c>
      <c r="C100" s="47">
        <v>38</v>
      </c>
      <c r="D100" s="72">
        <f ca="1">((100/H93)*C100)/100</f>
        <v>1</v>
      </c>
      <c r="E100" s="158"/>
      <c r="F100" s="158"/>
      <c r="G100" s="158"/>
      <c r="H100" s="183"/>
      <c r="I100" s="54"/>
      <c r="J100" s="30"/>
      <c r="K100" s="55"/>
    </row>
    <row r="101" spans="1:11" ht="15" customHeight="1" x14ac:dyDescent="0.3">
      <c r="A101" s="165" t="s">
        <v>209</v>
      </c>
      <c r="B101" s="139" t="s">
        <v>210</v>
      </c>
      <c r="C101" s="47">
        <v>38</v>
      </c>
      <c r="D101" s="72">
        <f ca="1">((100/(H93))*C101)/100</f>
        <v>1</v>
      </c>
      <c r="E101" s="158"/>
      <c r="F101" s="158"/>
      <c r="G101" s="158"/>
      <c r="H101" s="183"/>
      <c r="I101" s="54" t="s">
        <v>138</v>
      </c>
      <c r="J101" s="30"/>
      <c r="K101" s="55">
        <f ca="1">H93*25%</f>
        <v>9.5</v>
      </c>
    </row>
    <row r="102" spans="1:11" x14ac:dyDescent="0.3">
      <c r="A102" s="165" t="s">
        <v>211</v>
      </c>
      <c r="B102" s="139" t="s">
        <v>211</v>
      </c>
      <c r="C102" s="46">
        <v>38</v>
      </c>
      <c r="D102" s="72">
        <f ca="1">((100/H93)*C102)/100</f>
        <v>1</v>
      </c>
      <c r="E102" s="158"/>
      <c r="F102" s="158"/>
      <c r="G102" s="158"/>
      <c r="H102" s="183"/>
      <c r="I102" s="54" t="s">
        <v>139</v>
      </c>
      <c r="J102" s="30"/>
      <c r="K102" s="55">
        <f ca="1">H93*50%</f>
        <v>19</v>
      </c>
    </row>
    <row r="103" spans="1:11" x14ac:dyDescent="0.3">
      <c r="A103" s="165" t="s">
        <v>212</v>
      </c>
      <c r="B103" s="139"/>
      <c r="C103" s="46">
        <v>38</v>
      </c>
      <c r="D103" s="72">
        <f ca="1">((100/H93)*C103)/100</f>
        <v>1</v>
      </c>
      <c r="E103" s="158"/>
      <c r="F103" s="158"/>
      <c r="G103" s="158"/>
      <c r="H103" s="183"/>
      <c r="I103" s="54" t="s">
        <v>140</v>
      </c>
      <c r="J103" s="30"/>
      <c r="K103" s="55">
        <f ca="1">H93*75%</f>
        <v>28.5</v>
      </c>
    </row>
    <row r="104" spans="1:11" ht="15" customHeight="1" x14ac:dyDescent="0.3">
      <c r="A104" s="165" t="s">
        <v>213</v>
      </c>
      <c r="B104" s="139" t="s">
        <v>213</v>
      </c>
      <c r="C104" s="46">
        <v>38</v>
      </c>
      <c r="D104" s="72">
        <f ca="1">((100/(H93))*C104)/100</f>
        <v>1</v>
      </c>
      <c r="E104" s="158"/>
      <c r="F104" s="158"/>
      <c r="G104" s="158"/>
      <c r="H104" s="183"/>
      <c r="I104" s="54" t="s">
        <v>141</v>
      </c>
      <c r="J104" s="30"/>
      <c r="K104" s="55">
        <f ca="1">H93</f>
        <v>38</v>
      </c>
    </row>
    <row r="105" spans="1:11" ht="16.2" thickBot="1" x14ac:dyDescent="0.35">
      <c r="A105" s="184" t="s">
        <v>214</v>
      </c>
      <c r="B105" s="185"/>
      <c r="C105" s="186">
        <v>38</v>
      </c>
      <c r="D105" s="187">
        <f ca="1">((100/(H93))*C105)/100</f>
        <v>1</v>
      </c>
      <c r="E105" s="188"/>
      <c r="F105" s="188"/>
      <c r="G105" s="188"/>
      <c r="H105" s="189"/>
      <c r="I105" s="56"/>
      <c r="J105" s="56"/>
      <c r="K105" s="57"/>
    </row>
    <row r="106" spans="1:11" ht="15" hidden="1" customHeight="1" x14ac:dyDescent="0.3">
      <c r="A106" s="204" t="s">
        <v>106</v>
      </c>
      <c r="B106" s="204"/>
      <c r="C106" s="197" t="s">
        <v>107</v>
      </c>
      <c r="D106" s="197"/>
      <c r="E106" s="197"/>
      <c r="F106" s="197"/>
      <c r="G106" s="197"/>
      <c r="H106" s="197"/>
    </row>
    <row r="107" spans="1:11" x14ac:dyDescent="0.3">
      <c r="A107" s="142" t="s">
        <v>54</v>
      </c>
      <c r="B107" s="142"/>
      <c r="C107" s="142"/>
      <c r="D107" s="142"/>
      <c r="E107" s="142"/>
      <c r="F107" s="142"/>
      <c r="G107" s="142"/>
      <c r="H107" s="142"/>
      <c r="I107" s="58" t="s">
        <v>243</v>
      </c>
      <c r="J107" s="58" t="s">
        <v>244</v>
      </c>
      <c r="K107" s="67">
        <v>44971</v>
      </c>
    </row>
    <row r="108" spans="1:11" x14ac:dyDescent="0.3">
      <c r="A108" s="136" t="s">
        <v>278</v>
      </c>
      <c r="B108" s="116"/>
      <c r="C108" s="116"/>
      <c r="D108" s="116"/>
      <c r="E108" s="116"/>
      <c r="F108" s="117">
        <v>16700</v>
      </c>
      <c r="G108" s="117"/>
      <c r="H108" s="117"/>
      <c r="I108" s="13" t="s">
        <v>294</v>
      </c>
      <c r="J108" s="13"/>
      <c r="K108" s="13"/>
    </row>
    <row r="109" spans="1:11" hidden="1" x14ac:dyDescent="0.3">
      <c r="A109" s="116" t="s">
        <v>114</v>
      </c>
      <c r="B109" s="116"/>
      <c r="C109" s="116"/>
      <c r="D109" s="116"/>
      <c r="E109" s="116"/>
      <c r="F109" s="117"/>
      <c r="G109" s="117"/>
      <c r="H109" s="117"/>
      <c r="I109" s="13" t="s">
        <v>295</v>
      </c>
      <c r="J109" s="58" t="s">
        <v>280</v>
      </c>
      <c r="K109" s="67">
        <v>45230</v>
      </c>
    </row>
    <row r="110" spans="1:11" hidden="1" x14ac:dyDescent="0.3">
      <c r="A110" s="116" t="s">
        <v>115</v>
      </c>
      <c r="B110" s="116"/>
      <c r="C110" s="116"/>
      <c r="D110" s="116"/>
      <c r="E110" s="116"/>
      <c r="F110" s="117"/>
      <c r="G110" s="117"/>
      <c r="H110" s="117"/>
      <c r="I110" s="13" t="s">
        <v>296</v>
      </c>
    </row>
    <row r="111" spans="1:11" s="13" customFormat="1" hidden="1" x14ac:dyDescent="0.25">
      <c r="A111" s="116" t="s">
        <v>133</v>
      </c>
      <c r="B111" s="116"/>
      <c r="C111" s="116"/>
      <c r="D111" s="116"/>
      <c r="E111" s="116"/>
      <c r="F111" s="117" t="s">
        <v>31</v>
      </c>
      <c r="G111" s="117"/>
      <c r="H111" s="117"/>
      <c r="I111" s="13" t="s">
        <v>297</v>
      </c>
    </row>
    <row r="112" spans="1:11" x14ac:dyDescent="0.3">
      <c r="A112" s="109" t="s">
        <v>279</v>
      </c>
      <c r="B112" s="110"/>
      <c r="C112" s="110"/>
      <c r="D112" s="110"/>
      <c r="E112" s="110"/>
      <c r="F112" s="111">
        <v>17500</v>
      </c>
      <c r="G112" s="111"/>
      <c r="H112" s="111"/>
      <c r="I112" s="13" t="s">
        <v>298</v>
      </c>
    </row>
    <row r="113" spans="1:9" s="13" customFormat="1" x14ac:dyDescent="0.25">
      <c r="A113" s="116" t="s">
        <v>273</v>
      </c>
      <c r="B113" s="116"/>
      <c r="C113" s="116"/>
      <c r="D113" s="116"/>
      <c r="E113" s="116"/>
      <c r="F113" s="117">
        <v>135000</v>
      </c>
      <c r="G113" s="117"/>
      <c r="H113" s="117"/>
      <c r="I113" s="13" t="s">
        <v>277</v>
      </c>
    </row>
    <row r="114" spans="1:9" s="13" customFormat="1" x14ac:dyDescent="0.25">
      <c r="A114" s="116" t="s">
        <v>271</v>
      </c>
      <c r="B114" s="116"/>
      <c r="C114" s="116"/>
      <c r="D114" s="116"/>
      <c r="E114" s="116"/>
      <c r="F114" s="117">
        <v>20000</v>
      </c>
      <c r="G114" s="117"/>
      <c r="H114" s="117"/>
    </row>
    <row r="115" spans="1:9" s="13" customFormat="1" x14ac:dyDescent="0.25">
      <c r="A115" s="116" t="s">
        <v>272</v>
      </c>
      <c r="B115" s="116"/>
      <c r="C115" s="116"/>
      <c r="D115" s="116"/>
      <c r="E115" s="116"/>
      <c r="F115" s="117">
        <v>10000</v>
      </c>
      <c r="G115" s="117"/>
      <c r="H115" s="117"/>
      <c r="I115" s="13" t="s">
        <v>288</v>
      </c>
    </row>
    <row r="116" spans="1:9" s="13" customFormat="1" x14ac:dyDescent="0.25">
      <c r="A116" s="116" t="s">
        <v>274</v>
      </c>
      <c r="B116" s="116"/>
      <c r="C116" s="116"/>
      <c r="D116" s="116"/>
      <c r="E116" s="116"/>
      <c r="F116" s="117">
        <v>50000</v>
      </c>
      <c r="G116" s="117"/>
      <c r="H116" s="117"/>
    </row>
    <row r="117" spans="1:9" s="13" customFormat="1" x14ac:dyDescent="0.25">
      <c r="A117" s="116" t="s">
        <v>275</v>
      </c>
      <c r="B117" s="116"/>
      <c r="C117" s="116"/>
      <c r="D117" s="116"/>
      <c r="E117" s="116"/>
      <c r="F117" s="117">
        <v>50000</v>
      </c>
      <c r="G117" s="117"/>
      <c r="H117" s="117"/>
    </row>
    <row r="118" spans="1:9" s="13" customFormat="1" x14ac:dyDescent="0.25">
      <c r="A118" s="116" t="s">
        <v>134</v>
      </c>
      <c r="B118" s="116"/>
      <c r="C118" s="116"/>
      <c r="D118" s="116"/>
      <c r="E118" s="116"/>
      <c r="F118" s="117">
        <v>10000</v>
      </c>
      <c r="G118" s="117"/>
      <c r="H118" s="117"/>
    </row>
    <row r="119" spans="1:9" s="13" customFormat="1" x14ac:dyDescent="0.25">
      <c r="A119" s="116" t="s">
        <v>135</v>
      </c>
      <c r="B119" s="116"/>
      <c r="C119" s="116"/>
      <c r="D119" s="116"/>
      <c r="E119" s="116"/>
      <c r="F119" s="117">
        <v>140000</v>
      </c>
      <c r="G119" s="117"/>
      <c r="H119" s="117"/>
    </row>
    <row r="120" spans="1:9" x14ac:dyDescent="0.3">
      <c r="A120" s="116" t="s">
        <v>55</v>
      </c>
      <c r="B120" s="116"/>
      <c r="C120" s="116"/>
      <c r="D120" s="116"/>
      <c r="E120" s="116"/>
      <c r="F120" s="81" t="s">
        <v>276</v>
      </c>
      <c r="G120" s="81"/>
      <c r="H120" s="81"/>
    </row>
    <row r="121" spans="1:9" s="9" customFormat="1" x14ac:dyDescent="0.3">
      <c r="A121" s="142" t="s">
        <v>56</v>
      </c>
      <c r="B121" s="142"/>
      <c r="C121" s="142"/>
      <c r="D121" s="142"/>
      <c r="E121" s="142"/>
      <c r="F121" s="117">
        <f>F108*0.8</f>
        <v>13360</v>
      </c>
      <c r="G121" s="117"/>
      <c r="H121" s="117"/>
    </row>
    <row r="122" spans="1:9" s="1" customFormat="1" ht="15.75" hidden="1" customHeight="1" x14ac:dyDescent="0.3">
      <c r="A122" s="123" t="s">
        <v>108</v>
      </c>
      <c r="B122" s="123"/>
      <c r="C122" s="123"/>
      <c r="D122" s="123"/>
      <c r="E122" s="123"/>
      <c r="F122" s="123"/>
      <c r="G122" s="123"/>
      <c r="H122" s="123"/>
    </row>
    <row r="123" spans="1:9" s="1" customFormat="1" ht="15.75" hidden="1" customHeight="1" x14ac:dyDescent="0.3">
      <c r="A123" s="98" t="s">
        <v>57</v>
      </c>
      <c r="B123" s="98"/>
      <c r="C123" s="16" t="s">
        <v>112</v>
      </c>
      <c r="D123" s="120" t="s">
        <v>58</v>
      </c>
      <c r="E123" s="120"/>
      <c r="F123" s="98" t="s">
        <v>59</v>
      </c>
      <c r="G123" s="98"/>
      <c r="H123" s="98"/>
    </row>
    <row r="124" spans="1:9" s="1" customFormat="1" hidden="1" x14ac:dyDescent="0.3">
      <c r="A124" s="129"/>
      <c r="B124" s="129"/>
      <c r="C124" s="17"/>
      <c r="D124" s="118"/>
      <c r="E124" s="118"/>
      <c r="F124" s="119"/>
      <c r="G124" s="119"/>
      <c r="H124" s="119"/>
    </row>
    <row r="125" spans="1:9" s="1" customFormat="1" x14ac:dyDescent="0.3">
      <c r="A125" s="123" t="s">
        <v>101</v>
      </c>
      <c r="B125" s="123"/>
      <c r="C125" s="123"/>
      <c r="D125" s="123"/>
      <c r="E125" s="123"/>
      <c r="F125" s="123"/>
      <c r="G125" s="123"/>
      <c r="H125" s="123"/>
    </row>
    <row r="126" spans="1:9" s="1" customFormat="1" x14ac:dyDescent="0.3">
      <c r="A126" s="98" t="s">
        <v>57</v>
      </c>
      <c r="B126" s="98"/>
      <c r="C126" s="16" t="s">
        <v>112</v>
      </c>
      <c r="D126" s="120" t="s">
        <v>58</v>
      </c>
      <c r="E126" s="120"/>
      <c r="F126" s="98" t="s">
        <v>59</v>
      </c>
      <c r="G126" s="98"/>
      <c r="H126" s="98"/>
    </row>
    <row r="127" spans="1:9" s="1" customFormat="1" x14ac:dyDescent="0.3">
      <c r="A127" s="129" t="s">
        <v>170</v>
      </c>
      <c r="B127" s="129"/>
      <c r="C127" s="17">
        <f>COUNT(D138)+COUNT(D140:D143)+COUNT(D145:D148)+COUNT(D150:D153)+COUNT(D156:D159)+COUNT(D161:D167)*13+COUNT(D169:D175)*15+COUNT(D177:D178,D181:D183)*2+COUNT(D185:D186,D189:D191)*2+COUNT(D193:D194,D196:D199)</f>
        <v>239</v>
      </c>
      <c r="D127" s="118">
        <f>SUM(D138)+SUM(D140:D143)+SUM(D145:D148)+SUM(D150:D153)+SUM(D156:D159)+SUM(D161:D167)*13+SUM(D169:D175)*15+SUM(D177:D178,D181:D183)*2+SUM(D185:D186,D189:D191)*2+SUM(D193:D194,D196:D199)</f>
        <v>116517.50862570002</v>
      </c>
      <c r="E127" s="118"/>
      <c r="F127" s="112">
        <f>SUM(F138)+SUM(F140:F143)+SUM(F145:F148)+SUM(F150:F153)+SUM(F156:F159)+SUM(F161:F167)*13+SUM(F169:F175)*15+SUM(F177:F178,F181:F183)*2+SUM(F185:F186,F189:F191)*2+SUM(F193:F194,F196:F199)</f>
        <v>186428.01380111999</v>
      </c>
      <c r="G127" s="113"/>
      <c r="H127" s="114"/>
    </row>
    <row r="128" spans="1:9" s="1" customFormat="1" x14ac:dyDescent="0.3">
      <c r="A128" s="129" t="s">
        <v>186</v>
      </c>
      <c r="B128" s="129"/>
      <c r="C128" s="71">
        <f>COUNT(D205:D206)+COUNT(D208:D209)*2+COUNT(D212:D213)+COUNT(D215:D219)+COUNT(D221:D222,D225)+COUNT(D227:D231)+COUNT(D233:D237)*9+COUNT(D239:D243)+COUNT(D245:D246,D249)+COUNT(D251:D255)+COUNT(D257:D258,D261)+COUNT(D263:D267)*5+COUNT(D269:D273)+COUNT(D275:D276,D279)+COUNT(D281:D285)*9+COUNT(D287:D289,D291)</f>
        <v>164</v>
      </c>
      <c r="D128" s="121">
        <f>SUM(D205:D206)+SUM(D208:D209)*2+SUM(D212:D213)+SUM(D215:D219)+SUM(D221:D222,D225)+SUM(D227:D231)+SUM(D233:D237)*9+SUM(D239:D243)+SUM(D245:D246,D249)+SUM(D251:D255)+SUM(D257:D258,D261)+SUM(D263:D267)*5+SUM(D269:D273)+SUM(D275:D276,D279)+SUM(D281:D285)*9+SUM(D287:D289,D291)</f>
        <v>187999.12422719999</v>
      </c>
      <c r="E128" s="121"/>
      <c r="F128" s="126">
        <f>SUM(F205:F206)+SUM(F208:F209)*2+SUM(F212:F213)+SUM(F215:F219)+SUM(F221:F222,F225)+SUM(F227:F231)+SUM(F233:F237)*9+SUM(F239:F243)+SUM(F245:F246,F249)+SUM(F251:F255)+SUM(F257:F258,F261)+SUM(F263:F267)*5+SUM(F269:F273)+SUM(F275:F276,F279)+SUM(F281:F285)*9+SUM(F287:F289,F291)</f>
        <v>300798.59876352007</v>
      </c>
      <c r="G128" s="127"/>
      <c r="H128" s="128"/>
    </row>
    <row r="129" spans="1:10" s="1" customFormat="1" x14ac:dyDescent="0.3">
      <c r="A129" s="129" t="s">
        <v>189</v>
      </c>
      <c r="B129" s="129"/>
      <c r="C129" s="17">
        <f>COUNT(D297:D299)+COUNT(D301:D305)*10+COUNT(D308:D311)+COUNT(D314:D317)*2+COUNT(D319:D323)*6+COUNT(D326:D329)*2+COUNT(D331:D335)*6+COUNT(D337:D341)*9+COUNT(D344:D347)</f>
        <v>182</v>
      </c>
      <c r="D129" s="118">
        <f>SUM(D297:D299)+SUM(D301:D305)*10+SUM(D308:D311)+SUM(D314:D317)*2+SUM(D319:D323)*6+SUM(D326:D329)*2+SUM(D331:D335)*6+SUM(D337:D341)*9+SUM(D344:D347)</f>
        <v>162069.97435200002</v>
      </c>
      <c r="E129" s="118"/>
      <c r="F129" s="112">
        <f>SUM(F297:F299)+SUM(F301:F305)*10+SUM(F308:F311)+SUM(F314:F317)*2+SUM(F319:F323)*6+SUM(F326:F329)*2+SUM(F331:F335)*6+SUM(F337:F341)*9+SUM(F344:F347)</f>
        <v>259311.95896320001</v>
      </c>
      <c r="G129" s="113"/>
      <c r="H129" s="114"/>
    </row>
    <row r="130" spans="1:10" s="45" customFormat="1" x14ac:dyDescent="0.3">
      <c r="A130" s="123" t="s">
        <v>61</v>
      </c>
      <c r="B130" s="123"/>
      <c r="C130" s="44">
        <f>SUM(C127:C129)</f>
        <v>585</v>
      </c>
      <c r="D130" s="157">
        <f>SUM(D127:E129)</f>
        <v>466586.60720490001</v>
      </c>
      <c r="E130" s="157"/>
      <c r="F130" s="98">
        <f>SUM(F127:H129)</f>
        <v>746538.5715278401</v>
      </c>
      <c r="G130" s="98"/>
      <c r="H130" s="98"/>
    </row>
    <row r="131" spans="1:10" s="9" customFormat="1" x14ac:dyDescent="0.3">
      <c r="A131" s="138" t="s">
        <v>62</v>
      </c>
      <c r="B131" s="138"/>
      <c r="C131" s="138"/>
      <c r="D131" s="138"/>
      <c r="E131" s="138"/>
      <c r="F131" s="138"/>
      <c r="G131" s="138"/>
      <c r="H131" s="138"/>
    </row>
    <row r="132" spans="1:10" x14ac:dyDescent="0.3">
      <c r="A132" s="138" t="s">
        <v>63</v>
      </c>
      <c r="B132" s="138"/>
      <c r="C132" s="138"/>
      <c r="D132" s="138"/>
      <c r="E132" s="138"/>
      <c r="F132" s="138"/>
      <c r="G132" s="138"/>
      <c r="H132" s="138"/>
    </row>
    <row r="133" spans="1:10" ht="47.25" customHeight="1" x14ac:dyDescent="0.3">
      <c r="A133" s="108" t="s">
        <v>109</v>
      </c>
      <c r="B133" s="108"/>
      <c r="C133" s="25" t="s">
        <v>64</v>
      </c>
      <c r="D133" s="25" t="s">
        <v>65</v>
      </c>
      <c r="E133" s="18" t="s">
        <v>66</v>
      </c>
      <c r="F133" s="60" t="s">
        <v>67</v>
      </c>
      <c r="G133" s="108" t="s">
        <v>68</v>
      </c>
      <c r="H133" s="108"/>
    </row>
    <row r="134" spans="1:10" s="2" customFormat="1" x14ac:dyDescent="0.3">
      <c r="A134" s="115" t="s">
        <v>170</v>
      </c>
      <c r="B134" s="115"/>
      <c r="C134" s="115"/>
      <c r="D134" s="115"/>
      <c r="E134" s="115"/>
      <c r="F134" s="115"/>
      <c r="G134" s="115"/>
      <c r="H134" s="115"/>
    </row>
    <row r="135" spans="1:10" s="2" customFormat="1" x14ac:dyDescent="0.3">
      <c r="A135" s="122" t="s">
        <v>185</v>
      </c>
      <c r="B135" s="122"/>
      <c r="C135" s="122"/>
      <c r="D135" s="122"/>
      <c r="E135" s="122"/>
      <c r="F135" s="122"/>
      <c r="G135" s="122"/>
      <c r="H135" s="122"/>
    </row>
    <row r="136" spans="1:10" s="2" customFormat="1" x14ac:dyDescent="0.3">
      <c r="A136" s="115" t="s">
        <v>249</v>
      </c>
      <c r="B136" s="115"/>
      <c r="C136" s="115"/>
      <c r="D136" s="115"/>
      <c r="E136" s="115"/>
      <c r="F136" s="115"/>
      <c r="G136" s="115"/>
      <c r="H136" s="115"/>
    </row>
    <row r="137" spans="1:10" s="2" customFormat="1" x14ac:dyDescent="0.3">
      <c r="A137" s="115" t="s">
        <v>174</v>
      </c>
      <c r="B137" s="115"/>
      <c r="C137" s="115"/>
      <c r="D137" s="115"/>
      <c r="E137" s="115"/>
      <c r="F137" s="115"/>
      <c r="G137" s="115"/>
      <c r="H137" s="115"/>
    </row>
    <row r="138" spans="1:10" s="2" customFormat="1" x14ac:dyDescent="0.3">
      <c r="A138" s="85">
        <v>2</v>
      </c>
      <c r="B138" s="85"/>
      <c r="C138" s="24" t="s">
        <v>250</v>
      </c>
      <c r="D138" s="24">
        <f>(2.9*4.3+1.825*2.45+1.07*1.075+2.28*2.45+2.75*3.5+2.125*1.225*2+2.339*0.9+0.1*0.9+0.73*0.62+2.955*0.15)*10.764</f>
        <v>447.77917080000003</v>
      </c>
      <c r="E138" s="24">
        <v>0</v>
      </c>
      <c r="F138" s="24">
        <f>D138*1.6+E138</f>
        <v>716.44667328000014</v>
      </c>
      <c r="G138" s="85" t="s">
        <v>180</v>
      </c>
      <c r="H138" s="85"/>
      <c r="I138" s="59">
        <f>F138/D138</f>
        <v>1.6000000000000003</v>
      </c>
      <c r="J138" s="59"/>
    </row>
    <row r="139" spans="1:10" s="2" customFormat="1" x14ac:dyDescent="0.3">
      <c r="A139" s="115" t="s">
        <v>172</v>
      </c>
      <c r="B139" s="115"/>
      <c r="C139" s="115"/>
      <c r="D139" s="115"/>
      <c r="E139" s="115"/>
      <c r="F139" s="115"/>
      <c r="G139" s="115"/>
      <c r="H139" s="115"/>
      <c r="J139" s="59"/>
    </row>
    <row r="140" spans="1:10" s="2" customFormat="1" ht="15.75" customHeight="1" x14ac:dyDescent="0.3">
      <c r="A140" s="85">
        <v>2</v>
      </c>
      <c r="B140" s="85"/>
      <c r="C140" s="24" t="s">
        <v>250</v>
      </c>
      <c r="D140" s="24">
        <f>(2.9*4.3+1.825*2.45+1.07*1.075+2.28*2.45+2.75*3.5+2.125*1.225*2+2.339*0.9+0.1*0.9+0.73*0.62+2.955*0.15)*10.764</f>
        <v>447.77917080000003</v>
      </c>
      <c r="E140" s="24">
        <v>0</v>
      </c>
      <c r="F140" s="24">
        <f>D140*1.6+E140</f>
        <v>716.44667328000014</v>
      </c>
      <c r="G140" s="86" t="s">
        <v>181</v>
      </c>
      <c r="H140" s="87"/>
      <c r="J140" s="59"/>
    </row>
    <row r="141" spans="1:10" s="2" customFormat="1" ht="15.75" customHeight="1" x14ac:dyDescent="0.3">
      <c r="A141" s="85">
        <v>3</v>
      </c>
      <c r="B141" s="85"/>
      <c r="C141" s="24" t="s">
        <v>250</v>
      </c>
      <c r="D141" s="24">
        <f>(2.9*4.3+1.825*2.45+1.07*1.075+2.28*2.45+2.75*3.5+2.125*1.225*2+2.339*0.9+0.1*0.9+0.73*0.62+0.15*2.53)*10.764</f>
        <v>447.09296580000006</v>
      </c>
      <c r="E141" s="24">
        <v>0</v>
      </c>
      <c r="F141" s="24">
        <f t="shared" ref="F141:F143" si="0">D141*1.6+E141</f>
        <v>715.34874528000012</v>
      </c>
      <c r="G141" s="88"/>
      <c r="H141" s="89"/>
      <c r="J141" s="59"/>
    </row>
    <row r="142" spans="1:10" s="2" customFormat="1" ht="15.75" customHeight="1" x14ac:dyDescent="0.3">
      <c r="A142" s="85">
        <v>4</v>
      </c>
      <c r="B142" s="85"/>
      <c r="C142" s="24" t="s">
        <v>250</v>
      </c>
      <c r="D142" s="24">
        <f>(2.9*4.3+1.825*2.45+1.07*1.075+2.28*2.45+2.75*3.5+2.125*1.225*2+2.339*0.9+0.1*0.9+0.73*0.62+0.15*2.53)*10.764</f>
        <v>447.09296580000006</v>
      </c>
      <c r="E142" s="24">
        <v>0</v>
      </c>
      <c r="F142" s="24">
        <f t="shared" si="0"/>
        <v>715.34874528000012</v>
      </c>
      <c r="G142" s="88"/>
      <c r="H142" s="89"/>
      <c r="J142" s="59"/>
    </row>
    <row r="143" spans="1:10" s="2" customFormat="1" ht="15.75" customHeight="1" x14ac:dyDescent="0.3">
      <c r="A143" s="85">
        <v>5</v>
      </c>
      <c r="B143" s="85"/>
      <c r="C143" s="24" t="s">
        <v>250</v>
      </c>
      <c r="D143" s="24">
        <f>(2.9*4.3+1.825*2.45+1.07*1.075+2.28*2.45+2.75*3.5+2.125*1.225*2+2.339*0.9+0.1*0.9+0.73*0.62+2.955*0.15)*10.764</f>
        <v>447.77917080000003</v>
      </c>
      <c r="E143" s="24">
        <v>0</v>
      </c>
      <c r="F143" s="24">
        <f t="shared" si="0"/>
        <v>716.44667328000014</v>
      </c>
      <c r="G143" s="90"/>
      <c r="H143" s="91"/>
      <c r="J143" s="59"/>
    </row>
    <row r="144" spans="1:10" s="2" customFormat="1" x14ac:dyDescent="0.3">
      <c r="A144" s="82" t="s">
        <v>175</v>
      </c>
      <c r="B144" s="83"/>
      <c r="C144" s="83"/>
      <c r="D144" s="83"/>
      <c r="E144" s="83"/>
      <c r="F144" s="83"/>
      <c r="G144" s="83"/>
      <c r="H144" s="84"/>
      <c r="J144" s="59"/>
    </row>
    <row r="145" spans="1:8" s="2" customFormat="1" ht="15.75" customHeight="1" x14ac:dyDescent="0.3">
      <c r="A145" s="85">
        <v>2</v>
      </c>
      <c r="B145" s="85"/>
      <c r="C145" s="24" t="s">
        <v>250</v>
      </c>
      <c r="D145" s="24">
        <f>(2.9*4.3+1.825*2.45+1.07*1.075+2.28*2.45+2.75*3.5+2.125*1.225*2+2.339*0.9+0.1*0.9+0.73*0.62+2.955*0.15)*10.764</f>
        <v>447.77917080000003</v>
      </c>
      <c r="E145" s="24">
        <v>0</v>
      </c>
      <c r="F145" s="24">
        <f>D145*1.6+E145</f>
        <v>716.44667328000014</v>
      </c>
      <c r="G145" s="86" t="s">
        <v>182</v>
      </c>
      <c r="H145" s="87"/>
    </row>
    <row r="146" spans="1:8" s="2" customFormat="1" ht="15.75" customHeight="1" x14ac:dyDescent="0.3">
      <c r="A146" s="85">
        <v>3</v>
      </c>
      <c r="B146" s="85"/>
      <c r="C146" s="24" t="s">
        <v>250</v>
      </c>
      <c r="D146" s="24">
        <f>(2.9*4.3+1.825*2.45+1.07*1.075+2.28*2.45+2.75*3.5+2.125*1.225*2+2.339*0.9+0.1*0.9+0.73*0.62+0.15*2.53)*10.764</f>
        <v>447.09296580000006</v>
      </c>
      <c r="E146" s="24">
        <v>0</v>
      </c>
      <c r="F146" s="24">
        <f t="shared" ref="F146:F148" si="1">D146*1.6+E146</f>
        <v>715.34874528000012</v>
      </c>
      <c r="G146" s="88"/>
      <c r="H146" s="89"/>
    </row>
    <row r="147" spans="1:8" s="2" customFormat="1" ht="15.75" customHeight="1" x14ac:dyDescent="0.3">
      <c r="A147" s="85">
        <v>4</v>
      </c>
      <c r="B147" s="85"/>
      <c r="C147" s="24" t="s">
        <v>250</v>
      </c>
      <c r="D147" s="24">
        <f>(2.9*4.3+1.825*2.45+1.07*1.075+2.28*2.45+2.75*3.5+2.125*1.225*2+2.339*0.9+0.1*0.9+0.73*0.62+0.15*2.53)*10.764</f>
        <v>447.09296580000006</v>
      </c>
      <c r="E147" s="24">
        <v>0</v>
      </c>
      <c r="F147" s="24">
        <f t="shared" si="1"/>
        <v>715.34874528000012</v>
      </c>
      <c r="G147" s="88"/>
      <c r="H147" s="89"/>
    </row>
    <row r="148" spans="1:8" s="2" customFormat="1" ht="15.75" customHeight="1" x14ac:dyDescent="0.3">
      <c r="A148" s="85">
        <v>5</v>
      </c>
      <c r="B148" s="85"/>
      <c r="C148" s="24" t="s">
        <v>250</v>
      </c>
      <c r="D148" s="24">
        <f>(2.9*4.3+1.825*2.45+1.07*1.075+2.28*2.45+2.75*3.5+2.125*1.225*2+2.339*0.9+0.1*0.9+0.73*0.62+2.955*0.15)*10.764</f>
        <v>447.77917080000003</v>
      </c>
      <c r="E148" s="24">
        <v>0</v>
      </c>
      <c r="F148" s="24">
        <f t="shared" si="1"/>
        <v>716.44667328000014</v>
      </c>
      <c r="G148" s="90"/>
      <c r="H148" s="91"/>
    </row>
    <row r="149" spans="1:8" s="2" customFormat="1" ht="15.75" customHeight="1" x14ac:dyDescent="0.3">
      <c r="A149" s="82" t="s">
        <v>176</v>
      </c>
      <c r="B149" s="83"/>
      <c r="C149" s="83"/>
      <c r="D149" s="83"/>
      <c r="E149" s="83"/>
      <c r="F149" s="83"/>
      <c r="G149" s="83"/>
      <c r="H149" s="84"/>
    </row>
    <row r="150" spans="1:8" s="2" customFormat="1" ht="15.75" customHeight="1" x14ac:dyDescent="0.3">
      <c r="A150" s="85">
        <v>2</v>
      </c>
      <c r="B150" s="85"/>
      <c r="C150" s="24" t="s">
        <v>250</v>
      </c>
      <c r="D150" s="24">
        <f>(2.9*4.3+1.825*2.45+1.07*1.075+2.28*2.45+2.75*3.5+2.125*1.225*2+2.339*0.9+0.1*0.9+0.73*0.62+2.955*0.15)*10.764</f>
        <v>447.77917080000003</v>
      </c>
      <c r="E150" s="24">
        <v>0</v>
      </c>
      <c r="F150" s="24">
        <f>D150*1.6+E150</f>
        <v>716.44667328000014</v>
      </c>
      <c r="G150" s="86" t="s">
        <v>183</v>
      </c>
      <c r="H150" s="87"/>
    </row>
    <row r="151" spans="1:8" s="2" customFormat="1" ht="15.75" customHeight="1" x14ac:dyDescent="0.3">
      <c r="A151" s="85">
        <v>3</v>
      </c>
      <c r="B151" s="85"/>
      <c r="C151" s="24" t="s">
        <v>250</v>
      </c>
      <c r="D151" s="24">
        <f>(2.9*4.3+1.825*2.45+1.07*1.075+2.28*2.45+2.75*3.5+2.125*1.225*2+2.339*0.9+0.1*0.9+0.73*0.62+0.15*2.53)*10.764</f>
        <v>447.09296580000006</v>
      </c>
      <c r="E151" s="24">
        <v>0</v>
      </c>
      <c r="F151" s="24">
        <f t="shared" ref="F151:F153" si="2">D151*1.6+E151</f>
        <v>715.34874528000012</v>
      </c>
      <c r="G151" s="88"/>
      <c r="H151" s="89"/>
    </row>
    <row r="152" spans="1:8" s="2" customFormat="1" ht="15.75" customHeight="1" x14ac:dyDescent="0.3">
      <c r="A152" s="85">
        <v>4</v>
      </c>
      <c r="B152" s="85"/>
      <c r="C152" s="24" t="s">
        <v>250</v>
      </c>
      <c r="D152" s="24">
        <f>(2.9*4.3+1.825*2.45+1.07*1.075+2.28*2.45+2.75*3.5+2.125*1.225*2+2.339*0.9+0.1*0.9+0.73*0.62+0.15*2.53)*10.764</f>
        <v>447.09296580000006</v>
      </c>
      <c r="E152" s="24">
        <v>0</v>
      </c>
      <c r="F152" s="24">
        <f t="shared" si="2"/>
        <v>715.34874528000012</v>
      </c>
      <c r="G152" s="88"/>
      <c r="H152" s="89"/>
    </row>
    <row r="153" spans="1:8" s="2" customFormat="1" ht="15.75" customHeight="1" x14ac:dyDescent="0.3">
      <c r="A153" s="85">
        <v>5</v>
      </c>
      <c r="B153" s="85"/>
      <c r="C153" s="24" t="s">
        <v>250</v>
      </c>
      <c r="D153" s="24">
        <f>(2.9*4.3+1.825*2.45+1.07*1.075+2.28*2.45+2.75*3.5+2.125*1.225*2+2.339*0.9+0.1*0.9+0.73*0.62+2.955*0.15)*10.764</f>
        <v>447.77917080000003</v>
      </c>
      <c r="E153" s="24">
        <v>0</v>
      </c>
      <c r="F153" s="24">
        <f t="shared" si="2"/>
        <v>716.44667328000014</v>
      </c>
      <c r="G153" s="90"/>
      <c r="H153" s="91"/>
    </row>
    <row r="154" spans="1:8" s="2" customFormat="1" ht="15.75" customHeight="1" x14ac:dyDescent="0.3">
      <c r="A154" s="82" t="s">
        <v>177</v>
      </c>
      <c r="B154" s="83"/>
      <c r="C154" s="83"/>
      <c r="D154" s="83"/>
      <c r="E154" s="83"/>
      <c r="F154" s="83"/>
      <c r="G154" s="83"/>
      <c r="H154" s="84"/>
    </row>
    <row r="155" spans="1:8" s="2" customFormat="1" ht="15.75" customHeight="1" x14ac:dyDescent="0.3">
      <c r="A155" s="85">
        <v>1</v>
      </c>
      <c r="B155" s="85"/>
      <c r="C155" s="85" t="s">
        <v>178</v>
      </c>
      <c r="D155" s="85"/>
      <c r="E155" s="85"/>
      <c r="F155" s="85"/>
      <c r="G155" s="86" t="s">
        <v>184</v>
      </c>
      <c r="H155" s="87"/>
    </row>
    <row r="156" spans="1:8" s="2" customFormat="1" ht="15.75" customHeight="1" x14ac:dyDescent="0.3">
      <c r="A156" s="85">
        <v>2</v>
      </c>
      <c r="B156" s="85"/>
      <c r="C156" s="24" t="s">
        <v>250</v>
      </c>
      <c r="D156" s="24">
        <f>(2.9*4.3+1.825*2.45+1.07*1.075+2.28*2.45+2.75*3.5+2.125*1.225*2+2.339*0.9+0.1*0.9+0.73*0.62+2.955*0.15)*10.764</f>
        <v>447.77917080000003</v>
      </c>
      <c r="E156" s="24">
        <v>0</v>
      </c>
      <c r="F156" s="24">
        <f>D156*1.6+E156</f>
        <v>716.44667328000014</v>
      </c>
      <c r="G156" s="88"/>
      <c r="H156" s="89"/>
    </row>
    <row r="157" spans="1:8" s="2" customFormat="1" ht="15.75" customHeight="1" x14ac:dyDescent="0.3">
      <c r="A157" s="85">
        <v>3</v>
      </c>
      <c r="B157" s="85"/>
      <c r="C157" s="24" t="s">
        <v>250</v>
      </c>
      <c r="D157" s="24">
        <f>(2.9*4.3+1.825*2.45+1.07*1.075+2.28*2.45+2.75*3.5+2.125*1.225*2+2.339*0.9+0.1*0.9+0.73*0.62+0.15*2.53)*10.764</f>
        <v>447.09296580000006</v>
      </c>
      <c r="E157" s="24">
        <v>0</v>
      </c>
      <c r="F157" s="24">
        <f t="shared" ref="F157:F159" si="3">D157*1.6+E157</f>
        <v>715.34874528000012</v>
      </c>
      <c r="G157" s="88"/>
      <c r="H157" s="89"/>
    </row>
    <row r="158" spans="1:8" s="2" customFormat="1" ht="15.75" customHeight="1" x14ac:dyDescent="0.3">
      <c r="A158" s="85">
        <v>4</v>
      </c>
      <c r="B158" s="85"/>
      <c r="C158" s="24" t="s">
        <v>250</v>
      </c>
      <c r="D158" s="24">
        <f>(2.9*4.3+1.825*2.45+1.07*1.075+2.28*2.45+2.75*3.5+2.125*1.225*2+2.339*0.9+0.1*0.9+0.73*0.62+0.15*2.53)*10.764</f>
        <v>447.09296580000006</v>
      </c>
      <c r="E158" s="24">
        <v>0</v>
      </c>
      <c r="F158" s="24">
        <f t="shared" si="3"/>
        <v>715.34874528000012</v>
      </c>
      <c r="G158" s="88"/>
      <c r="H158" s="89"/>
    </row>
    <row r="159" spans="1:8" s="2" customFormat="1" ht="15.75" customHeight="1" x14ac:dyDescent="0.3">
      <c r="A159" s="85">
        <v>5</v>
      </c>
      <c r="B159" s="85"/>
      <c r="C159" s="24" t="s">
        <v>250</v>
      </c>
      <c r="D159" s="24">
        <f>(2.9*4.3+1.825*2.45+1.07*1.075+2.28*2.45+2.75*3.5+2.125*1.225*2+2.339*0.9+0.1*0.9+0.73*0.62+2.955*0.15)*10.764</f>
        <v>447.77917080000003</v>
      </c>
      <c r="E159" s="24">
        <v>0</v>
      </c>
      <c r="F159" s="24">
        <f t="shared" si="3"/>
        <v>716.44667328000014</v>
      </c>
      <c r="G159" s="90"/>
      <c r="H159" s="91"/>
    </row>
    <row r="160" spans="1:8" s="2" customFormat="1" ht="15.75" customHeight="1" x14ac:dyDescent="0.3">
      <c r="A160" s="130" t="s">
        <v>215</v>
      </c>
      <c r="B160" s="131"/>
      <c r="C160" s="131"/>
      <c r="D160" s="131"/>
      <c r="E160" s="131"/>
      <c r="F160" s="131"/>
      <c r="G160" s="131"/>
      <c r="H160" s="132"/>
    </row>
    <row r="161" spans="1:8" s="2" customFormat="1" ht="15.75" customHeight="1" x14ac:dyDescent="0.3">
      <c r="A161" s="99">
        <v>1</v>
      </c>
      <c r="B161" s="99"/>
      <c r="C161" s="24" t="s">
        <v>250</v>
      </c>
      <c r="D161" s="42">
        <f>(2.9*4.3+1.825*2.45+1.07*1.075+2.28*2.45+2.75*3.5+2.125*1.225*2+2.339*0.9+0.1*0.9+0.73*0.62+2.955*0.15)*10.764</f>
        <v>447.77917080000003</v>
      </c>
      <c r="E161" s="42">
        <v>0</v>
      </c>
      <c r="F161" s="42">
        <f>D161*1.6+E161</f>
        <v>716.44667328000014</v>
      </c>
      <c r="G161" s="100" t="str">
        <f>A160</f>
        <v xml:space="preserve">6th, 8th to 13th &amp; 15th to 20th Floor </v>
      </c>
      <c r="H161" s="102"/>
    </row>
    <row r="162" spans="1:8" s="2" customFormat="1" ht="15.75" customHeight="1" x14ac:dyDescent="0.3">
      <c r="A162" s="99">
        <v>2</v>
      </c>
      <c r="B162" s="99"/>
      <c r="C162" s="24" t="s">
        <v>250</v>
      </c>
      <c r="D162" s="42">
        <f>(2.9*4.3+1.825*2.45+1.07*1.075+2.28*2.45+2.75*3.5+2.125*1.225*2+2.339*0.9+0.1*0.9+0.73*0.62+2.955*0.15)*10.764</f>
        <v>447.77917080000003</v>
      </c>
      <c r="E162" s="42">
        <v>0</v>
      </c>
      <c r="F162" s="42">
        <f>D162*1.6+E162</f>
        <v>716.44667328000014</v>
      </c>
      <c r="G162" s="106"/>
      <c r="H162" s="107"/>
    </row>
    <row r="163" spans="1:8" s="2" customFormat="1" ht="15.75" customHeight="1" x14ac:dyDescent="0.3">
      <c r="A163" s="99">
        <v>3</v>
      </c>
      <c r="B163" s="99"/>
      <c r="C163" s="24" t="s">
        <v>250</v>
      </c>
      <c r="D163" s="42">
        <f>(2.9*4.3+1.825*2.45+1.07*1.075+2.28*2.45+2.75*3.5+2.125*1.225*2+2.339*0.9+0.1*0.9+0.73*0.62+0.15*2.53)*10.764</f>
        <v>447.09296580000006</v>
      </c>
      <c r="E163" s="42">
        <v>0</v>
      </c>
      <c r="F163" s="42">
        <f t="shared" ref="F163:F167" si="4">D163*1.6+E163</f>
        <v>715.34874528000012</v>
      </c>
      <c r="G163" s="106"/>
      <c r="H163" s="107"/>
    </row>
    <row r="164" spans="1:8" s="2" customFormat="1" ht="15.75" customHeight="1" x14ac:dyDescent="0.3">
      <c r="A164" s="99">
        <v>4</v>
      </c>
      <c r="B164" s="99"/>
      <c r="C164" s="24" t="s">
        <v>250</v>
      </c>
      <c r="D164" s="42">
        <f>(2.9*4.3+1.825*2.45+1.07*1.075+2.28*2.45+2.75*3.5+2.125*1.225*2+2.339*0.9+0.1*0.9+0.73*0.62+0.15*2.53)*10.764</f>
        <v>447.09296580000006</v>
      </c>
      <c r="E164" s="42">
        <v>0</v>
      </c>
      <c r="F164" s="42">
        <f t="shared" si="4"/>
        <v>715.34874528000012</v>
      </c>
      <c r="G164" s="106"/>
      <c r="H164" s="107"/>
    </row>
    <row r="165" spans="1:8" s="2" customFormat="1" ht="15.75" customHeight="1" x14ac:dyDescent="0.3">
      <c r="A165" s="99">
        <v>5</v>
      </c>
      <c r="B165" s="99"/>
      <c r="C165" s="24" t="s">
        <v>250</v>
      </c>
      <c r="D165" s="42">
        <f>(2.9*4.3+1.825*2.45+1.07*1.075+2.28*2.45+2.75*3.5+2.125*1.225*2+2.339*0.9+0.1*0.9+0.73*0.62+2.955*0.15)*10.764</f>
        <v>447.77917080000003</v>
      </c>
      <c r="E165" s="42">
        <v>0</v>
      </c>
      <c r="F165" s="42">
        <f t="shared" si="4"/>
        <v>716.44667328000014</v>
      </c>
      <c r="G165" s="106"/>
      <c r="H165" s="107"/>
    </row>
    <row r="166" spans="1:8" s="2" customFormat="1" ht="15.75" customHeight="1" x14ac:dyDescent="0.3">
      <c r="A166" s="99">
        <v>6</v>
      </c>
      <c r="B166" s="99"/>
      <c r="C166" s="24" t="s">
        <v>250</v>
      </c>
      <c r="D166" s="42">
        <f>(2.9*4.3+1.825*2.45+1.07*1.075+2.28*2.45+2.75*3.5+2.125*1.225*2+2.339*0.9+0.1*0.9+0.73*0.62+2.955*0.15)*10.764</f>
        <v>447.77917080000003</v>
      </c>
      <c r="E166" s="42">
        <v>0</v>
      </c>
      <c r="F166" s="42">
        <f t="shared" si="4"/>
        <v>716.44667328000014</v>
      </c>
      <c r="G166" s="106"/>
      <c r="H166" s="107"/>
    </row>
    <row r="167" spans="1:8" s="2" customFormat="1" ht="15.75" customHeight="1" x14ac:dyDescent="0.3">
      <c r="A167" s="99">
        <v>7</v>
      </c>
      <c r="B167" s="99"/>
      <c r="C167" s="42" t="s">
        <v>173</v>
      </c>
      <c r="D167" s="70">
        <f>(3.07*5.98+2.31*2.435+2.92*4.33+3.07*4.33+2.46*1.52+1.4*1.62+2.46*1.52+2*1.4+0.81*2.72+1.8*1.07+0.2*2.74+1.86*0.53+1.81*0.15+0.2*1.52)*10.764</f>
        <v>739.54115819999981</v>
      </c>
      <c r="E167" s="42">
        <v>0</v>
      </c>
      <c r="F167" s="42">
        <f t="shared" si="4"/>
        <v>1183.2658531199997</v>
      </c>
      <c r="G167" s="103"/>
      <c r="H167" s="105"/>
    </row>
    <row r="168" spans="1:8" s="2" customFormat="1" ht="15.75" customHeight="1" x14ac:dyDescent="0.3">
      <c r="A168" s="130" t="s">
        <v>217</v>
      </c>
      <c r="B168" s="131"/>
      <c r="C168" s="131"/>
      <c r="D168" s="131"/>
      <c r="E168" s="131"/>
      <c r="F168" s="131"/>
      <c r="G168" s="131"/>
      <c r="H168" s="132"/>
    </row>
    <row r="169" spans="1:8" s="2" customFormat="1" ht="15.75" customHeight="1" x14ac:dyDescent="0.3">
      <c r="A169" s="99">
        <v>1</v>
      </c>
      <c r="B169" s="99"/>
      <c r="C169" s="24" t="s">
        <v>250</v>
      </c>
      <c r="D169" s="42">
        <f>(2.9*4.3+1.825*2.45+1.07*1.075+2.28*2.45+2.75*3.5+2.125*1.225*2+2.339*0.9+0.1*0.9+0.73*0.62+2.955*0.15)*10.764</f>
        <v>447.77917080000003</v>
      </c>
      <c r="E169" s="42">
        <v>0</v>
      </c>
      <c r="F169" s="42">
        <f>D169*1.6+E169</f>
        <v>716.44667328000014</v>
      </c>
      <c r="G169" s="100" t="str">
        <f>A168</f>
        <v>22nd to 27th, 29th to 34th &amp; 36th to 38th Floor</v>
      </c>
      <c r="H169" s="102"/>
    </row>
    <row r="170" spans="1:8" s="2" customFormat="1" ht="15.75" customHeight="1" x14ac:dyDescent="0.3">
      <c r="A170" s="99">
        <v>2</v>
      </c>
      <c r="B170" s="99"/>
      <c r="C170" s="24" t="s">
        <v>250</v>
      </c>
      <c r="D170" s="42">
        <f>(2.9*4.3+1.825*2.45+1.07*1.075+2.28*2.45+2.75*3.5+2.125*1.225*2+2.339*0.9+0.1*0.9+0.73*0.62+2.955*0.15)*10.764</f>
        <v>447.77917080000003</v>
      </c>
      <c r="E170" s="42">
        <v>0</v>
      </c>
      <c r="F170" s="42">
        <f>D170*1.6+E170</f>
        <v>716.44667328000014</v>
      </c>
      <c r="G170" s="106"/>
      <c r="H170" s="107"/>
    </row>
    <row r="171" spans="1:8" s="2" customFormat="1" ht="15.75" customHeight="1" x14ac:dyDescent="0.3">
      <c r="A171" s="99">
        <v>3</v>
      </c>
      <c r="B171" s="99"/>
      <c r="C171" s="24" t="s">
        <v>250</v>
      </c>
      <c r="D171" s="42">
        <f>(2.9*4.3+1.825*2.45+1.07*1.075+2.28*2.45+2.75*3.5+2.125*1.225*2+2.339*0.9+0.1*0.9+0.73*0.62+0.15*2.53)*10.764</f>
        <v>447.09296580000006</v>
      </c>
      <c r="E171" s="42">
        <v>0</v>
      </c>
      <c r="F171" s="42">
        <f t="shared" ref="F171:F175" si="5">D171*1.6+E171</f>
        <v>715.34874528000012</v>
      </c>
      <c r="G171" s="106"/>
      <c r="H171" s="107"/>
    </row>
    <row r="172" spans="1:8" s="2" customFormat="1" ht="15.75" customHeight="1" x14ac:dyDescent="0.3">
      <c r="A172" s="99">
        <v>4</v>
      </c>
      <c r="B172" s="99"/>
      <c r="C172" s="24" t="s">
        <v>250</v>
      </c>
      <c r="D172" s="42">
        <f>(2.9*4.3+1.825*2.45+1.07*1.075+2.28*2.45+2.75*3.5+2.125*1.225*2+2.339*0.9+0.1*0.9+0.73*0.62+0.15*2.53)*10.764</f>
        <v>447.09296580000006</v>
      </c>
      <c r="E172" s="42">
        <v>0</v>
      </c>
      <c r="F172" s="42">
        <f t="shared" si="5"/>
        <v>715.34874528000012</v>
      </c>
      <c r="G172" s="106"/>
      <c r="H172" s="107"/>
    </row>
    <row r="173" spans="1:8" s="2" customFormat="1" ht="15.75" customHeight="1" x14ac:dyDescent="0.3">
      <c r="A173" s="99">
        <v>5</v>
      </c>
      <c r="B173" s="99"/>
      <c r="C173" s="24" t="s">
        <v>250</v>
      </c>
      <c r="D173" s="42">
        <f>(2.9*4.3+1.825*2.45+1.07*1.075+2.28*2.45+2.75*3.5+2.125*1.225*2+2.339*0.9+0.1*0.9+0.73*0.62+2.955*0.15)*10.764</f>
        <v>447.77917080000003</v>
      </c>
      <c r="E173" s="42">
        <v>0</v>
      </c>
      <c r="F173" s="42">
        <f t="shared" si="5"/>
        <v>716.44667328000014</v>
      </c>
      <c r="G173" s="106"/>
      <c r="H173" s="107"/>
    </row>
    <row r="174" spans="1:8" s="2" customFormat="1" ht="15.75" customHeight="1" x14ac:dyDescent="0.3">
      <c r="A174" s="99">
        <v>6</v>
      </c>
      <c r="B174" s="99"/>
      <c r="C174" s="24" t="s">
        <v>250</v>
      </c>
      <c r="D174" s="42">
        <f>(2.9*4.3+1.825*2.45+1.07*1.075+2.28*2.45+2.75*3.5+2.125*1.225*2+2.339*0.9+0.1*0.9+0.73*0.62+2.955*0.15)*10.764</f>
        <v>447.77917080000003</v>
      </c>
      <c r="E174" s="42">
        <v>0</v>
      </c>
      <c r="F174" s="42">
        <f t="shared" si="5"/>
        <v>716.44667328000014</v>
      </c>
      <c r="G174" s="106"/>
      <c r="H174" s="107"/>
    </row>
    <row r="175" spans="1:8" s="2" customFormat="1" ht="15.75" customHeight="1" x14ac:dyDescent="0.3">
      <c r="A175" s="99">
        <v>7</v>
      </c>
      <c r="B175" s="99"/>
      <c r="C175" s="42" t="s">
        <v>173</v>
      </c>
      <c r="D175" s="70">
        <f>(3.07*5.98+2.31*2.435+2.92*4.33+3.07*4.33+2.46*1.52+1.4*1.62+2.46*1.52+2*1.4+0.81*2.72+1.8*1.07+0.2*2.74+1.86*0.53+1.81*0.15+0.2*1.52)*10.764</f>
        <v>739.54115819999981</v>
      </c>
      <c r="E175" s="42">
        <v>0</v>
      </c>
      <c r="F175" s="42">
        <f t="shared" si="5"/>
        <v>1183.2658531199997</v>
      </c>
      <c r="G175" s="103"/>
      <c r="H175" s="105"/>
    </row>
    <row r="176" spans="1:8" s="2" customFormat="1" ht="15.75" customHeight="1" x14ac:dyDescent="0.3">
      <c r="A176" s="82" t="s">
        <v>216</v>
      </c>
      <c r="B176" s="83"/>
      <c r="C176" s="83"/>
      <c r="D176" s="83"/>
      <c r="E176" s="83"/>
      <c r="F176" s="83"/>
      <c r="G176" s="83"/>
      <c r="H176" s="84"/>
    </row>
    <row r="177" spans="1:9" s="2" customFormat="1" ht="15.75" customHeight="1" x14ac:dyDescent="0.3">
      <c r="A177" s="85">
        <v>1</v>
      </c>
      <c r="B177" s="85"/>
      <c r="C177" s="24" t="s">
        <v>250</v>
      </c>
      <c r="D177" s="24">
        <f>(2.9*4.3+1.825*2.45+1.07*1.075+2.28*2.45+2.75*3.5+2.125*1.225*2+2.339*0.9+0.1*0.9+0.73*0.62+2.955*0.15)*10.764</f>
        <v>447.77917080000003</v>
      </c>
      <c r="E177" s="24">
        <v>0</v>
      </c>
      <c r="F177" s="24">
        <f>D177*1.6+E177</f>
        <v>716.44667328000014</v>
      </c>
      <c r="G177" s="86" t="str">
        <f>A176</f>
        <v>7th &amp; 14th Floor (Part Refuge Area)</v>
      </c>
      <c r="H177" s="87"/>
    </row>
    <row r="178" spans="1:9" s="2" customFormat="1" ht="15.75" customHeight="1" x14ac:dyDescent="0.3">
      <c r="A178" s="85">
        <v>2</v>
      </c>
      <c r="B178" s="85"/>
      <c r="C178" s="24" t="s">
        <v>250</v>
      </c>
      <c r="D178" s="24">
        <f>(2.9*4.3+1.825*2.45+1.07*1.075+2.28*2.45+2.75*3.5+2.125*1.225*2+2.339*0.9+0.1*0.9+0.73*0.62+2.955*0.15)*10.764</f>
        <v>447.77917080000003</v>
      </c>
      <c r="E178" s="24">
        <v>0</v>
      </c>
      <c r="F178" s="24">
        <f>D178*1.6+E178</f>
        <v>716.44667328000014</v>
      </c>
      <c r="G178" s="88"/>
      <c r="H178" s="89"/>
    </row>
    <row r="179" spans="1:9" s="2" customFormat="1" ht="15.75" customHeight="1" x14ac:dyDescent="0.3">
      <c r="A179" s="85">
        <v>3</v>
      </c>
      <c r="B179" s="85"/>
      <c r="C179" s="86" t="s">
        <v>179</v>
      </c>
      <c r="D179" s="124"/>
      <c r="E179" s="124"/>
      <c r="F179" s="87"/>
      <c r="G179" s="88"/>
      <c r="H179" s="89"/>
    </row>
    <row r="180" spans="1:9" s="2" customFormat="1" ht="15.75" customHeight="1" x14ac:dyDescent="0.3">
      <c r="A180" s="85">
        <v>4</v>
      </c>
      <c r="B180" s="85"/>
      <c r="C180" s="90"/>
      <c r="D180" s="125"/>
      <c r="E180" s="125"/>
      <c r="F180" s="91"/>
      <c r="G180" s="88"/>
      <c r="H180" s="89"/>
    </row>
    <row r="181" spans="1:9" s="2" customFormat="1" ht="15.75" customHeight="1" x14ac:dyDescent="0.3">
      <c r="A181" s="85">
        <v>5</v>
      </c>
      <c r="B181" s="85"/>
      <c r="C181" s="24" t="s">
        <v>250</v>
      </c>
      <c r="D181" s="24">
        <f>(2.9*4.3+1.825*2.45+1.07*1.075+2.28*2.45+2.75*3.5+2.125*1.225*2+2.339*0.9+0.1*0.9+0.73*0.62+2.955*0.15)*10.764</f>
        <v>447.77917080000003</v>
      </c>
      <c r="E181" s="24">
        <v>0</v>
      </c>
      <c r="F181" s="24">
        <f t="shared" ref="F181:F183" si="6">D181*1.6+E181</f>
        <v>716.44667328000014</v>
      </c>
      <c r="G181" s="88"/>
      <c r="H181" s="89"/>
      <c r="I181" s="2">
        <f>10100000/F182</f>
        <v>14097.350684539699</v>
      </c>
    </row>
    <row r="182" spans="1:9" s="2" customFormat="1" ht="15.75" customHeight="1" x14ac:dyDescent="0.3">
      <c r="A182" s="85">
        <v>6</v>
      </c>
      <c r="B182" s="85"/>
      <c r="C182" s="24" t="s">
        <v>250</v>
      </c>
      <c r="D182" s="24">
        <f>(2.9*4.3+1.825*2.45+1.07*1.075+2.28*2.45+2.75*3.5+2.125*1.225*2+2.339*0.9+0.1*0.9+0.73*0.62+2.955*0.15)*10.764</f>
        <v>447.77917080000003</v>
      </c>
      <c r="E182" s="24">
        <v>0</v>
      </c>
      <c r="F182" s="24">
        <f t="shared" si="6"/>
        <v>716.44667328000014</v>
      </c>
      <c r="G182" s="88"/>
      <c r="H182" s="89"/>
      <c r="I182" s="2">
        <f>17600000/F183</f>
        <v>14874.087639386238</v>
      </c>
    </row>
    <row r="183" spans="1:9" s="2" customFormat="1" ht="15.75" customHeight="1" x14ac:dyDescent="0.3">
      <c r="A183" s="85">
        <v>7</v>
      </c>
      <c r="B183" s="85"/>
      <c r="C183" s="24" t="s">
        <v>173</v>
      </c>
      <c r="D183" s="70">
        <f>(3.07*5.98+2.31*2.435+2.92*4.33+3.07*4.33+2.46*1.52+1.4*1.62+2.46*1.52+2*1.4+0.81*2.72+1.8*1.07+0.2*2.74+1.86*0.53+1.81*0.15+0.2*1.52)*10.764</f>
        <v>739.54115819999981</v>
      </c>
      <c r="E183" s="24">
        <v>0</v>
      </c>
      <c r="F183" s="24">
        <f t="shared" si="6"/>
        <v>1183.2658531199997</v>
      </c>
      <c r="G183" s="90"/>
      <c r="H183" s="91"/>
    </row>
    <row r="184" spans="1:9" s="2" customFormat="1" ht="15.75" customHeight="1" x14ac:dyDescent="0.3">
      <c r="A184" s="130" t="s">
        <v>218</v>
      </c>
      <c r="B184" s="131"/>
      <c r="C184" s="131"/>
      <c r="D184" s="131"/>
      <c r="E184" s="131"/>
      <c r="F184" s="131"/>
      <c r="G184" s="131"/>
      <c r="H184" s="132"/>
    </row>
    <row r="185" spans="1:9" s="2" customFormat="1" ht="15.75" customHeight="1" x14ac:dyDescent="0.3">
      <c r="A185" s="99">
        <v>1</v>
      </c>
      <c r="B185" s="99"/>
      <c r="C185" s="24" t="s">
        <v>250</v>
      </c>
      <c r="D185" s="42">
        <f>(2.9*4.3+1.825*2.45+1.07*1.075+2.28*2.45+2.75*3.5+2.125*1.225*2+2.339*0.9+0.1*0.9+0.73*0.62+2.955*0.15)*10.764</f>
        <v>447.77917080000003</v>
      </c>
      <c r="E185" s="42">
        <v>0</v>
      </c>
      <c r="F185" s="42">
        <f>D185*1.6+E185</f>
        <v>716.44667328000014</v>
      </c>
      <c r="G185" s="100" t="str">
        <f>A184</f>
        <v>21st &amp; 28th Floor (Part Refuge Area)</v>
      </c>
      <c r="H185" s="102"/>
    </row>
    <row r="186" spans="1:9" s="2" customFormat="1" ht="15.75" customHeight="1" x14ac:dyDescent="0.3">
      <c r="A186" s="99">
        <v>2</v>
      </c>
      <c r="B186" s="99"/>
      <c r="C186" s="24" t="s">
        <v>250</v>
      </c>
      <c r="D186" s="42">
        <f>(2.9*4.3+1.825*2.45+1.07*1.075+2.28*2.45+2.75*3.5+2.125*1.225*2+2.339*0.9+0.1*0.9+0.73*0.62+2.955*0.15)*10.764</f>
        <v>447.77917080000003</v>
      </c>
      <c r="E186" s="42">
        <v>0</v>
      </c>
      <c r="F186" s="42">
        <f>D186*1.6+E186</f>
        <v>716.44667328000014</v>
      </c>
      <c r="G186" s="106"/>
      <c r="H186" s="107"/>
    </row>
    <row r="187" spans="1:9" s="2" customFormat="1" ht="15.75" customHeight="1" x14ac:dyDescent="0.3">
      <c r="A187" s="99">
        <v>3</v>
      </c>
      <c r="B187" s="99"/>
      <c r="C187" s="100" t="s">
        <v>179</v>
      </c>
      <c r="D187" s="101"/>
      <c r="E187" s="101"/>
      <c r="F187" s="102"/>
      <c r="G187" s="106"/>
      <c r="H187" s="107"/>
    </row>
    <row r="188" spans="1:9" s="2" customFormat="1" ht="15.75" customHeight="1" x14ac:dyDescent="0.3">
      <c r="A188" s="99">
        <v>4</v>
      </c>
      <c r="B188" s="99"/>
      <c r="C188" s="103"/>
      <c r="D188" s="104"/>
      <c r="E188" s="104"/>
      <c r="F188" s="105"/>
      <c r="G188" s="106"/>
      <c r="H188" s="107"/>
    </row>
    <row r="189" spans="1:9" s="2" customFormat="1" ht="15.75" customHeight="1" x14ac:dyDescent="0.3">
      <c r="A189" s="99">
        <v>5</v>
      </c>
      <c r="B189" s="99"/>
      <c r="C189" s="24" t="s">
        <v>250</v>
      </c>
      <c r="D189" s="42">
        <f>(2.9*4.3+1.825*2.45+1.07*1.075+2.28*2.45+2.75*3.5+2.125*1.225*2+2.339*0.9+0.1*0.9+0.73*0.62+2.955*0.15)*10.764</f>
        <v>447.77917080000003</v>
      </c>
      <c r="E189" s="42">
        <v>0</v>
      </c>
      <c r="F189" s="42">
        <f t="shared" ref="F189:F191" si="7">D189*1.6+E189</f>
        <v>716.44667328000014</v>
      </c>
      <c r="G189" s="106"/>
      <c r="H189" s="107"/>
      <c r="I189" s="2">
        <f>10100000/F190</f>
        <v>14097.350684539699</v>
      </c>
    </row>
    <row r="190" spans="1:9" s="2" customFormat="1" ht="15.75" customHeight="1" x14ac:dyDescent="0.3">
      <c r="A190" s="99">
        <v>6</v>
      </c>
      <c r="B190" s="99"/>
      <c r="C190" s="24" t="s">
        <v>250</v>
      </c>
      <c r="D190" s="42">
        <f>(2.9*4.3+1.825*2.45+1.07*1.075+2.28*2.45+2.75*3.5+2.125*1.225*2+2.339*0.9+0.1*0.9+0.73*0.62+2.955*0.15)*10.764</f>
        <v>447.77917080000003</v>
      </c>
      <c r="E190" s="42">
        <v>0</v>
      </c>
      <c r="F190" s="42">
        <f t="shared" si="7"/>
        <v>716.44667328000014</v>
      </c>
      <c r="G190" s="106"/>
      <c r="H190" s="107"/>
      <c r="I190" s="2">
        <f>17600000/F191</f>
        <v>14874.087639386238</v>
      </c>
    </row>
    <row r="191" spans="1:9" s="2" customFormat="1" ht="15.75" customHeight="1" x14ac:dyDescent="0.3">
      <c r="A191" s="99">
        <v>7</v>
      </c>
      <c r="B191" s="99"/>
      <c r="C191" s="42" t="s">
        <v>173</v>
      </c>
      <c r="D191" s="70">
        <f>(3.07*5.98+2.31*2.435+2.92*4.33+3.07*4.33+2.46*1.52+1.4*1.62+2.46*1.52+2*1.4+0.81*2.72+1.8*1.07+0.2*2.74+1.86*0.53+1.81*0.15+0.2*1.52)*10.764</f>
        <v>739.54115819999981</v>
      </c>
      <c r="E191" s="42">
        <v>0</v>
      </c>
      <c r="F191" s="42">
        <f t="shared" si="7"/>
        <v>1183.2658531199997</v>
      </c>
      <c r="G191" s="103"/>
      <c r="H191" s="105"/>
    </row>
    <row r="192" spans="1:9" s="2" customFormat="1" ht="15.75" customHeight="1" x14ac:dyDescent="0.3">
      <c r="A192" s="82" t="s">
        <v>219</v>
      </c>
      <c r="B192" s="83"/>
      <c r="C192" s="83"/>
      <c r="D192" s="83"/>
      <c r="E192" s="83"/>
      <c r="F192" s="83"/>
      <c r="G192" s="83"/>
      <c r="H192" s="84"/>
    </row>
    <row r="193" spans="1:10" s="2" customFormat="1" ht="15.75" customHeight="1" x14ac:dyDescent="0.3">
      <c r="A193" s="85">
        <v>1</v>
      </c>
      <c r="B193" s="85"/>
      <c r="C193" s="24" t="s">
        <v>250</v>
      </c>
      <c r="D193" s="42">
        <f>(2.9*4.3+1.825*2.45+1.07*1.075+2.28*2.45+2.75*3.5+2.125*1.225*2+2.339*0.9+0.1*0.9+0.73*0.62+2.955*0.15)*10.764</f>
        <v>447.77917080000003</v>
      </c>
      <c r="E193" s="24">
        <v>0</v>
      </c>
      <c r="F193" s="24">
        <f>D193*1.6+E193</f>
        <v>716.44667328000014</v>
      </c>
      <c r="G193" s="85" t="str">
        <f>A192</f>
        <v>35th Floor (Part Refuge Area)</v>
      </c>
      <c r="H193" s="85"/>
    </row>
    <row r="194" spans="1:10" s="2" customFormat="1" ht="15.75" customHeight="1" x14ac:dyDescent="0.3">
      <c r="A194" s="85">
        <v>2</v>
      </c>
      <c r="B194" s="85"/>
      <c r="C194" s="24" t="s">
        <v>250</v>
      </c>
      <c r="D194" s="42">
        <f>(2.9*4.3+1.825*2.45+1.07*1.075+2.28*2.45+2.75*3.5+2.125*1.225*2+2.339*0.9+0.1*0.9+0.73*0.62+2.955*0.15)*10.764</f>
        <v>447.77917080000003</v>
      </c>
      <c r="E194" s="24">
        <v>0</v>
      </c>
      <c r="F194" s="24">
        <f>D194*1.6+E194</f>
        <v>716.44667328000014</v>
      </c>
      <c r="G194" s="85"/>
      <c r="H194" s="85"/>
    </row>
    <row r="195" spans="1:10" s="2" customFormat="1" ht="15.75" customHeight="1" x14ac:dyDescent="0.3">
      <c r="A195" s="85">
        <v>3</v>
      </c>
      <c r="B195" s="85"/>
      <c r="C195" s="85" t="s">
        <v>179</v>
      </c>
      <c r="D195" s="85"/>
      <c r="E195" s="85"/>
      <c r="F195" s="85"/>
      <c r="G195" s="85"/>
      <c r="H195" s="85"/>
    </row>
    <row r="196" spans="1:10" s="2" customFormat="1" ht="15.75" customHeight="1" x14ac:dyDescent="0.3">
      <c r="A196" s="85">
        <v>4</v>
      </c>
      <c r="B196" s="85"/>
      <c r="C196" s="24" t="s">
        <v>220</v>
      </c>
      <c r="D196" s="24">
        <f>(5.23*3.5+2.25*1.225+3.1*0.6+2.125*0.725+0.88*1.88+2.17*0.9+1.075*1+1.825*2.45)*10.764</f>
        <v>361.83751109999997</v>
      </c>
      <c r="E196" s="24">
        <v>0</v>
      </c>
      <c r="F196" s="24">
        <f t="shared" ref="F196" si="8">D196*1.6+E196</f>
        <v>578.94001775999993</v>
      </c>
      <c r="G196" s="85"/>
      <c r="H196" s="85"/>
    </row>
    <row r="197" spans="1:10" s="2" customFormat="1" ht="15.75" customHeight="1" x14ac:dyDescent="0.3">
      <c r="A197" s="85">
        <v>5</v>
      </c>
      <c r="B197" s="85"/>
      <c r="C197" s="24" t="s">
        <v>250</v>
      </c>
      <c r="D197" s="42">
        <f>(2.9*4.3+1.825*2.45+1.07*1.075+2.28*2.45+2.75*3.5+2.125*1.225*2+2.339*0.9+0.1*0.9+0.73*0.62+2.955*0.15)*10.764</f>
        <v>447.77917080000003</v>
      </c>
      <c r="E197" s="24">
        <v>0</v>
      </c>
      <c r="F197" s="24">
        <f t="shared" ref="F197:F199" si="9">D197*1.6+E197</f>
        <v>716.44667328000014</v>
      </c>
      <c r="G197" s="85"/>
      <c r="H197" s="85"/>
      <c r="I197" s="2">
        <f>10100000/F198</f>
        <v>14097.350684539699</v>
      </c>
    </row>
    <row r="198" spans="1:10" s="2" customFormat="1" ht="15.75" customHeight="1" x14ac:dyDescent="0.3">
      <c r="A198" s="85">
        <v>6</v>
      </c>
      <c r="B198" s="85"/>
      <c r="C198" s="24" t="s">
        <v>250</v>
      </c>
      <c r="D198" s="42">
        <f>(2.9*4.3+1.825*2.45+1.07*1.075+2.28*2.45+2.75*3.5+2.125*1.225*2+2.339*0.9+0.1*0.9+0.73*0.62+2.955*0.15)*10.764</f>
        <v>447.77917080000003</v>
      </c>
      <c r="E198" s="24">
        <v>0</v>
      </c>
      <c r="F198" s="24">
        <f t="shared" si="9"/>
        <v>716.44667328000014</v>
      </c>
      <c r="G198" s="85"/>
      <c r="H198" s="85"/>
      <c r="I198" s="2">
        <f>17600000/F199</f>
        <v>14874.087639386238</v>
      </c>
    </row>
    <row r="199" spans="1:10" s="2" customFormat="1" ht="15.75" customHeight="1" x14ac:dyDescent="0.3">
      <c r="A199" s="85">
        <v>7</v>
      </c>
      <c r="B199" s="85"/>
      <c r="C199" s="24" t="s">
        <v>173</v>
      </c>
      <c r="D199" s="70">
        <f>(3.07*5.98+2.31*2.435+2.92*4.33+3.07*4.33+2.46*1.52+1.4*1.62+2.46*1.52+2*1.4+0.81*2.72+1.8*1.07+0.2*2.74+1.86*0.53+1.81*0.15+0.2*1.52)*10.764</f>
        <v>739.54115819999981</v>
      </c>
      <c r="E199" s="24">
        <v>0</v>
      </c>
      <c r="F199" s="24">
        <f t="shared" si="9"/>
        <v>1183.2658531199997</v>
      </c>
      <c r="G199" s="85"/>
      <c r="H199" s="85"/>
    </row>
    <row r="200" spans="1:10" s="2" customFormat="1" x14ac:dyDescent="0.3">
      <c r="A200" s="115" t="s">
        <v>186</v>
      </c>
      <c r="B200" s="115"/>
      <c r="C200" s="115"/>
      <c r="D200" s="115"/>
      <c r="E200" s="115"/>
      <c r="F200" s="115"/>
      <c r="G200" s="115"/>
      <c r="H200" s="115"/>
    </row>
    <row r="201" spans="1:10" s="2" customFormat="1" x14ac:dyDescent="0.3">
      <c r="A201" s="122" t="s">
        <v>185</v>
      </c>
      <c r="B201" s="122"/>
      <c r="C201" s="122"/>
      <c r="D201" s="122"/>
      <c r="E201" s="122"/>
      <c r="F201" s="122"/>
      <c r="G201" s="122"/>
      <c r="H201" s="122"/>
    </row>
    <row r="202" spans="1:10" s="2" customFormat="1" x14ac:dyDescent="0.3">
      <c r="A202" s="115" t="s">
        <v>171</v>
      </c>
      <c r="B202" s="115"/>
      <c r="C202" s="115"/>
      <c r="D202" s="115"/>
      <c r="E202" s="115"/>
      <c r="F202" s="115"/>
      <c r="G202" s="115"/>
      <c r="H202" s="115"/>
    </row>
    <row r="203" spans="1:10" s="2" customFormat="1" x14ac:dyDescent="0.3">
      <c r="A203" s="115" t="s">
        <v>251</v>
      </c>
      <c r="B203" s="115"/>
      <c r="C203" s="115"/>
      <c r="D203" s="115"/>
      <c r="E203" s="115"/>
      <c r="F203" s="115"/>
      <c r="G203" s="115"/>
      <c r="H203" s="115"/>
      <c r="I203" s="2">
        <v>1</v>
      </c>
    </row>
    <row r="204" spans="1:10" s="2" customFormat="1" ht="15.75" customHeight="1" x14ac:dyDescent="0.3">
      <c r="A204" s="82" t="s">
        <v>172</v>
      </c>
      <c r="B204" s="83"/>
      <c r="C204" s="83"/>
      <c r="D204" s="83"/>
      <c r="E204" s="83"/>
      <c r="F204" s="83"/>
      <c r="G204" s="83"/>
      <c r="H204" s="84"/>
      <c r="I204" s="2">
        <v>1</v>
      </c>
    </row>
    <row r="205" spans="1:10" s="2" customFormat="1" ht="15.75" customHeight="1" x14ac:dyDescent="0.3">
      <c r="A205" s="85">
        <v>2</v>
      </c>
      <c r="B205" s="85"/>
      <c r="C205" s="24" t="s">
        <v>151</v>
      </c>
      <c r="D205" s="69">
        <f>(3.48*6.29+2.66*3.485+2.92*3.92+3.07*3.97+3.22*4.81+2.31*2.045+2.43*1.54+2.76*1.54+1.25*1.68+2.76*1.275+1.31*0.15+2.26*1.23+0.93*2.67+1.26*0.15+1.2*3.63+4.905*1.07+2.175*1.07+1.54*0.6+3.43*1.26)*10.764</f>
        <v>1199.5740665999997</v>
      </c>
      <c r="E205" s="24">
        <v>0</v>
      </c>
      <c r="F205" s="24">
        <f t="shared" ref="F205" si="10">D205*1.6+E205</f>
        <v>1919.3185065599996</v>
      </c>
      <c r="G205" s="86" t="s">
        <v>181</v>
      </c>
      <c r="H205" s="87"/>
    </row>
    <row r="206" spans="1:10" s="2" customFormat="1" ht="15.75" customHeight="1" x14ac:dyDescent="0.3">
      <c r="A206" s="85">
        <v>3</v>
      </c>
      <c r="B206" s="85"/>
      <c r="C206" s="24" t="s">
        <v>151</v>
      </c>
      <c r="D206" s="69">
        <f>(3.48*6.29+2.66*3.485+2.92*3.92+3.07*3.97+3.22*4.81+2.31*2.045+2.43*1.54+2.76*1.54+1.25*1.68+2.76*1.275+1.31*0.15+2.26*1.23+0.93*2.67+1.26*0.15+1.2*3.63+4.905*1.07+2.175*1.07+1.54*0.6+3.43*1.26)*10.764</f>
        <v>1199.5740665999997</v>
      </c>
      <c r="E206" s="24">
        <v>0</v>
      </c>
      <c r="F206" s="24">
        <f t="shared" ref="F206" si="11">D206*1.6+E206</f>
        <v>1919.3185065599996</v>
      </c>
      <c r="G206" s="90"/>
      <c r="H206" s="91"/>
    </row>
    <row r="207" spans="1:10" s="2" customFormat="1" ht="15.75" customHeight="1" x14ac:dyDescent="0.3">
      <c r="A207" s="82" t="s">
        <v>187</v>
      </c>
      <c r="B207" s="83"/>
      <c r="C207" s="83"/>
      <c r="D207" s="83"/>
      <c r="E207" s="83"/>
      <c r="F207" s="83"/>
      <c r="G207" s="83"/>
      <c r="H207" s="84"/>
      <c r="I207" s="2">
        <v>2</v>
      </c>
    </row>
    <row r="208" spans="1:10" s="2" customFormat="1" ht="15.75" customHeight="1" x14ac:dyDescent="0.3">
      <c r="A208" s="85">
        <v>2</v>
      </c>
      <c r="B208" s="85"/>
      <c r="C208" s="24" t="s">
        <v>151</v>
      </c>
      <c r="D208" s="69">
        <f>(3.48*6.29+2.66*3.485+2.92*3.92+3.07*3.97+3.22*4.81+2.31*2.045+2.43*1.54+2.76*1.54+1.25*1.68+2.76*1.275+1.31*0.15+2.26*1.23+0.93*2.67+1.26*0.15+1.2*3.63+4.905*1.07+2.175*1.07+1.54*0.6+3.43*1.26)*10.764</f>
        <v>1199.5740665999997</v>
      </c>
      <c r="E208" s="24">
        <v>0</v>
      </c>
      <c r="F208" s="24">
        <f t="shared" ref="F208:F209" si="12">D208*1.6+E208</f>
        <v>1919.3185065599996</v>
      </c>
      <c r="G208" s="86" t="s">
        <v>191</v>
      </c>
      <c r="H208" s="87"/>
      <c r="J208" s="2">
        <v>6</v>
      </c>
    </row>
    <row r="209" spans="1:11" s="2" customFormat="1" ht="15.75" customHeight="1" x14ac:dyDescent="0.3">
      <c r="A209" s="85">
        <v>3</v>
      </c>
      <c r="B209" s="85"/>
      <c r="C209" s="24" t="s">
        <v>151</v>
      </c>
      <c r="D209" s="69">
        <f>(3.48*6.29+2.66*3.485+2.92*3.92+3.07*3.97+3.22*4.81+2.31*2.045+2.43*1.54+2.76*1.54+1.25*1.68+2.76*1.275+1.31*0.15+2.26*1.23+0.93*2.67+1.26*0.15+1.2*3.63+4.905*1.07+2.175*1.07+1.54*0.6+3.43*1.26)*10.764</f>
        <v>1199.5740665999997</v>
      </c>
      <c r="E209" s="24">
        <v>0</v>
      </c>
      <c r="F209" s="24">
        <f t="shared" si="12"/>
        <v>1919.3185065599996</v>
      </c>
      <c r="G209" s="90"/>
      <c r="H209" s="91"/>
      <c r="I209" s="2">
        <v>1</v>
      </c>
      <c r="J209" s="2">
        <v>2</v>
      </c>
    </row>
    <row r="210" spans="1:11" s="2" customFormat="1" ht="15.75" customHeight="1" x14ac:dyDescent="0.3">
      <c r="A210" s="82" t="s">
        <v>188</v>
      </c>
      <c r="B210" s="83"/>
      <c r="C210" s="83"/>
      <c r="D210" s="83"/>
      <c r="E210" s="83"/>
      <c r="F210" s="83"/>
      <c r="G210" s="83"/>
      <c r="H210" s="84"/>
      <c r="J210" s="2">
        <v>5</v>
      </c>
    </row>
    <row r="211" spans="1:11" s="2" customFormat="1" ht="15.75" customHeight="1" x14ac:dyDescent="0.3">
      <c r="A211" s="85">
        <v>1</v>
      </c>
      <c r="B211" s="85"/>
      <c r="C211" s="95" t="s">
        <v>178</v>
      </c>
      <c r="D211" s="96"/>
      <c r="E211" s="96"/>
      <c r="F211" s="96"/>
      <c r="G211" s="86" t="s">
        <v>184</v>
      </c>
      <c r="H211" s="87"/>
      <c r="J211" s="2">
        <v>3</v>
      </c>
    </row>
    <row r="212" spans="1:11" s="2" customFormat="1" ht="15.75" customHeight="1" x14ac:dyDescent="0.3">
      <c r="A212" s="85">
        <v>2</v>
      </c>
      <c r="B212" s="85"/>
      <c r="C212" s="24" t="s">
        <v>151</v>
      </c>
      <c r="D212" s="69">
        <f>(3.48*6.29+2.66*3.485+2.92*3.92+3.07*3.97+3.22*4.81+2.31*2.045+2.43*1.54+2.76*1.54+1.25*1.68+2.76*1.275+1.31*0.15+2.26*1.23+0.93*2.67+1.26*0.15+1.2*3.63+4.905*1.07+2.175*1.07+1.54*0.6+3.43*1.26)*10.764</f>
        <v>1199.5740665999997</v>
      </c>
      <c r="E212" s="24">
        <v>0</v>
      </c>
      <c r="F212" s="24">
        <f t="shared" ref="F212:F222" si="13">D212*1.6+E212</f>
        <v>1919.3185065599996</v>
      </c>
      <c r="G212" s="88"/>
      <c r="H212" s="89"/>
      <c r="J212" s="2">
        <v>3</v>
      </c>
    </row>
    <row r="213" spans="1:11" s="2" customFormat="1" ht="15.75" customHeight="1" x14ac:dyDescent="0.3">
      <c r="A213" s="85">
        <v>3</v>
      </c>
      <c r="B213" s="85"/>
      <c r="C213" s="24" t="s">
        <v>151</v>
      </c>
      <c r="D213" s="24">
        <f>(3.48*6.29+2.66*3.485+2.92*3.92+3.07*3.97+3.22*4.81+2.43*1.54+2.76*1.54+2.76*1.275+1.31*0.15+2.26*1.23+1.2*3.63+4.905*1.07+2.175*1.07+1.54*0.6+3.43*1.26)*10.764</f>
        <v>1097.3585843999999</v>
      </c>
      <c r="E213" s="24">
        <v>0</v>
      </c>
      <c r="F213" s="24">
        <f t="shared" si="13"/>
        <v>1755.77373504</v>
      </c>
      <c r="G213" s="90"/>
      <c r="H213" s="91"/>
      <c r="I213" s="2">
        <v>1</v>
      </c>
      <c r="J213" s="2">
        <v>5</v>
      </c>
    </row>
    <row r="214" spans="1:11" s="2" customFormat="1" ht="15.75" customHeight="1" x14ac:dyDescent="0.3">
      <c r="A214" s="130" t="s">
        <v>252</v>
      </c>
      <c r="B214" s="131"/>
      <c r="C214" s="131"/>
      <c r="D214" s="131"/>
      <c r="E214" s="131"/>
      <c r="F214" s="131"/>
      <c r="G214" s="131"/>
      <c r="H214" s="132"/>
      <c r="I214" s="68"/>
      <c r="J214" s="2">
        <v>5</v>
      </c>
      <c r="K214" s="2">
        <v>9</v>
      </c>
    </row>
    <row r="215" spans="1:11" s="2" customFormat="1" ht="15.75" customHeight="1" x14ac:dyDescent="0.3">
      <c r="A215" s="85">
        <v>1</v>
      </c>
      <c r="B215" s="85"/>
      <c r="C215" s="42" t="s">
        <v>151</v>
      </c>
      <c r="D215" s="68">
        <f>(3.48*6.29+2.51*3.485+2.92*3.92+3.07*3.97+3.22*4.81+1.54*2.46+2.76*1.54+2.43*1.45+2.76*1.275+1.973*1.23+0.537*0.3+1.102*0.15+1.2*3.63+4.905*1.07+2.175*1.07+1.54*0.6)*10.764</f>
        <v>1081.23454296</v>
      </c>
      <c r="E215" s="24">
        <v>0</v>
      </c>
      <c r="F215" s="24">
        <f t="shared" si="13"/>
        <v>1729.9752687360001</v>
      </c>
      <c r="G215" s="86" t="str">
        <f>A214</f>
        <v xml:space="preserve">6th Floor </v>
      </c>
      <c r="H215" s="87"/>
      <c r="J215" s="2">
        <v>5</v>
      </c>
      <c r="K215" s="2">
        <v>10</v>
      </c>
    </row>
    <row r="216" spans="1:11" s="2" customFormat="1" ht="15.75" customHeight="1" x14ac:dyDescent="0.3">
      <c r="A216" s="85">
        <v>2</v>
      </c>
      <c r="B216" s="85"/>
      <c r="C216" s="24" t="s">
        <v>151</v>
      </c>
      <c r="D216" s="69">
        <f>(3.48*6.29+2.66*3.485+2.92*3.92+3.07*3.97+3.22*4.81+2.31*2.045+2.43*1.54+2.76*1.54+1.25*1.68+2.76*1.275+1.31*0.15+2.26*1.23+0.93*2.67+1.26*0.15+1.2*3.63+4.905*1.07+2.175*1.07+1.54*0.6+3.43*1.26)*10.764</f>
        <v>1199.5740665999997</v>
      </c>
      <c r="E216" s="24">
        <v>0</v>
      </c>
      <c r="F216" s="24">
        <f t="shared" si="13"/>
        <v>1919.3185065599996</v>
      </c>
      <c r="G216" s="88"/>
      <c r="H216" s="89"/>
      <c r="J216" s="2">
        <v>5</v>
      </c>
      <c r="K216" s="2">
        <v>11</v>
      </c>
    </row>
    <row r="217" spans="1:11" s="2" customFormat="1" ht="46.5" customHeight="1" x14ac:dyDescent="0.3">
      <c r="A217" s="85">
        <v>3</v>
      </c>
      <c r="B217" s="85"/>
      <c r="C217" s="24" t="s">
        <v>253</v>
      </c>
      <c r="D217" s="69">
        <f>((3.48*6.29+2.66*2.415+2.92*3.92+3.07*3.97+3.22*4.81+1.54*2.46+2.76*1.54+2.43*1.54+2.76*1.275+1.56*1.093+1.31*0.15+2.26*1.23+1.08*0.74+2.175*1.07+4.905*1.07+1.54*0.6+1.2*3.63+3.43*1.26)+(3.48*6.29+2.92*3.92+2.66*2.415+1.54*2.46+2.76*1.275+1.66*1.07+2.66*2.415+1.91*0.15+2.26*1.23+1.045*1.09+3.43*1.26+2*4))*10.764</f>
        <v>1907.2487257199998</v>
      </c>
      <c r="E217" s="24">
        <v>0</v>
      </c>
      <c r="F217" s="24">
        <f t="shared" si="13"/>
        <v>3051.5979611519997</v>
      </c>
      <c r="G217" s="88"/>
      <c r="H217" s="89"/>
      <c r="J217" s="2">
        <v>5</v>
      </c>
      <c r="K217" s="2">
        <v>12</v>
      </c>
    </row>
    <row r="218" spans="1:11" s="2" customFormat="1" ht="15.75" customHeight="1" x14ac:dyDescent="0.3">
      <c r="A218" s="85">
        <v>4</v>
      </c>
      <c r="B218" s="85"/>
      <c r="C218" s="42" t="s">
        <v>151</v>
      </c>
      <c r="D218" s="68">
        <f>(3.48*6.29+2.51*3.485+2.92*3.92+3.07*3.97+3.22*4.81+1.54*2.46+2.76*1.54+2.43*1.45+2.76*1.275+1.973*1.23+0.537*0.3+1.102*0.15+1.2*3.63+4.905*1.07+2.175*1.07+1.54*0.6)*10.764</f>
        <v>1081.23454296</v>
      </c>
      <c r="E218" s="24">
        <v>0</v>
      </c>
      <c r="F218" s="24">
        <f t="shared" si="13"/>
        <v>1729.9752687360001</v>
      </c>
      <c r="G218" s="88"/>
      <c r="H218" s="89"/>
      <c r="J218" s="2">
        <v>5</v>
      </c>
      <c r="K218" s="2">
        <v>13</v>
      </c>
    </row>
    <row r="219" spans="1:11" s="2" customFormat="1" ht="15.75" customHeight="1" x14ac:dyDescent="0.3">
      <c r="A219" s="85">
        <v>5</v>
      </c>
      <c r="B219" s="85"/>
      <c r="C219" s="24" t="s">
        <v>151</v>
      </c>
      <c r="D219" s="69">
        <f>(3.22*6.29+2.46*3.1+3.07*4.27+2.82*3.91+3.07*3.72+2.46*1.55+1.52*2.44+2.57*1.55+2*1.45+0.5*3.64+1.53*1.07+0.53*1.07+2.11*1.07+1.85*0.15+0.1*2.5+2.87*0.55+1.12*1.12+1.9*1.07)*10.764</f>
        <v>963.54914760000008</v>
      </c>
      <c r="E219" s="24">
        <v>0</v>
      </c>
      <c r="F219" s="24">
        <f t="shared" si="13"/>
        <v>1541.6786361600002</v>
      </c>
      <c r="G219" s="90"/>
      <c r="H219" s="91"/>
      <c r="I219" s="2">
        <v>1</v>
      </c>
      <c r="J219" s="2">
        <v>3</v>
      </c>
    </row>
    <row r="220" spans="1:11" s="2" customFormat="1" ht="15.75" customHeight="1" x14ac:dyDescent="0.3">
      <c r="A220" s="82" t="s">
        <v>221</v>
      </c>
      <c r="B220" s="83"/>
      <c r="C220" s="83"/>
      <c r="D220" s="83"/>
      <c r="E220" s="83"/>
      <c r="F220" s="83"/>
      <c r="G220" s="83"/>
      <c r="H220" s="84"/>
      <c r="J220" s="2">
        <v>25</v>
      </c>
    </row>
    <row r="221" spans="1:11" s="2" customFormat="1" ht="15.75" customHeight="1" x14ac:dyDescent="0.3">
      <c r="A221" s="85">
        <v>1</v>
      </c>
      <c r="B221" s="85"/>
      <c r="C221" s="24" t="s">
        <v>151</v>
      </c>
      <c r="D221" s="68">
        <f>(3.48*6.29+2.51*3.485+2.92*3.92+3.07*3.97+3.22*4.81+1.54*2.46+2.76*1.54+2.43*1.45+2.76*1.275+1.973*1.23+0.537*0.3+1.102*0.15+1.2*3.63+4.905*1.07+2.175*1.07+1.54*0.6)*10.764</f>
        <v>1081.23454296</v>
      </c>
      <c r="E221" s="24">
        <v>0</v>
      </c>
      <c r="F221" s="24">
        <f t="shared" si="13"/>
        <v>1729.9752687360001</v>
      </c>
      <c r="G221" s="86" t="str">
        <f>A220</f>
        <v>7th Floor (Part Refuge Area)</v>
      </c>
      <c r="H221" s="87"/>
      <c r="J221" s="2">
        <v>5</v>
      </c>
    </row>
    <row r="222" spans="1:11" s="2" customFormat="1" ht="15.75" customHeight="1" x14ac:dyDescent="0.3">
      <c r="A222" s="85">
        <v>2</v>
      </c>
      <c r="B222" s="85"/>
      <c r="C222" s="24" t="s">
        <v>151</v>
      </c>
      <c r="D222" s="69">
        <f>(3.48*6.29+2.66*3.485+2.92*3.92+3.07*3.97+3.22*4.81+2.31*2.045+2.43*1.54+2.76*1.54+1.25*1.68+2.76*1.275+1.31*0.15+2.26*1.23+0.93*2.67+1.26*0.15+1.2*3.63+4.905*1.07+2.175*1.07+1.54*0.6+3.43*1.26)*10.764</f>
        <v>1199.5740665999997</v>
      </c>
      <c r="E222" s="24">
        <v>0</v>
      </c>
      <c r="F222" s="24">
        <f t="shared" si="13"/>
        <v>1919.3185065599996</v>
      </c>
      <c r="G222" s="88"/>
      <c r="H222" s="89"/>
      <c r="J222" s="2">
        <v>3</v>
      </c>
    </row>
    <row r="223" spans="1:11" s="2" customFormat="1" ht="15.75" customHeight="1" x14ac:dyDescent="0.3">
      <c r="A223" s="85">
        <v>3</v>
      </c>
      <c r="B223" s="85"/>
      <c r="C223" s="95" t="s">
        <v>230</v>
      </c>
      <c r="D223" s="96"/>
      <c r="E223" s="96"/>
      <c r="F223" s="97"/>
      <c r="G223" s="88"/>
      <c r="H223" s="89"/>
      <c r="J223" s="2">
        <v>25</v>
      </c>
    </row>
    <row r="224" spans="1:11" s="2" customFormat="1" ht="15.75" customHeight="1" x14ac:dyDescent="0.3">
      <c r="A224" s="85">
        <v>4</v>
      </c>
      <c r="B224" s="85"/>
      <c r="C224" s="92" t="s">
        <v>179</v>
      </c>
      <c r="D224" s="94"/>
      <c r="E224" s="94"/>
      <c r="F224" s="93"/>
      <c r="G224" s="88"/>
      <c r="H224" s="89"/>
    </row>
    <row r="225" spans="1:9" s="2" customFormat="1" ht="15.75" customHeight="1" x14ac:dyDescent="0.3">
      <c r="A225" s="85">
        <v>5</v>
      </c>
      <c r="B225" s="85"/>
      <c r="C225" s="24" t="s">
        <v>151</v>
      </c>
      <c r="D225" s="24">
        <f>(2*1.45+3.07*4.27+0.53*1.07+2.46*3.1+2.11*1.07+1.85*0.15+1.53*1.07+2.46*1.55+0.5*3.64+3.22*6.29+2.82*3.91+0.1*2.5+1.9*1.07+1.52*2.44+1.12*1.12+2.57*1.55+2.87*0.55+3.07*3.72)*10.764</f>
        <v>963.54914760000008</v>
      </c>
      <c r="E225" s="24">
        <v>0</v>
      </c>
      <c r="F225" s="24">
        <f t="shared" ref="F225" si="14">D225*1.6+E225</f>
        <v>1541.6786361600002</v>
      </c>
      <c r="G225" s="90"/>
      <c r="H225" s="91"/>
      <c r="I225" s="2">
        <v>1</v>
      </c>
    </row>
    <row r="226" spans="1:9" s="2" customFormat="1" ht="15.75" customHeight="1" x14ac:dyDescent="0.3">
      <c r="A226" s="82" t="s">
        <v>254</v>
      </c>
      <c r="B226" s="83"/>
      <c r="C226" s="83"/>
      <c r="D226" s="83"/>
      <c r="E226" s="83"/>
      <c r="F226" s="83"/>
      <c r="G226" s="83"/>
      <c r="H226" s="84"/>
    </row>
    <row r="227" spans="1:9" s="2" customFormat="1" ht="15.75" customHeight="1" x14ac:dyDescent="0.3">
      <c r="A227" s="85">
        <v>1</v>
      </c>
      <c r="B227" s="85"/>
      <c r="C227" s="24" t="s">
        <v>151</v>
      </c>
      <c r="D227" s="68">
        <f>(3.48*6.29+2.51*3.485+2.92*3.92+3.07*3.97+3.22*4.81+1.54*2.46+2.76*1.54+2.43*1.45+2.76*1.275+1.973*1.23+0.537*0.3+1.102*0.15+1.2*3.63+4.905*1.07+2.175*1.07+1.54*0.6)*10.764</f>
        <v>1081.23454296</v>
      </c>
      <c r="E227" s="24">
        <v>0</v>
      </c>
      <c r="F227" s="24">
        <f t="shared" ref="F227:F230" si="15">D227*1.6+E227</f>
        <v>1729.9752687360001</v>
      </c>
      <c r="G227" s="86" t="str">
        <f>A226</f>
        <v xml:space="preserve">8th Floor </v>
      </c>
      <c r="H227" s="87"/>
    </row>
    <row r="228" spans="1:9" s="2" customFormat="1" ht="15.75" customHeight="1" x14ac:dyDescent="0.3">
      <c r="A228" s="85">
        <v>2</v>
      </c>
      <c r="B228" s="85"/>
      <c r="C228" s="24" t="s">
        <v>151</v>
      </c>
      <c r="D228" s="69">
        <f>(3.48*6.29+2.66*3.485+2.92*3.92+3.07*3.97+3.22*4.81+2.31*2.045+2.43*1.54+2.76*1.54+1.25*1.68+2.76*1.275+1.31*0.15+2.26*1.23+0.93*2.67+1.26*0.15+1.2*3.63+4.905*1.07+2.175*1.07+1.54*0.6+3.43*1.26)*10.764</f>
        <v>1199.5740665999997</v>
      </c>
      <c r="E228" s="24">
        <v>0</v>
      </c>
      <c r="F228" s="24">
        <f t="shared" si="15"/>
        <v>1919.3185065599996</v>
      </c>
      <c r="G228" s="88"/>
      <c r="H228" s="89"/>
    </row>
    <row r="229" spans="1:9" s="2" customFormat="1" ht="15.75" customHeight="1" x14ac:dyDescent="0.3">
      <c r="A229" s="85">
        <v>3</v>
      </c>
      <c r="B229" s="85"/>
      <c r="C229" s="24" t="s">
        <v>151</v>
      </c>
      <c r="D229" s="69">
        <f>(3.48*6.29+2.66*3.485+2.92*3.92+3.07*3.97+3.22*4.81+2.31*2.045+2.43*1.54+2.76*1.54+1.25*1.68+2.76*1.275+1.31*0.15+2.26*1.23+0.93*2.67+1.26*0.15+1.2*3.63+4.905*1.07+2.175*1.07+1.54*0.6+3.43*1.26)*10.764</f>
        <v>1199.5740665999997</v>
      </c>
      <c r="E229" s="24">
        <v>0</v>
      </c>
      <c r="F229" s="24">
        <f t="shared" si="15"/>
        <v>1919.3185065599996</v>
      </c>
      <c r="G229" s="88"/>
      <c r="H229" s="89"/>
    </row>
    <row r="230" spans="1:9" s="2" customFormat="1" ht="15.75" customHeight="1" x14ac:dyDescent="0.3">
      <c r="A230" s="92">
        <v>4</v>
      </c>
      <c r="B230" s="93"/>
      <c r="C230" s="24" t="s">
        <v>151</v>
      </c>
      <c r="D230" s="68">
        <f>(3.48*6.29+2.51*3.485+2.92*3.92+3.07*3.97+3.22*4.81+1.54*2.46+2.76*1.54+2.43*1.45+2.76*1.275+1.973*1.23+0.537*0.3+1.102*0.15+1.2*3.63+4.905*1.07+2.175*1.07+1.54*0.6)*10.764</f>
        <v>1081.23454296</v>
      </c>
      <c r="E230" s="24">
        <v>0</v>
      </c>
      <c r="F230" s="24">
        <f t="shared" si="15"/>
        <v>1729.9752687360001</v>
      </c>
      <c r="G230" s="88"/>
      <c r="H230" s="89"/>
    </row>
    <row r="231" spans="1:9" s="2" customFormat="1" ht="15.75" customHeight="1" x14ac:dyDescent="0.3">
      <c r="A231" s="85">
        <v>5</v>
      </c>
      <c r="B231" s="85"/>
      <c r="C231" s="24" t="s">
        <v>151</v>
      </c>
      <c r="D231" s="24">
        <f>(2*1.45+3.07*4.27+0.53*1.07+2.46*3.1+2.11*1.07+1.85*0.15+1.53*1.07+2.46*1.55+0.5*3.64+3.22*6.29+2.82*3.91+0.1*2.5+1.9*1.07+1.52*2.44+1.12*1.12+2.57*1.55+2.87*0.55+3.07*3.72)*10.764</f>
        <v>963.54914760000008</v>
      </c>
      <c r="E231" s="24">
        <v>0</v>
      </c>
      <c r="F231" s="24">
        <f t="shared" ref="F231" si="16">D231*1.6+E231</f>
        <v>1541.6786361600002</v>
      </c>
      <c r="G231" s="90"/>
      <c r="H231" s="91"/>
      <c r="I231" s="2">
        <v>9</v>
      </c>
    </row>
    <row r="232" spans="1:9" s="2" customFormat="1" ht="15.75" customHeight="1" x14ac:dyDescent="0.3">
      <c r="A232" s="82" t="s">
        <v>268</v>
      </c>
      <c r="B232" s="83"/>
      <c r="C232" s="83"/>
      <c r="D232" s="83"/>
      <c r="E232" s="83"/>
      <c r="F232" s="83"/>
      <c r="G232" s="83"/>
      <c r="H232" s="84"/>
    </row>
    <row r="233" spans="1:9" s="2" customFormat="1" ht="15.75" customHeight="1" x14ac:dyDescent="0.3">
      <c r="A233" s="85">
        <v>1</v>
      </c>
      <c r="B233" s="85"/>
      <c r="C233" s="24" t="s">
        <v>151</v>
      </c>
      <c r="D233" s="68">
        <f>(3.48*6.29+2.51*3.485+2.92*3.92+3.07*3.97+3.22*4.81+1.54*2.46+2.76*1.54+2.43*1.45+2.76*1.275+1.973*1.23+0.537*0.3+1.102*0.15+1.2*3.63+4.905*1.07+2.175*1.07+1.54*0.6)*10.764</f>
        <v>1081.23454296</v>
      </c>
      <c r="E233" s="24">
        <v>0</v>
      </c>
      <c r="F233" s="24">
        <f t="shared" ref="F233:F237" si="17">D233*1.6+E233</f>
        <v>1729.9752687360001</v>
      </c>
      <c r="G233" s="86" t="str">
        <f>A232</f>
        <v xml:space="preserve">9th to 12th &amp; 15th to 19th Floor </v>
      </c>
      <c r="H233" s="87"/>
    </row>
    <row r="234" spans="1:9" s="2" customFormat="1" ht="15.75" customHeight="1" x14ac:dyDescent="0.3">
      <c r="A234" s="85">
        <v>2</v>
      </c>
      <c r="B234" s="85"/>
      <c r="C234" s="24" t="s">
        <v>151</v>
      </c>
      <c r="D234" s="69">
        <f>(3.48*6.29+2.66*3.485+2.92*3.92+3.07*3.97+3.22*4.81+2.31*2.045+2.43*1.54+2.76*1.54+1.25*1.68+2.76*1.275+1.31*0.15+2.26*1.23+0.93*2.67+1.26*0.15+1.2*3.63+4.905*1.07+2.175*1.07+1.54*0.6+3.43*1.26)*10.764</f>
        <v>1199.5740665999997</v>
      </c>
      <c r="E234" s="24">
        <v>0</v>
      </c>
      <c r="F234" s="24">
        <f t="shared" si="17"/>
        <v>1919.3185065599996</v>
      </c>
      <c r="G234" s="88"/>
      <c r="H234" s="89"/>
    </row>
    <row r="235" spans="1:9" s="2" customFormat="1" ht="15.75" customHeight="1" x14ac:dyDescent="0.3">
      <c r="A235" s="85">
        <v>3</v>
      </c>
      <c r="B235" s="85"/>
      <c r="C235" s="24" t="s">
        <v>151</v>
      </c>
      <c r="D235" s="69">
        <f>(3.48*6.29+2.66*3.485+2.92*3.92+3.07*3.97+3.22*4.81+2.31*2.045+2.43*1.54+2.76*1.54+1.25*1.68+2.76*1.275+1.31*0.15+2.26*1.23+0.93*2.67+1.26*0.15+1.2*3.63+4.905*1.07+2.175*1.07+1.54*0.6+3.43*1.26)*10.764</f>
        <v>1199.5740665999997</v>
      </c>
      <c r="E235" s="24">
        <v>0</v>
      </c>
      <c r="F235" s="24">
        <f t="shared" si="17"/>
        <v>1919.3185065599996</v>
      </c>
      <c r="G235" s="88"/>
      <c r="H235" s="89"/>
    </row>
    <row r="236" spans="1:9" s="2" customFormat="1" ht="15.75" customHeight="1" x14ac:dyDescent="0.3">
      <c r="A236" s="92">
        <v>4</v>
      </c>
      <c r="B236" s="93"/>
      <c r="C236" s="24" t="s">
        <v>151</v>
      </c>
      <c r="D236" s="68">
        <f>(3.48*6.29+2.51*3.485+2.92*3.92+3.07*3.97+3.22*4.81+1.54*2.46+2.76*1.54+2.43*1.45+2.76*1.275+1.973*1.23+0.537*0.3+1.102*0.15+1.2*3.63+4.905*1.07+2.175*1.07+1.54*0.6)*10.764</f>
        <v>1081.23454296</v>
      </c>
      <c r="E236" s="24">
        <v>0</v>
      </c>
      <c r="F236" s="24">
        <f t="shared" si="17"/>
        <v>1729.9752687360001</v>
      </c>
      <c r="G236" s="88"/>
      <c r="H236" s="89"/>
    </row>
    <row r="237" spans="1:9" s="2" customFormat="1" ht="15.75" customHeight="1" x14ac:dyDescent="0.3">
      <c r="A237" s="85">
        <v>5</v>
      </c>
      <c r="B237" s="85"/>
      <c r="C237" s="24" t="s">
        <v>151</v>
      </c>
      <c r="D237" s="24">
        <f>(2*1.45+3.07*4.27+0.53*1.07+2.46*3.1+2.11*1.07+1.85*0.15+1.53*1.07+2.46*1.55+0.5*3.64+3.22*6.29+2.82*3.91+0.1*2.5+1.9*1.07+1.52*2.44+1.12*1.12+2.57*1.55+2.87*0.55+3.07*3.72)*10.764</f>
        <v>963.54914760000008</v>
      </c>
      <c r="E237" s="24">
        <v>0</v>
      </c>
      <c r="F237" s="24">
        <f t="shared" si="17"/>
        <v>1541.6786361600002</v>
      </c>
      <c r="G237" s="90"/>
      <c r="H237" s="91"/>
      <c r="I237" s="2">
        <v>1</v>
      </c>
    </row>
    <row r="238" spans="1:9" s="2" customFormat="1" ht="15.75" customHeight="1" x14ac:dyDescent="0.3">
      <c r="A238" s="82" t="s">
        <v>255</v>
      </c>
      <c r="B238" s="83"/>
      <c r="C238" s="83"/>
      <c r="D238" s="83"/>
      <c r="E238" s="83"/>
      <c r="F238" s="83"/>
      <c r="G238" s="83"/>
      <c r="H238" s="84"/>
    </row>
    <row r="239" spans="1:9" s="2" customFormat="1" ht="15.75" customHeight="1" x14ac:dyDescent="0.3">
      <c r="A239" s="85">
        <v>1</v>
      </c>
      <c r="B239" s="85"/>
      <c r="C239" s="42" t="s">
        <v>151</v>
      </c>
      <c r="D239" s="68">
        <f>(3.48*6.29+2.51*3.485+2.92*3.92+3.07*3.97+3.22*4.81+1.54*2.46+2.76*1.54+2.43*1.45+2.76*1.275+1.973*1.23+0.537*0.3+1.102*0.15+1.2*3.63+4.905*1.07+2.175*1.07+1.54*0.6+3.43*1.26)*10.764</f>
        <v>1127.7543981599999</v>
      </c>
      <c r="E239" s="24">
        <v>0</v>
      </c>
      <c r="F239" s="24">
        <f t="shared" ref="F239:F243" si="18">D239*1.6+E239</f>
        <v>1804.407037056</v>
      </c>
      <c r="G239" s="86" t="str">
        <f>A238</f>
        <v xml:space="preserve">13th Floor </v>
      </c>
      <c r="H239" s="87"/>
    </row>
    <row r="240" spans="1:9" s="2" customFormat="1" ht="15.75" customHeight="1" x14ac:dyDescent="0.3">
      <c r="A240" s="85">
        <v>2</v>
      </c>
      <c r="B240" s="85"/>
      <c r="C240" s="24" t="s">
        <v>151</v>
      </c>
      <c r="D240" s="69">
        <f>(3.48*6.29+2.66*3.485+2.92*3.92+3.07*3.97+3.22*4.81+2.31*2.045+2.43*1.54+2.76*1.54+1.25*1.68+2.76*1.275+1.31*0.15+2.26*1.23+0.93*2.67+1.26*0.15+1.2*3.63+4.905*1.07+2.175*1.07+1.54*0.6+3.43*1.26+3.43*1.26)*10.764</f>
        <v>1246.0939217999999</v>
      </c>
      <c r="E240" s="24">
        <v>0</v>
      </c>
      <c r="F240" s="24">
        <f t="shared" si="18"/>
        <v>1993.7502748799998</v>
      </c>
      <c r="G240" s="88"/>
      <c r="H240" s="89"/>
    </row>
    <row r="241" spans="1:9" s="2" customFormat="1" ht="46.5" customHeight="1" x14ac:dyDescent="0.3">
      <c r="A241" s="85">
        <v>3</v>
      </c>
      <c r="B241" s="85"/>
      <c r="C241" s="24" t="s">
        <v>256</v>
      </c>
      <c r="D241" s="69">
        <f>((3.48*6.29+2.66*2.415+2.92*3.92+3.07*3.97+3.22*4.81+1.54*2.46+2.76*1.54+2.43*1.54+2.76*1.275+1.56*1.093+1.31*0.15+2.26*1.23+1.08*0.74+2.175*1.07+4.905*1.07+1.54*0.6+1.2*3.63+3.43*1.26)+(3.48*6.29+2.92*3.92+2.66*2.415+1.54*2.46+2.76*1.275+1.66*1.07+2.66*2.415+1.91*0.15+2.26*1.23+1.045*1.09+3.43*1.26+2*4))*10.764</f>
        <v>1907.2487257199998</v>
      </c>
      <c r="E241" s="24">
        <v>0</v>
      </c>
      <c r="F241" s="24">
        <f t="shared" si="18"/>
        <v>3051.5979611519997</v>
      </c>
      <c r="G241" s="88"/>
      <c r="H241" s="89"/>
    </row>
    <row r="242" spans="1:9" s="2" customFormat="1" ht="15.75" customHeight="1" x14ac:dyDescent="0.3">
      <c r="A242" s="92">
        <v>4</v>
      </c>
      <c r="B242" s="93"/>
      <c r="C242" s="42" t="s">
        <v>151</v>
      </c>
      <c r="D242" s="68">
        <f>(3.48*6.29+2.51*3.485+2.92*3.92+3.07*3.97+3.22*4.81+1.54*2.46+2.76*1.54+2.43*1.45+2.76*1.275+1.973*1.23+0.537*0.3+1.102*0.15+1.2*3.63+4.905*1.07+2.175*1.07+1.54*0.6+3.43*1.26)*10.764</f>
        <v>1127.7543981599999</v>
      </c>
      <c r="E242" s="24">
        <v>0</v>
      </c>
      <c r="F242" s="24">
        <f t="shared" si="18"/>
        <v>1804.407037056</v>
      </c>
      <c r="G242" s="88"/>
      <c r="H242" s="89"/>
    </row>
    <row r="243" spans="1:9" s="2" customFormat="1" ht="15.75" customHeight="1" x14ac:dyDescent="0.3">
      <c r="A243" s="85">
        <v>5</v>
      </c>
      <c r="B243" s="85"/>
      <c r="C243" s="24" t="s">
        <v>151</v>
      </c>
      <c r="D243" s="69">
        <f>(3.22*6.29+2.46*3.1+3.07*4.27+2.82*3.91+3.07*3.72+2.46*1.55+1.52*2.44+2.57*1.55+2*1.45+0.5*3.64+1.53*1.07+0.53*1.07+2.11*1.07+1.85*0.15+0.1*2.5+2.87*0.55+1.12*1.12+1.9*1.07)*10.764</f>
        <v>963.54914760000008</v>
      </c>
      <c r="E243" s="24">
        <v>0</v>
      </c>
      <c r="F243" s="24">
        <f t="shared" si="18"/>
        <v>1541.6786361600002</v>
      </c>
      <c r="G243" s="90"/>
      <c r="H243" s="91"/>
      <c r="I243" s="2">
        <v>1</v>
      </c>
    </row>
    <row r="244" spans="1:9" s="2" customFormat="1" ht="15.75" customHeight="1" x14ac:dyDescent="0.3">
      <c r="A244" s="82" t="s">
        <v>259</v>
      </c>
      <c r="B244" s="83"/>
      <c r="C244" s="83"/>
      <c r="D244" s="83"/>
      <c r="E244" s="83"/>
      <c r="F244" s="83"/>
      <c r="G244" s="83"/>
      <c r="H244" s="84"/>
    </row>
    <row r="245" spans="1:9" s="2" customFormat="1" ht="15.75" customHeight="1" x14ac:dyDescent="0.3">
      <c r="A245" s="85">
        <v>1</v>
      </c>
      <c r="B245" s="85"/>
      <c r="C245" s="24" t="s">
        <v>151</v>
      </c>
      <c r="D245" s="68">
        <f>(3.48*6.29+2.51*3.485+2.92*3.92+3.07*3.97+3.22*4.81+1.54*2.46+2.76*1.54+2.43*1.45+2.76*1.275+1.973*1.23+0.537*0.3+1.102*0.15+1.2*3.63+4.905*1.07+2.175*1.07+1.54*0.6+3.43*1.26)*10.764</f>
        <v>1127.7543981599999</v>
      </c>
      <c r="E245" s="24">
        <v>0</v>
      </c>
      <c r="F245" s="24">
        <f t="shared" ref="F245:F246" si="19">D245*1.6+E245</f>
        <v>1804.407037056</v>
      </c>
      <c r="G245" s="86" t="str">
        <f>A244</f>
        <v>14th Floor (Part Refuge Area)</v>
      </c>
      <c r="H245" s="87"/>
    </row>
    <row r="246" spans="1:9" s="2" customFormat="1" ht="15.75" customHeight="1" x14ac:dyDescent="0.3">
      <c r="A246" s="85">
        <v>2</v>
      </c>
      <c r="B246" s="85"/>
      <c r="C246" s="24" t="s">
        <v>151</v>
      </c>
      <c r="D246" s="69">
        <f>(3.48*6.29+2.66*3.485+2.92*3.92+3.07*3.97+3.22*4.81+2.31*2.045+2.43*1.54+2.76*1.54+1.25*1.68+2.76*1.275+1.31*0.15+2.26*1.23+0.93*2.67+1.26*0.15+1.2*3.63+4.905*1.07+2.175*1.07+1.54*0.6+3.43*1.26+3.43*1.26)*10.764</f>
        <v>1246.0939217999999</v>
      </c>
      <c r="E246" s="24">
        <v>0</v>
      </c>
      <c r="F246" s="24">
        <f t="shared" si="19"/>
        <v>1993.7502748799998</v>
      </c>
      <c r="G246" s="88"/>
      <c r="H246" s="89"/>
    </row>
    <row r="247" spans="1:9" s="2" customFormat="1" ht="15.75" customHeight="1" x14ac:dyDescent="0.3">
      <c r="A247" s="85">
        <v>3</v>
      </c>
      <c r="B247" s="85"/>
      <c r="C247" s="95" t="s">
        <v>231</v>
      </c>
      <c r="D247" s="96"/>
      <c r="E247" s="96"/>
      <c r="F247" s="97"/>
      <c r="G247" s="88"/>
      <c r="H247" s="89"/>
    </row>
    <row r="248" spans="1:9" s="2" customFormat="1" ht="15.75" customHeight="1" x14ac:dyDescent="0.3">
      <c r="A248" s="85">
        <v>4</v>
      </c>
      <c r="B248" s="85"/>
      <c r="C248" s="92" t="s">
        <v>179</v>
      </c>
      <c r="D248" s="94"/>
      <c r="E248" s="94"/>
      <c r="F248" s="93"/>
      <c r="G248" s="88"/>
      <c r="H248" s="89"/>
    </row>
    <row r="249" spans="1:9" s="2" customFormat="1" ht="15.75" customHeight="1" x14ac:dyDescent="0.3">
      <c r="A249" s="85">
        <v>5</v>
      </c>
      <c r="B249" s="85"/>
      <c r="C249" s="24" t="s">
        <v>151</v>
      </c>
      <c r="D249" s="69">
        <f>(3.22*6.29+2.46*3.1+3.07*4.27+2.82*3.91+3.07*3.72+2.46*1.55+1.52*2.44+2.57*1.55+2*1.45+0.5*3.64+1.53*1.07+0.53*1.07+2.11*1.07+1.85*0.15+0.1*2.5+2.87*0.55+1.12*1.12+1.9*1.07)*10.764</f>
        <v>963.54914760000008</v>
      </c>
      <c r="E249" s="24">
        <v>0</v>
      </c>
      <c r="F249" s="24">
        <f t="shared" ref="F249" si="20">D249*1.6+E249</f>
        <v>1541.6786361600002</v>
      </c>
      <c r="G249" s="90"/>
      <c r="H249" s="91"/>
      <c r="I249" s="2">
        <v>1</v>
      </c>
    </row>
    <row r="250" spans="1:9" s="2" customFormat="1" ht="15.75" customHeight="1" x14ac:dyDescent="0.3">
      <c r="A250" s="82" t="s">
        <v>257</v>
      </c>
      <c r="B250" s="83"/>
      <c r="C250" s="83"/>
      <c r="D250" s="83"/>
      <c r="E250" s="83"/>
      <c r="F250" s="83"/>
      <c r="G250" s="83"/>
      <c r="H250" s="84"/>
    </row>
    <row r="251" spans="1:9" s="2" customFormat="1" ht="15.75" customHeight="1" x14ac:dyDescent="0.3">
      <c r="A251" s="85">
        <v>1</v>
      </c>
      <c r="B251" s="85"/>
      <c r="C251" s="42" t="s">
        <v>151</v>
      </c>
      <c r="D251" s="68">
        <f>(3.48*6.29+2.51*3.485+2.92*3.92+3.07*3.97+3.22*4.81+1.54*2.46+2.76*1.54+2.43*1.45+2.76*1.275+1.973*1.23+0.537*0.3+1.102*0.15+1.2*3.63+4.905*1.07+2.175*1.07+1.54*0.6+3.43*1.26)*10.764</f>
        <v>1127.7543981599999</v>
      </c>
      <c r="E251" s="24">
        <v>0</v>
      </c>
      <c r="F251" s="24">
        <f t="shared" ref="F251:F255" si="21">D251*1.6+E251</f>
        <v>1804.407037056</v>
      </c>
      <c r="G251" s="86" t="str">
        <f>A250</f>
        <v xml:space="preserve">20th Floor </v>
      </c>
      <c r="H251" s="87"/>
    </row>
    <row r="252" spans="1:9" s="2" customFormat="1" ht="15.75" customHeight="1" x14ac:dyDescent="0.3">
      <c r="A252" s="85">
        <v>2</v>
      </c>
      <c r="B252" s="85"/>
      <c r="C252" s="24" t="s">
        <v>151</v>
      </c>
      <c r="D252" s="69">
        <f>(3.48*6.29+2.66*3.485+2.92*3.92+3.07*3.97+3.22*4.81+2.31*2.045+2.43*1.54+2.76*1.54+1.25*1.68+2.76*1.275+1.31*0.15+2.26*1.23+0.93*2.67+1.26*0.15+1.2*3.63+4.905*1.07+2.175*1.07+1.54*0.6+3.43*1.26+3.43*1.26)*10.764</f>
        <v>1246.0939217999999</v>
      </c>
      <c r="E252" s="24">
        <v>0</v>
      </c>
      <c r="F252" s="24">
        <f t="shared" si="21"/>
        <v>1993.7502748799998</v>
      </c>
      <c r="G252" s="88"/>
      <c r="H252" s="89"/>
    </row>
    <row r="253" spans="1:9" s="2" customFormat="1" ht="46.5" customHeight="1" x14ac:dyDescent="0.3">
      <c r="A253" s="85">
        <v>3</v>
      </c>
      <c r="B253" s="85"/>
      <c r="C253" s="24" t="s">
        <v>258</v>
      </c>
      <c r="D253" s="69">
        <f>((3.48*6.29+2.66*2.415+2.92*3.92+3.07*3.97+3.22*4.81+1.54*2.46+2.76*1.54+2.43*1.54+2.76*1.275+1.56*1.093+1.31*0.15+2.26*1.23+1.08*0.74+2.175*1.07+4.905*1.07+1.54*0.6+1.2*3.63+3.43*1.26)+(3.48*6.29+2.92*3.92+2.66*2.415+1.54*2.46+2.76*1.275+1.66*1.07+2.66*2.415+1.91*0.15+2.26*1.23+1.045*1.09+3.43*1.26+2*4))*10.764</f>
        <v>1907.2487257199998</v>
      </c>
      <c r="E253" s="24">
        <v>0</v>
      </c>
      <c r="F253" s="24">
        <f t="shared" si="21"/>
        <v>3051.5979611519997</v>
      </c>
      <c r="G253" s="88"/>
      <c r="H253" s="89"/>
    </row>
    <row r="254" spans="1:9" s="2" customFormat="1" ht="15.75" customHeight="1" x14ac:dyDescent="0.3">
      <c r="A254" s="92">
        <v>4</v>
      </c>
      <c r="B254" s="93"/>
      <c r="C254" s="42" t="s">
        <v>151</v>
      </c>
      <c r="D254" s="68">
        <f>(3.48*6.29+2.51*3.485+2.92*3.92+3.07*3.97+3.22*4.81+1.54*2.46+2.76*1.54+2.43*1.45+2.76*1.275+1.973*1.23+0.537*0.3+1.102*0.15+1.2*3.63+4.905*1.07+2.175*1.07+1.54*0.6+3.43*1.26)*10.764</f>
        <v>1127.7543981599999</v>
      </c>
      <c r="E254" s="24">
        <v>0</v>
      </c>
      <c r="F254" s="24">
        <f t="shared" si="21"/>
        <v>1804.407037056</v>
      </c>
      <c r="G254" s="88"/>
      <c r="H254" s="89"/>
    </row>
    <row r="255" spans="1:9" s="2" customFormat="1" ht="15.75" customHeight="1" x14ac:dyDescent="0.3">
      <c r="A255" s="85">
        <v>5</v>
      </c>
      <c r="B255" s="85"/>
      <c r="C255" s="24" t="s">
        <v>151</v>
      </c>
      <c r="D255" s="69">
        <f>(3.22*6.29+2.46*3.1+3.07*4.27+2.82*3.91+3.07*3.72+2.46*1.55+1.52*2.44+2.57*1.55+2*1.45+0.5*3.64+1.53*1.07+0.53*1.07+2.11*1.07+1.85*0.15+0.1*2.5+2.87*0.55+1.12*1.12+1.9*1.07)*10.764</f>
        <v>963.54914760000008</v>
      </c>
      <c r="E255" s="24">
        <v>0</v>
      </c>
      <c r="F255" s="24">
        <f t="shared" si="21"/>
        <v>1541.6786361600002</v>
      </c>
      <c r="G255" s="90"/>
      <c r="H255" s="91"/>
      <c r="I255" s="2">
        <v>1</v>
      </c>
    </row>
    <row r="256" spans="1:9" s="2" customFormat="1" ht="15.75" customHeight="1" x14ac:dyDescent="0.3">
      <c r="A256" s="82" t="s">
        <v>260</v>
      </c>
      <c r="B256" s="83"/>
      <c r="C256" s="83"/>
      <c r="D256" s="83"/>
      <c r="E256" s="83"/>
      <c r="F256" s="83"/>
      <c r="G256" s="83"/>
      <c r="H256" s="84"/>
    </row>
    <row r="257" spans="1:9" s="2" customFormat="1" ht="15.75" customHeight="1" x14ac:dyDescent="0.3">
      <c r="A257" s="85">
        <v>1</v>
      </c>
      <c r="B257" s="85"/>
      <c r="C257" s="24" t="s">
        <v>151</v>
      </c>
      <c r="D257" s="68">
        <f>(3.48*6.29+2.51*3.485+2.92*3.92+3.07*3.97+3.22*4.81+1.54*2.46+2.76*1.54+2.43*1.45+2.76*1.275+1.973*1.23+0.537*0.3+1.102*0.15+1.2*3.63+4.905*1.07+2.175*1.07+1.54*0.6+3.43*1.26)*10.764</f>
        <v>1127.7543981599999</v>
      </c>
      <c r="E257" s="24">
        <v>0</v>
      </c>
      <c r="F257" s="24">
        <f t="shared" ref="F257:F258" si="22">D257*1.6+E257</f>
        <v>1804.407037056</v>
      </c>
      <c r="G257" s="86" t="str">
        <f>A256</f>
        <v>21st Floor (Part Refuge Area)</v>
      </c>
      <c r="H257" s="87"/>
    </row>
    <row r="258" spans="1:9" s="2" customFormat="1" ht="15.75" customHeight="1" x14ac:dyDescent="0.3">
      <c r="A258" s="85">
        <v>2</v>
      </c>
      <c r="B258" s="85"/>
      <c r="C258" s="24" t="s">
        <v>151</v>
      </c>
      <c r="D258" s="69">
        <f>(3.48*6.29+2.66*3.485+2.92*3.92+3.07*3.97+3.22*4.81+2.31*2.045+2.43*1.54+2.76*1.54+1.25*1.68+2.76*1.275+1.31*0.15+2.26*1.23+0.93*2.67+1.26*0.15+1.2*3.63+4.905*1.07+2.175*1.07+1.54*0.6+3.43*1.26+3.43*1.26)*10.764</f>
        <v>1246.0939217999999</v>
      </c>
      <c r="E258" s="24">
        <v>0</v>
      </c>
      <c r="F258" s="24">
        <f t="shared" si="22"/>
        <v>1993.7502748799998</v>
      </c>
      <c r="G258" s="88"/>
      <c r="H258" s="89"/>
    </row>
    <row r="259" spans="1:9" s="2" customFormat="1" ht="15.75" customHeight="1" x14ac:dyDescent="0.3">
      <c r="A259" s="85">
        <v>3</v>
      </c>
      <c r="B259" s="85"/>
      <c r="C259" s="95" t="s">
        <v>261</v>
      </c>
      <c r="D259" s="96"/>
      <c r="E259" s="96"/>
      <c r="F259" s="97"/>
      <c r="G259" s="88"/>
      <c r="H259" s="89"/>
    </row>
    <row r="260" spans="1:9" s="2" customFormat="1" ht="15.75" customHeight="1" x14ac:dyDescent="0.3">
      <c r="A260" s="85">
        <v>4</v>
      </c>
      <c r="B260" s="85"/>
      <c r="C260" s="92" t="s">
        <v>179</v>
      </c>
      <c r="D260" s="94"/>
      <c r="E260" s="94"/>
      <c r="F260" s="93"/>
      <c r="G260" s="88"/>
      <c r="H260" s="89"/>
    </row>
    <row r="261" spans="1:9" s="2" customFormat="1" ht="15.75" customHeight="1" x14ac:dyDescent="0.3">
      <c r="A261" s="85">
        <v>5</v>
      </c>
      <c r="B261" s="85"/>
      <c r="C261" s="24" t="s">
        <v>151</v>
      </c>
      <c r="D261" s="69">
        <f>(3.22*6.29+2.46*3.1+3.07*4.27+2.82*3.91+3.07*3.72+2.46*1.55+1.52*2.44+2.57*1.55+2*1.45+0.5*3.64+1.53*1.07+0.53*1.07+2.11*1.07+1.85*0.15+0.1*2.5+2.87*0.55+1.12*1.12+1.9*1.07)*10.764</f>
        <v>963.54914760000008</v>
      </c>
      <c r="E261" s="24">
        <v>0</v>
      </c>
      <c r="F261" s="24">
        <f t="shared" ref="F261" si="23">D261*1.6+E261</f>
        <v>1541.6786361600002</v>
      </c>
      <c r="G261" s="90"/>
      <c r="H261" s="91"/>
      <c r="I261" s="2">
        <v>5</v>
      </c>
    </row>
    <row r="262" spans="1:9" s="2" customFormat="1" ht="15.75" customHeight="1" x14ac:dyDescent="0.3">
      <c r="A262" s="82" t="s">
        <v>262</v>
      </c>
      <c r="B262" s="83"/>
      <c r="C262" s="83"/>
      <c r="D262" s="83"/>
      <c r="E262" s="83"/>
      <c r="F262" s="83"/>
      <c r="G262" s="83"/>
      <c r="H262" s="84"/>
    </row>
    <row r="263" spans="1:9" s="2" customFormat="1" ht="15.75" customHeight="1" x14ac:dyDescent="0.3">
      <c r="A263" s="85">
        <v>1</v>
      </c>
      <c r="B263" s="85"/>
      <c r="C263" s="24" t="s">
        <v>151</v>
      </c>
      <c r="D263" s="68">
        <f>(3.48*6.29+2.51*3.485+2.92*3.92+3.07*3.97+3.22*4.81+1.54*2.46+2.76*1.54+2.43*1.45+2.76*1.275+1.973*1.23+0.537*0.3+1.102*0.15+1.2*3.63+4.905*1.07+2.175*1.07+1.54*0.6)*10.764</f>
        <v>1081.23454296</v>
      </c>
      <c r="E263" s="24">
        <v>0</v>
      </c>
      <c r="F263" s="24">
        <f t="shared" ref="F263:F267" si="24">D263*1.6+E263</f>
        <v>1729.9752687360001</v>
      </c>
      <c r="G263" s="86" t="str">
        <f>A262</f>
        <v xml:space="preserve">22nd to 26th Floor </v>
      </c>
      <c r="H263" s="87"/>
    </row>
    <row r="264" spans="1:9" s="2" customFormat="1" ht="15.75" customHeight="1" x14ac:dyDescent="0.3">
      <c r="A264" s="85">
        <v>2</v>
      </c>
      <c r="B264" s="85"/>
      <c r="C264" s="24" t="s">
        <v>151</v>
      </c>
      <c r="D264" s="69">
        <f>(3.48*6.29+2.66*3.485+2.92*3.92+3.07*3.97+3.22*4.81+2.31*2.045+2.43*1.54+2.76*1.54+1.25*1.68+2.76*1.275+1.31*0.15+2.26*1.23+0.93*2.67+1.26*0.15+1.2*3.63+4.905*1.07+2.175*1.07+1.54*0.6+3.43*1.26)*10.764</f>
        <v>1199.5740665999997</v>
      </c>
      <c r="E264" s="24">
        <v>0</v>
      </c>
      <c r="F264" s="24">
        <f t="shared" si="24"/>
        <v>1919.3185065599996</v>
      </c>
      <c r="G264" s="88"/>
      <c r="H264" s="89"/>
    </row>
    <row r="265" spans="1:9" s="2" customFormat="1" ht="15.75" customHeight="1" x14ac:dyDescent="0.3">
      <c r="A265" s="85">
        <v>3</v>
      </c>
      <c r="B265" s="85"/>
      <c r="C265" s="24" t="s">
        <v>151</v>
      </c>
      <c r="D265" s="69">
        <f>(3.48*6.29+2.66*3.485+2.92*3.92+3.07*3.97+3.22*4.81+2.31*2.045+2.43*1.54+2.76*1.54+1.25*1.68+2.76*1.275+1.31*0.15+2.26*1.23+0.93*2.67+1.26*0.15+1.2*3.63+4.905*1.07+2.175*1.07+1.54*0.6+3.43*1.26)*10.764</f>
        <v>1199.5740665999997</v>
      </c>
      <c r="E265" s="24">
        <v>0</v>
      </c>
      <c r="F265" s="24">
        <f t="shared" si="24"/>
        <v>1919.3185065599996</v>
      </c>
      <c r="G265" s="88"/>
      <c r="H265" s="89"/>
    </row>
    <row r="266" spans="1:9" s="2" customFormat="1" ht="15.75" customHeight="1" x14ac:dyDescent="0.3">
      <c r="A266" s="92">
        <v>4</v>
      </c>
      <c r="B266" s="93"/>
      <c r="C266" s="24" t="s">
        <v>151</v>
      </c>
      <c r="D266" s="68">
        <f>(3.48*6.29+2.51*3.485+2.92*3.92+3.07*3.97+3.22*4.81+1.54*2.46+2.76*1.54+2.43*1.45+2.76*1.275+1.973*1.23+0.537*0.3+1.102*0.15+1.2*3.63+4.905*1.07+2.175*1.07+1.54*0.6)*10.764</f>
        <v>1081.23454296</v>
      </c>
      <c r="E266" s="24">
        <v>0</v>
      </c>
      <c r="F266" s="24">
        <f t="shared" si="24"/>
        <v>1729.9752687360001</v>
      </c>
      <c r="G266" s="88"/>
      <c r="H266" s="89"/>
    </row>
    <row r="267" spans="1:9" s="2" customFormat="1" ht="15.75" customHeight="1" x14ac:dyDescent="0.3">
      <c r="A267" s="85">
        <v>5</v>
      </c>
      <c r="B267" s="85"/>
      <c r="C267" s="24" t="s">
        <v>151</v>
      </c>
      <c r="D267" s="24">
        <f>(2*1.45+3.07*4.27+0.53*1.07+2.46*3.1+2.11*1.07+1.85*0.15+1.53*1.07+2.46*1.55+0.5*3.64+3.22*6.29+2.82*3.91+0.1*2.5+1.9*1.07+1.52*2.44+1.12*1.12+2.57*1.55+2.87*0.55+3.07*3.72)*10.764</f>
        <v>963.54914760000008</v>
      </c>
      <c r="E267" s="24">
        <v>0</v>
      </c>
      <c r="F267" s="24">
        <f t="shared" si="24"/>
        <v>1541.6786361600002</v>
      </c>
      <c r="G267" s="90"/>
      <c r="H267" s="91"/>
      <c r="I267" s="2">
        <v>1</v>
      </c>
    </row>
    <row r="268" spans="1:9" s="2" customFormat="1" ht="15.75" customHeight="1" x14ac:dyDescent="0.3">
      <c r="A268" s="82" t="s">
        <v>263</v>
      </c>
      <c r="B268" s="83"/>
      <c r="C268" s="83"/>
      <c r="D268" s="83"/>
      <c r="E268" s="83"/>
      <c r="F268" s="83"/>
      <c r="G268" s="83"/>
      <c r="H268" s="84"/>
    </row>
    <row r="269" spans="1:9" s="2" customFormat="1" ht="15.75" customHeight="1" x14ac:dyDescent="0.3">
      <c r="A269" s="85">
        <v>1</v>
      </c>
      <c r="B269" s="85"/>
      <c r="C269" s="42" t="s">
        <v>151</v>
      </c>
      <c r="D269" s="68">
        <f>(3.48*6.29+2.51*3.485+2.92*3.92+3.07*3.97+3.22*4.81+1.54*2.46+2.76*1.54+2.43*1.45+2.76*1.275+1.973*1.23+0.537*0.3+1.102*0.15+1.2*3.63+4.905*1.07+2.175*1.07+1.54*0.6+3.43*1.26)*10.764</f>
        <v>1127.7543981599999</v>
      </c>
      <c r="E269" s="24">
        <v>0</v>
      </c>
      <c r="F269" s="24">
        <f t="shared" ref="F269:F272" si="25">D269*1.6+E269</f>
        <v>1804.407037056</v>
      </c>
      <c r="G269" s="86" t="str">
        <f>A268</f>
        <v>27th Floor</v>
      </c>
      <c r="H269" s="87"/>
    </row>
    <row r="270" spans="1:9" s="2" customFormat="1" ht="15.75" customHeight="1" x14ac:dyDescent="0.3">
      <c r="A270" s="85">
        <v>2</v>
      </c>
      <c r="B270" s="85"/>
      <c r="C270" s="24" t="s">
        <v>151</v>
      </c>
      <c r="D270" s="69">
        <f>(3.48*6.29+2.66*3.485+2.92*3.92+3.07*3.97+3.22*4.81+2.31*2.045+2.43*1.54+2.76*1.54+1.25*1.68+2.76*1.275+1.31*0.15+2.26*1.23+0.93*2.67+1.26*0.15+1.2*3.63+4.905*1.07+2.175*1.07+1.54*0.6+3.43*1.26+3.43*1.26)*10.764</f>
        <v>1246.0939217999999</v>
      </c>
      <c r="E270" s="24">
        <v>0</v>
      </c>
      <c r="F270" s="24">
        <f t="shared" si="25"/>
        <v>1993.7502748799998</v>
      </c>
      <c r="G270" s="88"/>
      <c r="H270" s="89"/>
    </row>
    <row r="271" spans="1:9" s="2" customFormat="1" ht="48.75" customHeight="1" x14ac:dyDescent="0.3">
      <c r="A271" s="85">
        <v>3</v>
      </c>
      <c r="B271" s="85"/>
      <c r="C271" s="24" t="s">
        <v>264</v>
      </c>
      <c r="D271" s="69">
        <f>((3.48*6.29+2.66*2.415+2.92*3.92+3.07*3.97+3.22*4.81+1.54*2.46+2.76*1.54+2.43*1.54+2.76*1.275+1.56*1.093+1.31*0.15+2.26*1.23+1.08*0.74+2.175*1.07+4.905*1.07+1.54*0.6+1.2*3.63+3.43*1.26)+(3.48*6.29+2.92*3.92+2.66*2.415+1.54*2.46+2.76*1.275+1.66*1.07+2.66*2.415+1.91*0.15+2.26*1.23+1.045*1.09+3.43*1.26+2*4))*10.764</f>
        <v>1907.2487257199998</v>
      </c>
      <c r="E271" s="24">
        <v>0</v>
      </c>
      <c r="F271" s="24">
        <f t="shared" si="25"/>
        <v>3051.5979611519997</v>
      </c>
      <c r="G271" s="88"/>
      <c r="H271" s="89"/>
    </row>
    <row r="272" spans="1:9" s="2" customFormat="1" x14ac:dyDescent="0.3">
      <c r="A272" s="85">
        <v>4</v>
      </c>
      <c r="B272" s="85"/>
      <c r="C272" s="42" t="s">
        <v>151</v>
      </c>
      <c r="D272" s="68">
        <f>(3.48*6.29+2.51*3.485+2.92*3.92+3.07*3.97+3.22*4.81+1.54*2.46+2.76*1.54+2.43*1.45+2.76*1.275+1.973*1.23+0.537*0.3+1.102*0.15+1.2*3.63+4.905*1.07+2.175*1.07+1.54*0.6+3.43*1.26)*10.764</f>
        <v>1127.7543981599999</v>
      </c>
      <c r="E272" s="24">
        <v>0</v>
      </c>
      <c r="F272" s="24">
        <f t="shared" si="25"/>
        <v>1804.407037056</v>
      </c>
      <c r="G272" s="88"/>
      <c r="H272" s="89"/>
    </row>
    <row r="273" spans="1:14" s="2" customFormat="1" ht="15.75" customHeight="1" x14ac:dyDescent="0.3">
      <c r="A273" s="85">
        <v>5</v>
      </c>
      <c r="B273" s="85"/>
      <c r="C273" s="24" t="s">
        <v>151</v>
      </c>
      <c r="D273" s="69">
        <f>(3.22*6.29+2.46*3.1+3.07*4.27+2.82*3.91+3.07*3.72+2.46*1.55+1.52*2.44+2.57*1.55+2*1.45+0.5*3.64+1.53*1.07+0.53*1.07+2.11*1.07+1.85*0.15+0.1*2.5+2.87*0.55+1.12*1.12+1.9*1.07)*10.764</f>
        <v>963.54914760000008</v>
      </c>
      <c r="E273" s="24">
        <v>0</v>
      </c>
      <c r="F273" s="24">
        <f t="shared" ref="F273" si="26">D273*1.6+E273</f>
        <v>1541.6786361600002</v>
      </c>
      <c r="G273" s="90"/>
      <c r="H273" s="91"/>
      <c r="I273" s="2">
        <v>1</v>
      </c>
    </row>
    <row r="274" spans="1:14" s="2" customFormat="1" ht="15.75" customHeight="1" x14ac:dyDescent="0.3">
      <c r="A274" s="82" t="s">
        <v>265</v>
      </c>
      <c r="B274" s="83"/>
      <c r="C274" s="83"/>
      <c r="D274" s="83"/>
      <c r="E274" s="83"/>
      <c r="F274" s="83"/>
      <c r="G274" s="83"/>
      <c r="H274" s="84"/>
    </row>
    <row r="275" spans="1:14" s="2" customFormat="1" ht="15.75" customHeight="1" x14ac:dyDescent="0.3">
      <c r="A275" s="85">
        <v>1</v>
      </c>
      <c r="B275" s="85"/>
      <c r="C275" s="24" t="s">
        <v>151</v>
      </c>
      <c r="D275" s="68">
        <f>(3.48*6.29+2.51*3.485+2.92*3.92+3.07*3.97+3.22*4.81+1.54*2.46+2.76*1.54+2.43*1.45+2.76*1.275+1.973*1.23+0.537*0.3+1.102*0.15+1.2*3.63+4.905*1.07+2.175*1.07+1.54*0.6+3.43*1.26)*10.764</f>
        <v>1127.7543981599999</v>
      </c>
      <c r="E275" s="24">
        <v>0</v>
      </c>
      <c r="F275" s="24">
        <f t="shared" ref="F275:F276" si="27">D275*1.6+E275</f>
        <v>1804.407037056</v>
      </c>
      <c r="G275" s="86" t="str">
        <f>A274</f>
        <v>28th Floor (Part Refuge Area)</v>
      </c>
      <c r="H275" s="87"/>
    </row>
    <row r="276" spans="1:14" s="2" customFormat="1" ht="15.75" customHeight="1" x14ac:dyDescent="0.3">
      <c r="A276" s="85">
        <v>2</v>
      </c>
      <c r="B276" s="85"/>
      <c r="C276" s="24" t="s">
        <v>151</v>
      </c>
      <c r="D276" s="69">
        <f>(3.48*6.29+2.66*3.485+2.92*3.92+3.07*3.97+3.22*4.81+2.31*2.045+2.43*1.54+2.76*1.54+1.25*1.68+2.76*1.275+1.31*0.15+2.26*1.23+0.93*2.67+1.26*0.15+1.2*3.63+4.905*1.07+2.175*1.07+1.54*0.6+3.43*1.26+3.43*1.26)*10.764</f>
        <v>1246.0939217999999</v>
      </c>
      <c r="E276" s="24">
        <v>0</v>
      </c>
      <c r="F276" s="24">
        <f t="shared" si="27"/>
        <v>1993.7502748799998</v>
      </c>
      <c r="G276" s="88"/>
      <c r="H276" s="89"/>
    </row>
    <row r="277" spans="1:14" s="2" customFormat="1" ht="15.75" customHeight="1" x14ac:dyDescent="0.3">
      <c r="A277" s="85">
        <v>3</v>
      </c>
      <c r="B277" s="85"/>
      <c r="C277" s="95" t="s">
        <v>266</v>
      </c>
      <c r="D277" s="96"/>
      <c r="E277" s="96"/>
      <c r="F277" s="97"/>
      <c r="G277" s="88"/>
      <c r="H277" s="89"/>
    </row>
    <row r="278" spans="1:14" s="2" customFormat="1" ht="15.75" customHeight="1" x14ac:dyDescent="0.3">
      <c r="A278" s="85">
        <v>4</v>
      </c>
      <c r="B278" s="85"/>
      <c r="C278" s="92" t="s">
        <v>179</v>
      </c>
      <c r="D278" s="94"/>
      <c r="E278" s="94"/>
      <c r="F278" s="93"/>
      <c r="G278" s="88"/>
      <c r="H278" s="89"/>
    </row>
    <row r="279" spans="1:14" s="2" customFormat="1" ht="15.75" customHeight="1" x14ac:dyDescent="0.3">
      <c r="A279" s="85">
        <v>5</v>
      </c>
      <c r="B279" s="85"/>
      <c r="C279" s="24" t="s">
        <v>151</v>
      </c>
      <c r="D279" s="69">
        <f>(3.22*6.29+2.46*3.1+3.07*4.27+2.82*3.91+3.07*3.72+2.46*1.55+1.52*2.44+2.57*1.55+2*1.45+0.5*3.64+1.53*1.07+0.53*1.07+2.11*1.07+1.85*0.15+0.1*2.5+2.87*0.55+1.12*1.12+1.9*1.07)*10.764</f>
        <v>963.54914760000008</v>
      </c>
      <c r="E279" s="24">
        <v>0</v>
      </c>
      <c r="F279" s="24">
        <f t="shared" ref="F279" si="28">D279*1.6+E279</f>
        <v>1541.6786361600002</v>
      </c>
      <c r="G279" s="90"/>
      <c r="H279" s="91"/>
      <c r="I279" s="2">
        <v>9</v>
      </c>
    </row>
    <row r="280" spans="1:14" s="2" customFormat="1" ht="15.75" customHeight="1" x14ac:dyDescent="0.3">
      <c r="A280" s="82" t="s">
        <v>267</v>
      </c>
      <c r="B280" s="83"/>
      <c r="C280" s="83"/>
      <c r="D280" s="83"/>
      <c r="E280" s="83"/>
      <c r="F280" s="83"/>
      <c r="G280" s="83"/>
      <c r="H280" s="84"/>
      <c r="I280" s="2">
        <f>36400000</f>
        <v>36400000</v>
      </c>
      <c r="J280" s="2">
        <v>1800000</v>
      </c>
      <c r="K280" s="2">
        <f>I280-J280</f>
        <v>34600000</v>
      </c>
    </row>
    <row r="281" spans="1:14" s="2" customFormat="1" ht="15.75" customHeight="1" x14ac:dyDescent="0.3">
      <c r="A281" s="85">
        <v>1</v>
      </c>
      <c r="B281" s="85"/>
      <c r="C281" s="24" t="s">
        <v>151</v>
      </c>
      <c r="D281" s="68">
        <f>(2.76*1.275+3.48*6.29+2.61*3.485+1.102*0.15+0.537*0.33+1.973*1.23+1.2*3.63+3.02*3.92+4.905*1.07+1.54*0.6+3.17*3.97+1.54*2.46+2.175*1.07+3.32*4.91+2.76*1.54+2.43*1.45+(3.43*1.26))*10.764</f>
        <v>1148.9229881999997</v>
      </c>
      <c r="E281" s="24">
        <v>0</v>
      </c>
      <c r="F281" s="24">
        <f>D281*1.6+E281</f>
        <v>1838.2767811199997</v>
      </c>
      <c r="G281" s="86" t="str">
        <f>A280</f>
        <v xml:space="preserve">29th to 34th &amp; 36th to 38th Floor </v>
      </c>
      <c r="H281" s="87"/>
      <c r="I281" s="68">
        <f>17200*F281+582000+1200000*2</f>
        <v>34600360.635263994</v>
      </c>
      <c r="J281" s="78" t="s">
        <v>291</v>
      </c>
      <c r="K281" s="78"/>
      <c r="L281" s="78"/>
      <c r="M281" s="78"/>
      <c r="N281" s="78"/>
    </row>
    <row r="282" spans="1:14" s="2" customFormat="1" ht="15.75" customHeight="1" x14ac:dyDescent="0.3">
      <c r="A282" s="85">
        <v>2</v>
      </c>
      <c r="B282" s="85"/>
      <c r="C282" s="24" t="s">
        <v>151</v>
      </c>
      <c r="D282" s="69">
        <f>(2.76*1.275+3.48*6.29+2.66*3.485+1.31*0.15+2.26*1.23+0.93*2.67+1.25*1.68+2.31*2.045+1.26*0.15+1.2*3.63+3.02*3.92+4.905*1.07+1.54*0.6+3.17*3.97+1.54*2.46+2.175*1.07+3.32*4.91+2.76*1.54+2.43*1.45+(3.43*1.26))*10.764</f>
        <v>1255.2422454</v>
      </c>
      <c r="E282" s="24">
        <v>0</v>
      </c>
      <c r="F282" s="24">
        <f t="shared" ref="F282:F285" si="29">D282*1.6+E282</f>
        <v>2008.3875926400001</v>
      </c>
      <c r="G282" s="88"/>
      <c r="H282" s="89"/>
      <c r="I282" s="69">
        <f>K280-I281</f>
        <v>-360.63526399433613</v>
      </c>
    </row>
    <row r="283" spans="1:14" s="2" customFormat="1" ht="15.75" customHeight="1" x14ac:dyDescent="0.3">
      <c r="A283" s="85">
        <v>3</v>
      </c>
      <c r="B283" s="85"/>
      <c r="C283" s="24" t="s">
        <v>151</v>
      </c>
      <c r="D283" s="69">
        <f>(2.76*1.275+3.48*6.29+2.66*3.485+1.31*0.15+2.26*1.23+0.93*2.67+1.25*1.68+2.31*2.045+1.26*0.15+1.2*3.63+3.02*3.92+4.905*1.07+1.54*0.6+3.17*3.97+1.54*2.46+2.175*1.07+3.32*4.91+2.76*1.54+2.43*1.45+(3.43*1.26))*10.764</f>
        <v>1255.2422454</v>
      </c>
      <c r="E283" s="24">
        <v>0</v>
      </c>
      <c r="F283" s="24">
        <f t="shared" si="29"/>
        <v>2008.3875926400001</v>
      </c>
      <c r="G283" s="88"/>
      <c r="H283" s="89"/>
      <c r="I283" s="69">
        <f>I281+I282</f>
        <v>34600000</v>
      </c>
    </row>
    <row r="284" spans="1:14" s="2" customFormat="1" ht="15.75" customHeight="1" x14ac:dyDescent="0.3">
      <c r="A284" s="92">
        <v>4</v>
      </c>
      <c r="B284" s="93"/>
      <c r="C284" s="24" t="s">
        <v>151</v>
      </c>
      <c r="D284" s="68">
        <f>(2.76*1.275+3.48*6.29+2.61*3.485+1.102*0.15+0.537*0.33+1.973*1.23+1.2*3.63+3.02*3.92+4.905*1.07+1.54*0.6+3.17*3.97+1.54*2.46+2.175*1.07+3.32*4.91+2.76*1.54+2.43*1.45+(3.43*1.26))*10.764</f>
        <v>1148.9229881999997</v>
      </c>
      <c r="E284" s="24">
        <v>0</v>
      </c>
      <c r="F284" s="24">
        <f t="shared" si="29"/>
        <v>1838.2767811199997</v>
      </c>
      <c r="G284" s="88"/>
      <c r="H284" s="89"/>
      <c r="I284" s="68"/>
    </row>
    <row r="285" spans="1:14" s="2" customFormat="1" ht="15.75" customHeight="1" x14ac:dyDescent="0.3">
      <c r="A285" s="85">
        <v>5</v>
      </c>
      <c r="B285" s="85"/>
      <c r="C285" s="24" t="s">
        <v>151</v>
      </c>
      <c r="D285" s="24">
        <f>(2*1.5+2*1.45+3.22*6.29+0.5*3.64+1.53*1.07+2.46*3.1+2.11*1.07+1.85*0.15+0.53*1.7+2.46*1.55+3.17*0.6+3.17*3.67+1.9*1.07+1.52*2.44+2.82*3.91+0.1*2.5+1.12*1.12+3.17*0.6+3.17*3.12+2.97*0.55+2.57*1.55)*10.764</f>
        <v>1008.6277032000003</v>
      </c>
      <c r="E285" s="24">
        <v>0</v>
      </c>
      <c r="F285" s="24">
        <f t="shared" si="29"/>
        <v>1613.8043251200006</v>
      </c>
      <c r="G285" s="90"/>
      <c r="H285" s="91"/>
      <c r="I285" s="24"/>
    </row>
    <row r="286" spans="1:14" s="2" customFormat="1" ht="15.75" customHeight="1" x14ac:dyDescent="0.3">
      <c r="A286" s="82" t="s">
        <v>219</v>
      </c>
      <c r="B286" s="83"/>
      <c r="C286" s="83"/>
      <c r="D286" s="83"/>
      <c r="E286" s="83"/>
      <c r="F286" s="83"/>
      <c r="G286" s="83"/>
      <c r="H286" s="84"/>
    </row>
    <row r="287" spans="1:14" s="2" customFormat="1" ht="15.75" customHeight="1" x14ac:dyDescent="0.3">
      <c r="A287" s="85">
        <v>1</v>
      </c>
      <c r="B287" s="85"/>
      <c r="C287" s="24" t="s">
        <v>151</v>
      </c>
      <c r="D287" s="68">
        <f>(2.76*1.275+3.48*6.29+2.61*3.485+1.102*0.15+0.537*0.33+1.973*1.23+1.2*3.63+3.02*3.92+4.905*1.07+1.54*0.6+3.17*3.97+1.54*2.46+2.175*1.07+3.32*4.91+2.76*1.54+2.43*1.45+(3.43*1.26))*10.764</f>
        <v>1148.9229881999997</v>
      </c>
      <c r="E287" s="24">
        <v>0</v>
      </c>
      <c r="F287" s="24">
        <f t="shared" ref="F287:F291" si="30">D287*1.6+E287</f>
        <v>1838.2767811199997</v>
      </c>
      <c r="G287" s="86" t="str">
        <f>A286</f>
        <v>35th Floor (Part Refuge Area)</v>
      </c>
      <c r="H287" s="87"/>
    </row>
    <row r="288" spans="1:14" s="2" customFormat="1" ht="15.75" customHeight="1" x14ac:dyDescent="0.3">
      <c r="A288" s="85">
        <v>2</v>
      </c>
      <c r="B288" s="85"/>
      <c r="C288" s="24" t="s">
        <v>151</v>
      </c>
      <c r="D288" s="69">
        <f>(2.76*1.275+3.48*6.29+2.66*3.485+1.31*0.15+2.26*1.23+0.93*2.67+1.25*1.68+2.31*2.045+1.26*0.15+1.2*3.63+3.02*3.92+4.905*1.07+1.54*0.6+3.17*3.97+1.54*2.46+2.175*1.07+3.32*4.91+2.76*1.54+2.43*1.45+(3.43*1.26))*10.764</f>
        <v>1255.2422454</v>
      </c>
      <c r="E288" s="24">
        <v>0</v>
      </c>
      <c r="F288" s="24">
        <f t="shared" si="30"/>
        <v>2008.3875926400001</v>
      </c>
      <c r="G288" s="88"/>
      <c r="H288" s="89"/>
    </row>
    <row r="289" spans="1:9" s="2" customFormat="1" ht="15.75" customHeight="1" x14ac:dyDescent="0.3">
      <c r="A289" s="85">
        <v>3</v>
      </c>
      <c r="B289" s="85"/>
      <c r="C289" s="24" t="s">
        <v>151</v>
      </c>
      <c r="D289" s="69">
        <f>(2.76*1.275+3.48*6.29+2.66*3.485+1.31*0.15+2.26*1.23+0.93*2.67+1.25*1.68+2.31*2.045+1.26*0.15+1.2*3.63+3.02*3.92+4.905*1.07+1.54*0.6+3.17*3.97+1.54*2.46+2.175*1.07+3.32*4.91+2.76*1.54+2.43*1.45+(3.43*1.26))*10.764</f>
        <v>1255.2422454</v>
      </c>
      <c r="E289" s="24">
        <v>0</v>
      </c>
      <c r="F289" s="24">
        <f t="shared" si="30"/>
        <v>2008.3875926400001</v>
      </c>
      <c r="G289" s="88"/>
      <c r="H289" s="89"/>
    </row>
    <row r="290" spans="1:9" s="2" customFormat="1" ht="15.75" customHeight="1" x14ac:dyDescent="0.3">
      <c r="A290" s="92">
        <v>4</v>
      </c>
      <c r="B290" s="93"/>
      <c r="C290" s="92" t="s">
        <v>292</v>
      </c>
      <c r="D290" s="94"/>
      <c r="E290" s="94"/>
      <c r="F290" s="93"/>
      <c r="G290" s="88"/>
      <c r="H290" s="89"/>
    </row>
    <row r="291" spans="1:9" s="2" customFormat="1" ht="15.75" customHeight="1" x14ac:dyDescent="0.3">
      <c r="A291" s="85">
        <v>5</v>
      </c>
      <c r="B291" s="85"/>
      <c r="C291" s="24" t="s">
        <v>151</v>
      </c>
      <c r="D291" s="24">
        <f>(2*1.5+2*1.45+3.22*6.29+0.5*3.64+1.53*1.07+2.46*3.1+2.11*1.07+1.85*0.15+0.53*1.7+2.46*1.55+3.17*0.6+3.17*3.67+1.9*1.07+1.52*2.44+2.82*3.91+0.1*2.5+1.12*1.12+3.17*0.6+3.17*3.12+2.97*0.55+2.57*1.55)*10.764</f>
        <v>1008.6277032000003</v>
      </c>
      <c r="E291" s="24">
        <v>0</v>
      </c>
      <c r="F291" s="24">
        <f t="shared" si="30"/>
        <v>1613.8043251200006</v>
      </c>
      <c r="G291" s="90"/>
      <c r="H291" s="91"/>
    </row>
    <row r="292" spans="1:9" s="2" customFormat="1" x14ac:dyDescent="0.3">
      <c r="A292" s="115" t="s">
        <v>189</v>
      </c>
      <c r="B292" s="115"/>
      <c r="C292" s="115"/>
      <c r="D292" s="115"/>
      <c r="E292" s="115"/>
      <c r="F292" s="115"/>
      <c r="G292" s="115"/>
      <c r="H292" s="115"/>
      <c r="I292" s="2">
        <f>SUM(I203:I291)</f>
        <v>105600037</v>
      </c>
    </row>
    <row r="293" spans="1:9" s="2" customFormat="1" x14ac:dyDescent="0.3">
      <c r="A293" s="82" t="s">
        <v>171</v>
      </c>
      <c r="B293" s="83"/>
      <c r="C293" s="83"/>
      <c r="D293" s="83"/>
      <c r="E293" s="83"/>
      <c r="F293" s="83"/>
      <c r="G293" s="83"/>
      <c r="H293" s="84"/>
    </row>
    <row r="294" spans="1:9" s="2" customFormat="1" x14ac:dyDescent="0.3">
      <c r="A294" s="82" t="s">
        <v>222</v>
      </c>
      <c r="B294" s="83"/>
      <c r="C294" s="83"/>
      <c r="D294" s="83"/>
      <c r="E294" s="83"/>
      <c r="F294" s="83"/>
      <c r="G294" s="83"/>
      <c r="H294" s="84"/>
    </row>
    <row r="295" spans="1:9" s="2" customFormat="1" ht="15.75" customHeight="1" x14ac:dyDescent="0.3">
      <c r="A295" s="85">
        <v>1</v>
      </c>
      <c r="B295" s="85"/>
      <c r="C295" s="86" t="s">
        <v>190</v>
      </c>
      <c r="D295" s="124"/>
      <c r="E295" s="124"/>
      <c r="F295" s="87"/>
      <c r="G295" s="86" t="str">
        <f>A294</f>
        <v>1st  Floor for Residential</v>
      </c>
      <c r="H295" s="87"/>
    </row>
    <row r="296" spans="1:9" s="2" customFormat="1" ht="15.75" customHeight="1" x14ac:dyDescent="0.3">
      <c r="A296" s="85">
        <v>2</v>
      </c>
      <c r="B296" s="85"/>
      <c r="C296" s="90"/>
      <c r="D296" s="125"/>
      <c r="E296" s="125"/>
      <c r="F296" s="91"/>
      <c r="G296" s="88"/>
      <c r="H296" s="89"/>
    </row>
    <row r="297" spans="1:9" s="2" customFormat="1" ht="15.75" customHeight="1" x14ac:dyDescent="0.3">
      <c r="A297" s="85">
        <v>3</v>
      </c>
      <c r="B297" s="85"/>
      <c r="C297" s="24" t="s">
        <v>151</v>
      </c>
      <c r="D297" s="69">
        <f>(6.29*3.22+3.1*2.46+4.27*3.07+3.91+2.82+3.72*3.07+1.55*2.57+2.44*1.55+1.55*2.46+1.45*2+1.07*0.68+1.07*1.38+1.07*1.9+1.12*1.12+3.64*0.5+2.87*0.55+1.07*2.11+2.52*0.05+2.87*0.55)*10.764</f>
        <v>930.76200360000018</v>
      </c>
      <c r="E297" s="24">
        <v>0</v>
      </c>
      <c r="F297" s="24">
        <f t="shared" ref="F297:F299" si="31">D297*1.6+E297</f>
        <v>1489.2192057600005</v>
      </c>
      <c r="G297" s="88"/>
      <c r="H297" s="89"/>
      <c r="I297" s="69">
        <v>10.763999999999999</v>
      </c>
    </row>
    <row r="298" spans="1:9" s="2" customFormat="1" ht="15.75" customHeight="1" x14ac:dyDescent="0.3">
      <c r="A298" s="85">
        <v>4</v>
      </c>
      <c r="B298" s="85"/>
      <c r="C298" s="24" t="s">
        <v>151</v>
      </c>
      <c r="D298" s="69">
        <f>(3.22*6.35+3.09*2.46+3.97*3.07+3.07*4.43+2.92*4.28+2.46*1.54+1.54*2.46+1.54*2.46+1.06*0.05+1.06*1.07+3.24*1.07+0.95*3.58+0.85*0.15+1.05*2.08+1.275*2.86)*10.764</f>
        <v>987.19012079999993</v>
      </c>
      <c r="E298" s="24">
        <v>0</v>
      </c>
      <c r="F298" s="24">
        <f t="shared" si="31"/>
        <v>1579.50419328</v>
      </c>
      <c r="G298" s="88"/>
      <c r="H298" s="89"/>
    </row>
    <row r="299" spans="1:9" s="2" customFormat="1" ht="15.75" customHeight="1" x14ac:dyDescent="0.3">
      <c r="A299" s="85">
        <v>5</v>
      </c>
      <c r="B299" s="85"/>
      <c r="C299" s="24" t="s">
        <v>151</v>
      </c>
      <c r="D299" s="69">
        <f>(3.22*6.35+3.09*2.46+3.97*3.07+3.07*4.43+2.92*4.28+2.46*1.54+1.54*2.46+1.54*2.46+1.06*0.05+1.06*1.07+3.24*1.07+0.95*3.58+0.85*0.15+1.05*2.08+1.275*2.86)*10.764</f>
        <v>987.19012079999993</v>
      </c>
      <c r="E299" s="24">
        <v>0</v>
      </c>
      <c r="F299" s="24">
        <f t="shared" si="31"/>
        <v>1579.50419328</v>
      </c>
      <c r="G299" s="90"/>
      <c r="H299" s="91"/>
    </row>
    <row r="300" spans="1:9" s="2" customFormat="1" x14ac:dyDescent="0.3">
      <c r="A300" s="82" t="s">
        <v>223</v>
      </c>
      <c r="B300" s="83"/>
      <c r="C300" s="83"/>
      <c r="D300" s="83"/>
      <c r="E300" s="83"/>
      <c r="F300" s="83"/>
      <c r="G300" s="83"/>
      <c r="H300" s="84"/>
    </row>
    <row r="301" spans="1:9" s="2" customFormat="1" ht="15.75" customHeight="1" x14ac:dyDescent="0.3">
      <c r="A301" s="85">
        <v>1</v>
      </c>
      <c r="B301" s="85"/>
      <c r="C301" s="24" t="s">
        <v>173</v>
      </c>
      <c r="D301" s="69">
        <f>(5.945*3.22+3.28*2.31+3.97*2.92+4.27*3.22+2.46*1.54+2.46*1.54+0.62*3.21+1.07*1.53+1.07*1.64+2.515*0.72+1.09*1.69+1.55*1.56)*10.764</f>
        <v>765.22675320000019</v>
      </c>
      <c r="E301" s="24">
        <v>0</v>
      </c>
      <c r="F301" s="24">
        <f t="shared" ref="F301:F305" si="32">D301*1.6+E301</f>
        <v>1224.3628051200003</v>
      </c>
      <c r="G301" s="86" t="str">
        <f>A300</f>
        <v xml:space="preserve">2nd to 4th, 6th &amp; 8th to 13th Floor </v>
      </c>
      <c r="H301" s="87"/>
    </row>
    <row r="302" spans="1:9" s="2" customFormat="1" x14ac:dyDescent="0.3">
      <c r="A302" s="85">
        <v>2</v>
      </c>
      <c r="B302" s="85"/>
      <c r="C302" s="24" t="s">
        <v>173</v>
      </c>
      <c r="D302" s="69">
        <f>(5.945*3.22+3.28*2.31+3.97*2.92+4.27*3.22+2.46*1.54+2.46*1.54+0.62*3.21+1.07*1.53+1.07*1.64+2.515*0.72+1.09*1.69+1.55*1.56)*10.764</f>
        <v>765.22675320000019</v>
      </c>
      <c r="E302" s="24">
        <v>0</v>
      </c>
      <c r="F302" s="24">
        <f t="shared" si="32"/>
        <v>1224.3628051200003</v>
      </c>
      <c r="G302" s="88"/>
      <c r="H302" s="89"/>
    </row>
    <row r="303" spans="1:9" s="2" customFormat="1" x14ac:dyDescent="0.3">
      <c r="A303" s="85">
        <v>3</v>
      </c>
      <c r="B303" s="85"/>
      <c r="C303" s="24" t="s">
        <v>151</v>
      </c>
      <c r="D303" s="69">
        <f>(6.29*3.22+3.1*2.46+4.27*3.07+3.91+2.82+3.72*3.07+1.55*2.57+2.44*1.55+1.55*2.46+1.45*2+1.07*0.68+1.07*1.38+1.07*1.9+1.12*1.12+3.64*0.5+2.87*0.55+1.07*2.11+2.52*0.05+2.87*0.55)*10.764</f>
        <v>930.76200360000018</v>
      </c>
      <c r="E303" s="24">
        <v>0</v>
      </c>
      <c r="F303" s="24">
        <f t="shared" si="32"/>
        <v>1489.2192057600005</v>
      </c>
      <c r="G303" s="88"/>
      <c r="H303" s="89"/>
    </row>
    <row r="304" spans="1:9" s="2" customFormat="1" x14ac:dyDescent="0.3">
      <c r="A304" s="85">
        <v>4</v>
      </c>
      <c r="B304" s="85"/>
      <c r="C304" s="24" t="s">
        <v>151</v>
      </c>
      <c r="D304" s="69">
        <f>(3.22*6.35+3.09*2.46+3.97*3.07+3.07*4.43+2.92*4.28+2.46*1.54+1.54*2.46+1.54*2.46+1.06*0.05+1.06*1.07+3.24*1.07+0.95*3.58+0.85*0.15+1.05*2.08+1.275*2.86)*10.764</f>
        <v>987.19012079999993</v>
      </c>
      <c r="E304" s="24">
        <v>0</v>
      </c>
      <c r="F304" s="24">
        <f t="shared" si="32"/>
        <v>1579.50419328</v>
      </c>
      <c r="G304" s="88"/>
      <c r="H304" s="89"/>
    </row>
    <row r="305" spans="1:8" s="2" customFormat="1" x14ac:dyDescent="0.3">
      <c r="A305" s="85">
        <v>5</v>
      </c>
      <c r="B305" s="85"/>
      <c r="C305" s="24" t="s">
        <v>151</v>
      </c>
      <c r="D305" s="69">
        <f>(3.22*6.35+3.09*2.46+3.97*3.07+3.07*4.43+2.92*4.28+2.46*1.54+1.54*2.46+1.54*2.46+1.06*0.05+1.06*1.07+3.24*1.07+0.95*3.58+0.85*0.15+1.05*2.08+1.275*2.86)*10.764</f>
        <v>987.19012079999993</v>
      </c>
      <c r="E305" s="24">
        <v>0</v>
      </c>
      <c r="F305" s="24">
        <f t="shared" si="32"/>
        <v>1579.50419328</v>
      </c>
      <c r="G305" s="90"/>
      <c r="H305" s="91"/>
    </row>
    <row r="306" spans="1:8" s="2" customFormat="1" x14ac:dyDescent="0.3">
      <c r="A306" s="82" t="s">
        <v>192</v>
      </c>
      <c r="B306" s="83"/>
      <c r="C306" s="83"/>
      <c r="D306" s="83"/>
      <c r="E306" s="83"/>
      <c r="F306" s="83"/>
      <c r="G306" s="83"/>
      <c r="H306" s="84"/>
    </row>
    <row r="307" spans="1:8" s="2" customFormat="1" x14ac:dyDescent="0.3">
      <c r="A307" s="85">
        <v>1</v>
      </c>
      <c r="B307" s="85"/>
      <c r="C307" s="92" t="s">
        <v>232</v>
      </c>
      <c r="D307" s="94"/>
      <c r="E307" s="94"/>
      <c r="F307" s="93"/>
      <c r="G307" s="86" t="str">
        <f>A306</f>
        <v xml:space="preserve">5th Floor </v>
      </c>
      <c r="H307" s="87"/>
    </row>
    <row r="308" spans="1:8" s="2" customFormat="1" x14ac:dyDescent="0.3">
      <c r="A308" s="85">
        <v>2</v>
      </c>
      <c r="B308" s="85"/>
      <c r="C308" s="24" t="s">
        <v>173</v>
      </c>
      <c r="D308" s="69">
        <f>(5.945*3.22+3.28*2.31+3.97*2.92+4.27*3.22+2.46*1.54+2.46*1.54+0.62*3.21+1.07*1.53+1.07*1.64+2.515*0.72+1.09*1.69+1.55*1.56)*10.764</f>
        <v>765.22675320000019</v>
      </c>
      <c r="E308" s="24">
        <v>0</v>
      </c>
      <c r="F308" s="24">
        <f t="shared" ref="F308:F311" si="33">D308*1.6+E308</f>
        <v>1224.3628051200003</v>
      </c>
      <c r="G308" s="88"/>
      <c r="H308" s="89"/>
    </row>
    <row r="309" spans="1:8" s="2" customFormat="1" x14ac:dyDescent="0.3">
      <c r="A309" s="85">
        <v>3</v>
      </c>
      <c r="B309" s="85"/>
      <c r="C309" s="24" t="s">
        <v>151</v>
      </c>
      <c r="D309" s="69">
        <f>(6.29*3.22+3.1*2.46+4.27*3.07+3.91+2.82+3.72*3.07+1.55*2.57+2.44*1.55+1.55*2.46+1.45*2+1.07*0.68+1.07*1.38+1.07*1.9+1.12*1.12+3.64*0.5+2.87*0.55+1.07*2.11+2.52*0.05+2.87*0.55)*10.764</f>
        <v>930.76200360000018</v>
      </c>
      <c r="E309" s="24">
        <v>0</v>
      </c>
      <c r="F309" s="24">
        <f t="shared" si="33"/>
        <v>1489.2192057600005</v>
      </c>
      <c r="G309" s="88"/>
      <c r="H309" s="89"/>
    </row>
    <row r="310" spans="1:8" s="2" customFormat="1" x14ac:dyDescent="0.3">
      <c r="A310" s="85">
        <v>4</v>
      </c>
      <c r="B310" s="85"/>
      <c r="C310" s="24" t="s">
        <v>151</v>
      </c>
      <c r="D310" s="69">
        <f>(3.22*6.35+3.09*2.46+3.97*3.07+3.07*4.43+2.92*4.28+2.46*1.54+1.54*2.46+1.54*2.46+1.06*0.05+1.06*1.07+3.24*1.07+0.95*3.58+0.85*0.15+1.05*2.08+1.275*2.86)*10.764</f>
        <v>987.19012079999993</v>
      </c>
      <c r="E310" s="24">
        <v>0</v>
      </c>
      <c r="F310" s="24">
        <f t="shared" si="33"/>
        <v>1579.50419328</v>
      </c>
      <c r="G310" s="88"/>
      <c r="H310" s="89"/>
    </row>
    <row r="311" spans="1:8" s="2" customFormat="1" x14ac:dyDescent="0.3">
      <c r="A311" s="85">
        <v>5</v>
      </c>
      <c r="B311" s="85"/>
      <c r="C311" s="24" t="s">
        <v>151</v>
      </c>
      <c r="D311" s="69">
        <f>(3.22*6.35+3.09*2.46+3.97*3.07+3.07*4.43+2.92*4.28+2.46*1.54+1.54*2.46+1.54*2.46+1.06*0.05+1.06*1.07+3.24*1.07+0.95*3.58+0.85*0.15+1.05*2.08+1.275*2.86)*10.764</f>
        <v>987.19012079999993</v>
      </c>
      <c r="E311" s="24">
        <v>0</v>
      </c>
      <c r="F311" s="24">
        <f t="shared" si="33"/>
        <v>1579.50419328</v>
      </c>
      <c r="G311" s="90"/>
      <c r="H311" s="91"/>
    </row>
    <row r="312" spans="1:8" s="2" customFormat="1" x14ac:dyDescent="0.3">
      <c r="A312" s="82" t="s">
        <v>216</v>
      </c>
      <c r="B312" s="83"/>
      <c r="C312" s="83"/>
      <c r="D312" s="83"/>
      <c r="E312" s="83"/>
      <c r="F312" s="83"/>
      <c r="G312" s="83"/>
      <c r="H312" s="84"/>
    </row>
    <row r="313" spans="1:8" s="2" customFormat="1" ht="15.75" customHeight="1" x14ac:dyDescent="0.3">
      <c r="A313" s="85">
        <v>1</v>
      </c>
      <c r="B313" s="85"/>
      <c r="C313" s="92" t="s">
        <v>179</v>
      </c>
      <c r="D313" s="94"/>
      <c r="E313" s="94"/>
      <c r="F313" s="93"/>
      <c r="G313" s="86" t="str">
        <f>A312</f>
        <v>7th &amp; 14th Floor (Part Refuge Area)</v>
      </c>
      <c r="H313" s="87"/>
    </row>
    <row r="314" spans="1:8" s="2" customFormat="1" ht="15.75" customHeight="1" x14ac:dyDescent="0.3">
      <c r="A314" s="85">
        <v>2</v>
      </c>
      <c r="B314" s="85"/>
      <c r="C314" s="41" t="s">
        <v>220</v>
      </c>
      <c r="D314" s="24">
        <f>(2.515*1.54+3.28*2.31+1.55*1.56+3.385*3.17+2.168*0.1+2.46*1.49)*10.764</f>
        <v>306.56464019999993</v>
      </c>
      <c r="E314" s="24">
        <v>0</v>
      </c>
      <c r="F314" s="24">
        <f t="shared" ref="F314:F317" si="34">D314*1.6+E314</f>
        <v>490.50342431999991</v>
      </c>
      <c r="G314" s="88"/>
      <c r="H314" s="89"/>
    </row>
    <row r="315" spans="1:8" s="2" customFormat="1" ht="15.75" customHeight="1" x14ac:dyDescent="0.3">
      <c r="A315" s="85">
        <v>3</v>
      </c>
      <c r="B315" s="85"/>
      <c r="C315" s="24" t="s">
        <v>151</v>
      </c>
      <c r="D315" s="69">
        <f>(6.29*3.22+3.1*2.46+4.27*3.07+3.91+2.82+3.72*3.07+1.55*2.57+2.44*1.55+1.55*2.46+1.45*2+1.07*0.68+1.07*1.38+1.07*1.9+1.12*1.12+3.64*0.5+2.87*0.55+1.07*2.11+2.52*0.05+2.87*0.55)*10.764</f>
        <v>930.76200360000018</v>
      </c>
      <c r="E315" s="24">
        <v>0</v>
      </c>
      <c r="F315" s="24">
        <f t="shared" si="34"/>
        <v>1489.2192057600005</v>
      </c>
      <c r="G315" s="88"/>
      <c r="H315" s="89"/>
    </row>
    <row r="316" spans="1:8" s="2" customFormat="1" ht="15.75" customHeight="1" x14ac:dyDescent="0.3">
      <c r="A316" s="85">
        <v>4</v>
      </c>
      <c r="B316" s="85"/>
      <c r="C316" s="24" t="s">
        <v>151</v>
      </c>
      <c r="D316" s="69">
        <f>(3.22*6.35+3.09*2.46+3.97*3.07+3.07*4.43+2.92*4.28+2.46*1.54+1.54*2.46+1.54*2.46+1.06*0.05+1.06*1.07+3.24*1.07+0.95*3.58+0.85*0.15+1.05*2.08+1.275*2.86)*10.764</f>
        <v>987.19012079999993</v>
      </c>
      <c r="E316" s="24">
        <v>0</v>
      </c>
      <c r="F316" s="42">
        <f t="shared" si="34"/>
        <v>1579.50419328</v>
      </c>
      <c r="G316" s="88"/>
      <c r="H316" s="89"/>
    </row>
    <row r="317" spans="1:8" s="2" customFormat="1" ht="15.75" customHeight="1" x14ac:dyDescent="0.3">
      <c r="A317" s="85">
        <v>5</v>
      </c>
      <c r="B317" s="85"/>
      <c r="C317" s="24" t="s">
        <v>151</v>
      </c>
      <c r="D317" s="69">
        <f>(3.22*6.35+3.09*2.46+3.97*3.07+3.07*4.43+2.92*4.28+2.46*1.54+1.54*2.46+1.54*2.46+1.06*0.05+1.06*1.07+3.24*1.07+0.95*3.58+0.85*0.15+1.05*2.08+1.275*2.86)*10.764</f>
        <v>987.19012079999993</v>
      </c>
      <c r="E317" s="24">
        <v>0</v>
      </c>
      <c r="F317" s="24">
        <f t="shared" si="34"/>
        <v>1579.50419328</v>
      </c>
      <c r="G317" s="90"/>
      <c r="H317" s="91"/>
    </row>
    <row r="318" spans="1:8" s="2" customFormat="1" x14ac:dyDescent="0.3">
      <c r="A318" s="82" t="s">
        <v>224</v>
      </c>
      <c r="B318" s="83"/>
      <c r="C318" s="83"/>
      <c r="D318" s="83"/>
      <c r="E318" s="83"/>
      <c r="F318" s="83"/>
      <c r="G318" s="83"/>
      <c r="H318" s="84"/>
    </row>
    <row r="319" spans="1:8" s="2" customFormat="1" ht="15.75" customHeight="1" x14ac:dyDescent="0.3">
      <c r="A319" s="85">
        <v>1</v>
      </c>
      <c r="B319" s="85"/>
      <c r="C319" s="24" t="s">
        <v>173</v>
      </c>
      <c r="D319" s="69">
        <f>(5.945*3.22+3.28*2.31+3.97*2.92+4.27*3.22+2.46*1.54+2.46*1.54+0.62*3.21+1.07*1.53+1.07*1.64+2.515*0.72+1.09*1.69+1.55*1.56)*10.764</f>
        <v>765.22675320000019</v>
      </c>
      <c r="E319" s="24">
        <v>0</v>
      </c>
      <c r="F319" s="24">
        <f t="shared" ref="F319:F323" si="35">D319*1.6+E319</f>
        <v>1224.3628051200003</v>
      </c>
      <c r="G319" s="86" t="str">
        <f>A318</f>
        <v>15th to 20th Floor</v>
      </c>
      <c r="H319" s="87"/>
    </row>
    <row r="320" spans="1:8" s="2" customFormat="1" x14ac:dyDescent="0.3">
      <c r="A320" s="85">
        <v>2</v>
      </c>
      <c r="B320" s="85"/>
      <c r="C320" s="24" t="s">
        <v>173</v>
      </c>
      <c r="D320" s="69">
        <f>(5.945*3.22+3.28*2.31+3.97*2.92+4.27*3.22+2.46*1.54+2.46*1.54+0.62*3.21+1.07*1.53+1.07*1.64+2.515*0.72+1.09*1.69+1.55*1.56)*10.764</f>
        <v>765.22675320000019</v>
      </c>
      <c r="E320" s="24">
        <v>0</v>
      </c>
      <c r="F320" s="24">
        <f t="shared" si="35"/>
        <v>1224.3628051200003</v>
      </c>
      <c r="G320" s="88"/>
      <c r="H320" s="89"/>
    </row>
    <row r="321" spans="1:8" s="2" customFormat="1" x14ac:dyDescent="0.3">
      <c r="A321" s="85">
        <v>3</v>
      </c>
      <c r="B321" s="85"/>
      <c r="C321" s="24" t="s">
        <v>151</v>
      </c>
      <c r="D321" s="69">
        <f>(6.29*3.22+3.1*2.46+4.27*3.07+3.91+2.82+3.72*3.07+1.55*2.57+2.44*1.55+1.55*2.46+1.45*2+1.07*0.68+1.07*1.38+1.07*1.9+1.12*1.12+3.64*0.5+2.87*0.55+1.07*2.11+2.52*0.05+2.87*0.55)*10.764</f>
        <v>930.76200360000018</v>
      </c>
      <c r="E321" s="24">
        <v>0</v>
      </c>
      <c r="F321" s="24">
        <f t="shared" si="35"/>
        <v>1489.2192057600005</v>
      </c>
      <c r="G321" s="88"/>
      <c r="H321" s="89"/>
    </row>
    <row r="322" spans="1:8" s="2" customFormat="1" x14ac:dyDescent="0.3">
      <c r="A322" s="85">
        <v>4</v>
      </c>
      <c r="B322" s="85"/>
      <c r="C322" s="24" t="s">
        <v>151</v>
      </c>
      <c r="D322" s="69">
        <f>(3.22*6.35+3.09*2.46+3.97*3.07+3.07*4.43+2.92*4.28+2.46*1.54+1.54*2.46+1.54*2.46+1.06*0.05+1.06*1.07+3.24*1.07+0.95*3.58+0.85*0.15+1.05*2.08+1.275*2.86+2.97*1.61)*10.764</f>
        <v>1038.6603395999998</v>
      </c>
      <c r="E322" s="24">
        <v>0</v>
      </c>
      <c r="F322" s="24">
        <f t="shared" si="35"/>
        <v>1661.8565433599997</v>
      </c>
      <c r="G322" s="88"/>
      <c r="H322" s="89"/>
    </row>
    <row r="323" spans="1:8" s="2" customFormat="1" x14ac:dyDescent="0.3">
      <c r="A323" s="85">
        <v>5</v>
      </c>
      <c r="B323" s="85"/>
      <c r="C323" s="24" t="s">
        <v>151</v>
      </c>
      <c r="D323" s="69">
        <f>(3.22*6.35+3.09*2.46+3.97*3.07+3.07*4.43+2.92*4.28+2.46*1.54+1.54*2.46+1.54*2.46+1.06*0.05+1.06*1.07+3.24*1.07+0.95*3.58+0.85*0.15+1.05*2.08+1.275*2.86)*10.764</f>
        <v>987.19012079999993</v>
      </c>
      <c r="E323" s="24">
        <v>0</v>
      </c>
      <c r="F323" s="24">
        <f t="shared" si="35"/>
        <v>1579.50419328</v>
      </c>
      <c r="G323" s="90"/>
      <c r="H323" s="91"/>
    </row>
    <row r="324" spans="1:8" s="2" customFormat="1" x14ac:dyDescent="0.3">
      <c r="A324" s="82" t="s">
        <v>218</v>
      </c>
      <c r="B324" s="83"/>
      <c r="C324" s="83"/>
      <c r="D324" s="83"/>
      <c r="E324" s="83"/>
      <c r="F324" s="83"/>
      <c r="G324" s="83"/>
      <c r="H324" s="84"/>
    </row>
    <row r="325" spans="1:8" s="2" customFormat="1" ht="15.75" customHeight="1" x14ac:dyDescent="0.3">
      <c r="A325" s="85">
        <v>1</v>
      </c>
      <c r="B325" s="85"/>
      <c r="C325" s="92" t="s">
        <v>179</v>
      </c>
      <c r="D325" s="94"/>
      <c r="E325" s="94"/>
      <c r="F325" s="93"/>
      <c r="G325" s="86" t="str">
        <f>A324</f>
        <v>21st &amp; 28th Floor (Part Refuge Area)</v>
      </c>
      <c r="H325" s="87"/>
    </row>
    <row r="326" spans="1:8" s="2" customFormat="1" ht="15.75" customHeight="1" x14ac:dyDescent="0.3">
      <c r="A326" s="85">
        <v>2</v>
      </c>
      <c r="B326" s="85"/>
      <c r="C326" s="41" t="s">
        <v>220</v>
      </c>
      <c r="D326" s="24">
        <f>(2.515*1.54+3.28*2.31+1.55*1.56+3.385*3.17+2.168*0.1+2.46*1.49)*10.764</f>
        <v>306.56464019999993</v>
      </c>
      <c r="E326" s="24">
        <v>0</v>
      </c>
      <c r="F326" s="24">
        <f t="shared" ref="F326:F329" si="36">D326*1.6+E326</f>
        <v>490.50342431999991</v>
      </c>
      <c r="G326" s="88"/>
      <c r="H326" s="89"/>
    </row>
    <row r="327" spans="1:8" s="2" customFormat="1" ht="15.75" customHeight="1" x14ac:dyDescent="0.3">
      <c r="A327" s="85">
        <v>3</v>
      </c>
      <c r="B327" s="85"/>
      <c r="C327" s="24" t="s">
        <v>151</v>
      </c>
      <c r="D327" s="69">
        <f>(6.29*3.22+3.1*2.46+4.27*3.07+3.91+2.82+3.72*3.07+1.55*2.57+2.44*1.55+1.55*2.46+1.45*2+1.07*0.68+1.07*1.38+1.07*1.9+1.12*1.12+3.64*0.5+2.87*0.55+1.07*2.11+2.52*0.05+2.87*0.55)*10.764</f>
        <v>930.76200360000018</v>
      </c>
      <c r="E327" s="24">
        <v>0</v>
      </c>
      <c r="F327" s="24">
        <f t="shared" si="36"/>
        <v>1489.2192057600005</v>
      </c>
      <c r="G327" s="88"/>
      <c r="H327" s="89"/>
    </row>
    <row r="328" spans="1:8" s="2" customFormat="1" ht="15.75" customHeight="1" x14ac:dyDescent="0.3">
      <c r="A328" s="85">
        <v>4</v>
      </c>
      <c r="B328" s="85"/>
      <c r="C328" s="24" t="s">
        <v>151</v>
      </c>
      <c r="D328" s="69">
        <f>(3.22*6.35+3.09*2.46+3.97*3.07+3.07*4.43+2.92*4.28+2.46*1.54+1.54*2.46+1.54*2.46+1.06*0.05+1.06*1.07+3.24*1.07+0.95*3.58+0.85*0.15+1.05*2.08+1.275*2.86)*10.764</f>
        <v>987.19012079999993</v>
      </c>
      <c r="E328" s="24">
        <v>0</v>
      </c>
      <c r="F328" s="42">
        <f t="shared" si="36"/>
        <v>1579.50419328</v>
      </c>
      <c r="G328" s="88"/>
      <c r="H328" s="89"/>
    </row>
    <row r="329" spans="1:8" s="2" customFormat="1" ht="15.75" customHeight="1" x14ac:dyDescent="0.3">
      <c r="A329" s="85">
        <v>5</v>
      </c>
      <c r="B329" s="85"/>
      <c r="C329" s="24" t="s">
        <v>151</v>
      </c>
      <c r="D329" s="69">
        <f>(3.22*6.35+3.09*2.46+3.97*3.07+3.07*4.43+2.92*4.28+2.46*1.54+1.54*2.46+1.54*2.46+1.06*0.05+1.06*1.07+3.24*1.07+0.95*3.58+0.85*0.15+1.05*2.08+1.275*2.86)*10.764</f>
        <v>987.19012079999993</v>
      </c>
      <c r="E329" s="24">
        <v>0</v>
      </c>
      <c r="F329" s="24">
        <f t="shared" si="36"/>
        <v>1579.50419328</v>
      </c>
      <c r="G329" s="90"/>
      <c r="H329" s="91"/>
    </row>
    <row r="330" spans="1:8" s="2" customFormat="1" x14ac:dyDescent="0.3">
      <c r="A330" s="82" t="s">
        <v>225</v>
      </c>
      <c r="B330" s="83"/>
      <c r="C330" s="83"/>
      <c r="D330" s="83"/>
      <c r="E330" s="83"/>
      <c r="F330" s="83"/>
      <c r="G330" s="83"/>
      <c r="H330" s="84"/>
    </row>
    <row r="331" spans="1:8" s="2" customFormat="1" ht="15.75" customHeight="1" x14ac:dyDescent="0.3">
      <c r="A331" s="85">
        <v>1</v>
      </c>
      <c r="B331" s="85"/>
      <c r="C331" s="24" t="s">
        <v>173</v>
      </c>
      <c r="D331" s="69">
        <f>(5.945*3.22+3.28*2.31+3.97*2.92+4.27*3.22+2.46*1.54+2.46*1.54+0.62*3.21+1.07*1.53+1.07*1.64+2.515*0.72+1.09*1.69+1.55*1.56)*10.764</f>
        <v>765.22675320000019</v>
      </c>
      <c r="E331" s="24">
        <v>0</v>
      </c>
      <c r="F331" s="24">
        <f t="shared" ref="F331:F335" si="37">D331*1.6+E331</f>
        <v>1224.3628051200003</v>
      </c>
      <c r="G331" s="86" t="str">
        <f>A330</f>
        <v>22nd to 27th Floor</v>
      </c>
      <c r="H331" s="87"/>
    </row>
    <row r="332" spans="1:8" s="2" customFormat="1" x14ac:dyDescent="0.3">
      <c r="A332" s="85">
        <v>2</v>
      </c>
      <c r="B332" s="85"/>
      <c r="C332" s="24" t="s">
        <v>173</v>
      </c>
      <c r="D332" s="69">
        <f>(5.945*3.22+3.28*2.31+3.97*2.92+4.27*3.22+2.46*1.54+2.46*1.54+0.62*3.21+1.07*1.53+1.07*1.64+2.515*0.72+1.09*1.69+1.55*1.56)*10.764</f>
        <v>765.22675320000019</v>
      </c>
      <c r="E332" s="24">
        <v>0</v>
      </c>
      <c r="F332" s="24">
        <f t="shared" si="37"/>
        <v>1224.3628051200003</v>
      </c>
      <c r="G332" s="88"/>
      <c r="H332" s="89"/>
    </row>
    <row r="333" spans="1:8" s="2" customFormat="1" x14ac:dyDescent="0.3">
      <c r="A333" s="85">
        <v>3</v>
      </c>
      <c r="B333" s="85"/>
      <c r="C333" s="24" t="s">
        <v>151</v>
      </c>
      <c r="D333" s="69">
        <f>(6.29*3.22+3.1*2.46+4.27*3.07+3.91+2.82+3.72*3.07+1.55*2.57+2.44*1.55+1.55*2.46+1.45*2+1.07*0.68+1.07*1.38+1.07*1.9+1.12*1.12+3.64*0.5+2.87*0.55+1.07*2.11+2.52*0.05+2.87*0.55+2.92*1.57)*10.764</f>
        <v>980.10848520000025</v>
      </c>
      <c r="E333" s="24">
        <v>0</v>
      </c>
      <c r="F333" s="24">
        <f t="shared" si="37"/>
        <v>1568.1735763200004</v>
      </c>
      <c r="G333" s="88"/>
      <c r="H333" s="89"/>
    </row>
    <row r="334" spans="1:8" s="2" customFormat="1" x14ac:dyDescent="0.3">
      <c r="A334" s="85">
        <v>4</v>
      </c>
      <c r="B334" s="85"/>
      <c r="C334" s="24" t="s">
        <v>151</v>
      </c>
      <c r="D334" s="69">
        <f>(3.22*6.35+3.09*2.46+3.97*3.07+3.07*4.43+2.92*4.28+2.46*1.54+1.54*2.46+1.54*2.46+1.06*0.05+1.06*1.07+3.24*1.07+0.95*3.58+0.85*0.15+1.05*2.08+1.275*2.86)*10.764</f>
        <v>987.19012079999993</v>
      </c>
      <c r="E334" s="24">
        <v>0</v>
      </c>
      <c r="F334" s="24">
        <f t="shared" si="37"/>
        <v>1579.50419328</v>
      </c>
      <c r="G334" s="88"/>
      <c r="H334" s="89"/>
    </row>
    <row r="335" spans="1:8" s="2" customFormat="1" x14ac:dyDescent="0.3">
      <c r="A335" s="85">
        <v>5</v>
      </c>
      <c r="B335" s="85"/>
      <c r="C335" s="24" t="s">
        <v>151</v>
      </c>
      <c r="D335" s="69">
        <f>(3.22*6.35+3.09*2.46+3.97*3.07+3.07*4.43+2.92*4.28+2.46*1.54+1.54*2.46+1.54*2.46+1.06*0.05+1.06*1.07+3.24*1.07+0.95*3.58+0.85*0.15+1.05*2.08+1.275*2.86+2.97*1.61)*10.764</f>
        <v>1038.6603395999998</v>
      </c>
      <c r="E335" s="24">
        <v>0</v>
      </c>
      <c r="F335" s="24">
        <f t="shared" si="37"/>
        <v>1661.8565433599997</v>
      </c>
      <c r="G335" s="90"/>
      <c r="H335" s="91"/>
    </row>
    <row r="336" spans="1:8" s="2" customFormat="1" x14ac:dyDescent="0.3">
      <c r="A336" s="82" t="s">
        <v>226</v>
      </c>
      <c r="B336" s="83"/>
      <c r="C336" s="83"/>
      <c r="D336" s="83"/>
      <c r="E336" s="83"/>
      <c r="F336" s="83"/>
      <c r="G336" s="83"/>
      <c r="H336" s="84"/>
    </row>
    <row r="337" spans="1:9" s="2" customFormat="1" ht="15.75" customHeight="1" x14ac:dyDescent="0.3">
      <c r="A337" s="85">
        <v>1</v>
      </c>
      <c r="B337" s="85"/>
      <c r="C337" s="24" t="s">
        <v>173</v>
      </c>
      <c r="D337" s="69">
        <f>(5.945*3.22+3.28*2.31+3.97*2.92+4.27*3.22+2.46*1.54+2.46*1.54+0.62*3.21+1.07*1.53+1.07*1.64+2.515*0.72+1.09*1.69+1.55*1.56)*10.764</f>
        <v>765.22675320000019</v>
      </c>
      <c r="E337" s="24">
        <v>0</v>
      </c>
      <c r="F337" s="24">
        <f t="shared" ref="F337:F341" si="38">D337*1.6+E337</f>
        <v>1224.3628051200003</v>
      </c>
      <c r="G337" s="86" t="str">
        <f>A336</f>
        <v>29th to 34th &amp; 36th to 38th Floor</v>
      </c>
      <c r="H337" s="87"/>
    </row>
    <row r="338" spans="1:9" s="2" customFormat="1" x14ac:dyDescent="0.3">
      <c r="A338" s="85">
        <v>2</v>
      </c>
      <c r="B338" s="85"/>
      <c r="C338" s="24" t="s">
        <v>173</v>
      </c>
      <c r="D338" s="69">
        <f>(5.945*3.22+3.28*2.31+3.97*2.92+4.27*3.22+2.46*1.54+2.46*1.54+0.62*3.21+1.07*1.53+1.07*1.64+2.515*0.72+1.09*1.69+1.55*1.56)*10.764</f>
        <v>765.22675320000019</v>
      </c>
      <c r="E338" s="24">
        <v>0</v>
      </c>
      <c r="F338" s="24">
        <f t="shared" si="38"/>
        <v>1224.3628051200003</v>
      </c>
      <c r="G338" s="88"/>
      <c r="H338" s="89"/>
    </row>
    <row r="339" spans="1:9" s="2" customFormat="1" x14ac:dyDescent="0.3">
      <c r="A339" s="85">
        <v>3</v>
      </c>
      <c r="B339" s="85"/>
      <c r="C339" s="24" t="s">
        <v>151</v>
      </c>
      <c r="D339" s="69">
        <f>(6.29*3.22+3.1*2.46+4.27*3.07+3.91+2.82+3.72*3.07+1.55*2.57+2.44*1.55+1.55*2.46+1.45*2+1.07*0.68+1.07*1.38+1.07*1.9+1.12*1.12+3.64*0.5+2.87*0.55+1.07*2.11+2.52*0.05+2.87*0.55)*10.764</f>
        <v>930.76200360000018</v>
      </c>
      <c r="E339" s="24">
        <v>0</v>
      </c>
      <c r="F339" s="24">
        <f t="shared" si="38"/>
        <v>1489.2192057600005</v>
      </c>
      <c r="G339" s="88"/>
      <c r="H339" s="89"/>
    </row>
    <row r="340" spans="1:9" s="2" customFormat="1" x14ac:dyDescent="0.3">
      <c r="A340" s="85">
        <v>4</v>
      </c>
      <c r="B340" s="85"/>
      <c r="C340" s="24" t="s">
        <v>151</v>
      </c>
      <c r="D340" s="69">
        <f>(3.22*6.35+3.09*2.46+3.97*3.07+3.07*4.43+2.92*4.28+2.46*1.54+1.54*2.46+1.54*2.46+1.06*0.05+1.06*1.07+3.24*1.07+0.95*3.58+0.85*0.15+1.05*2.08+1.275*2.86+2.97*1.61)*10.764</f>
        <v>1038.6603395999998</v>
      </c>
      <c r="E340" s="24">
        <v>0</v>
      </c>
      <c r="F340" s="24">
        <f t="shared" si="38"/>
        <v>1661.8565433599997</v>
      </c>
      <c r="G340" s="88"/>
      <c r="H340" s="89"/>
    </row>
    <row r="341" spans="1:9" s="2" customFormat="1" x14ac:dyDescent="0.3">
      <c r="A341" s="85">
        <v>5</v>
      </c>
      <c r="B341" s="85"/>
      <c r="C341" s="24" t="s">
        <v>151</v>
      </c>
      <c r="D341" s="69">
        <f>(3.22*6.35+3.09*2.46+3.97*3.07+3.07*4.43+2.92*4.28+2.46*1.54+1.54*2.46+1.54*2.46+1.06*0.05+1.06*1.07+3.24*1.07+0.95*3.58+0.85*0.15+1.05*2.08+1.275*2.86)*10.764</f>
        <v>987.19012079999993</v>
      </c>
      <c r="E341" s="24">
        <v>0</v>
      </c>
      <c r="F341" s="24">
        <f t="shared" si="38"/>
        <v>1579.50419328</v>
      </c>
      <c r="G341" s="90"/>
      <c r="H341" s="91"/>
    </row>
    <row r="342" spans="1:9" s="2" customFormat="1" x14ac:dyDescent="0.3">
      <c r="A342" s="82" t="s">
        <v>219</v>
      </c>
      <c r="B342" s="83"/>
      <c r="C342" s="83"/>
      <c r="D342" s="83"/>
      <c r="E342" s="83"/>
      <c r="F342" s="83"/>
      <c r="G342" s="83"/>
      <c r="H342" s="84"/>
    </row>
    <row r="343" spans="1:9" s="2" customFormat="1" ht="15.75" customHeight="1" x14ac:dyDescent="0.3">
      <c r="A343" s="85">
        <v>1</v>
      </c>
      <c r="B343" s="85"/>
      <c r="C343" s="85" t="s">
        <v>179</v>
      </c>
      <c r="D343" s="85"/>
      <c r="E343" s="85"/>
      <c r="F343" s="85"/>
      <c r="G343" s="85" t="str">
        <f>A342</f>
        <v>35th Floor (Part Refuge Area)</v>
      </c>
      <c r="H343" s="85"/>
      <c r="I343" s="69">
        <v>10.763999999999999</v>
      </c>
    </row>
    <row r="344" spans="1:9" s="2" customFormat="1" x14ac:dyDescent="0.3">
      <c r="A344" s="85">
        <v>2</v>
      </c>
      <c r="B344" s="85"/>
      <c r="C344" s="24" t="s">
        <v>173</v>
      </c>
      <c r="D344" s="69">
        <f>(5.945*3.22+3.28*2.31+3.97*2.92+4.27*3.32+2.46*1.54+2.46*1.54+2.46*1.54+0.62*3.21+1.07*1.53+1.07*1.64+2.515*0.72+1.09*1.69+1.55*1.56)*10.764</f>
        <v>810.60131880000017</v>
      </c>
      <c r="E344" s="24">
        <v>0</v>
      </c>
      <c r="F344" s="24">
        <f t="shared" ref="F344:F347" si="39">D344*1.6+E344</f>
        <v>1296.9621100800005</v>
      </c>
      <c r="G344" s="85"/>
      <c r="H344" s="85"/>
    </row>
    <row r="345" spans="1:9" s="2" customFormat="1" x14ac:dyDescent="0.3">
      <c r="A345" s="85">
        <v>3</v>
      </c>
      <c r="B345" s="85"/>
      <c r="C345" s="24" t="s">
        <v>151</v>
      </c>
      <c r="D345" s="69">
        <f>(6.29*3.22+3.1*2.46+4.27*3.07+3.91+2.82+3.72*3.07+1.55*2.57+2.44*1.55+1.55*2.46+1.45*2+1.07*0.68+1.07*1.38+1.07*1.9+1.12*1.12+3.64*0.5+2.87*0.55+1.07*2.11+2.52*0.05+2.87*0.55)*10.764</f>
        <v>930.76200360000018</v>
      </c>
      <c r="E345" s="24">
        <v>0</v>
      </c>
      <c r="F345" s="24">
        <f t="shared" si="39"/>
        <v>1489.2192057600005</v>
      </c>
      <c r="G345" s="85"/>
      <c r="H345" s="85"/>
    </row>
    <row r="346" spans="1:9" s="2" customFormat="1" x14ac:dyDescent="0.3">
      <c r="A346" s="85">
        <v>4</v>
      </c>
      <c r="B346" s="85"/>
      <c r="C346" s="24" t="s">
        <v>151</v>
      </c>
      <c r="D346" s="69">
        <f>(3.22*6.35+3.09*2.46+3.97*3.07+3.07*4.43+2.92*4.28+2.46*1.54+1.54*2.46+1.54*2.46+1.06*0.05+1.06*1.07+3.24*1.07+0.95*3.58+0.85*0.15+1.05*2.08+1.275*2.86+2.97*1.61)*10.764</f>
        <v>1038.6603395999998</v>
      </c>
      <c r="E346" s="24">
        <v>0</v>
      </c>
      <c r="F346" s="24">
        <f t="shared" si="39"/>
        <v>1661.8565433599997</v>
      </c>
      <c r="G346" s="85"/>
      <c r="H346" s="85"/>
      <c r="I346" s="1"/>
    </row>
    <row r="347" spans="1:9" s="2" customFormat="1" x14ac:dyDescent="0.3">
      <c r="A347" s="85">
        <v>5</v>
      </c>
      <c r="B347" s="85"/>
      <c r="C347" s="24" t="s">
        <v>151</v>
      </c>
      <c r="D347" s="69">
        <f>(3.22*6.35+3.09*2.46+3.97*3.07+3.07*4.43+2.92*4.28+2.46*1.54+1.54*2.46+1.54*2.46+1.06*0.05+1.06*1.07+3.24*1.07+0.95*3.58+0.85*0.15+1.05*2.08+1.275*2.86)*10.764</f>
        <v>987.19012079999993</v>
      </c>
      <c r="E347" s="24">
        <v>0</v>
      </c>
      <c r="F347" s="24">
        <f t="shared" si="39"/>
        <v>1579.50419328</v>
      </c>
      <c r="G347" s="85"/>
      <c r="H347" s="85"/>
      <c r="I347" s="10"/>
    </row>
    <row r="348" spans="1:9" s="1" customFormat="1" x14ac:dyDescent="0.3">
      <c r="A348" s="137" t="s">
        <v>78</v>
      </c>
      <c r="B348" s="137"/>
      <c r="C348" s="137"/>
      <c r="D348" s="137"/>
      <c r="E348" s="137"/>
      <c r="F348" s="137"/>
      <c r="G348" s="137"/>
      <c r="H348" s="137"/>
      <c r="I348" s="8"/>
    </row>
    <row r="349" spans="1:9" s="10" customFormat="1" ht="284.39999999999998" customHeight="1" x14ac:dyDescent="0.3">
      <c r="A349" s="73" t="s">
        <v>311</v>
      </c>
      <c r="B349" s="73"/>
      <c r="C349" s="73"/>
      <c r="D349" s="73"/>
      <c r="E349" s="73"/>
      <c r="F349" s="73"/>
      <c r="G349" s="73"/>
      <c r="H349" s="73"/>
      <c r="I349" s="8"/>
    </row>
    <row r="350" spans="1:9" s="10" customFormat="1" x14ac:dyDescent="0.3">
      <c r="A350" s="74" t="s">
        <v>318</v>
      </c>
      <c r="B350" s="74"/>
      <c r="C350" s="74"/>
      <c r="D350" s="74"/>
      <c r="E350" s="74"/>
      <c r="F350" s="74"/>
      <c r="G350" s="74"/>
      <c r="H350" s="74"/>
      <c r="I350" s="8"/>
    </row>
    <row r="351" spans="1:9" s="10" customFormat="1" x14ac:dyDescent="0.3">
      <c r="A351" s="75" t="s">
        <v>302</v>
      </c>
      <c r="B351" s="77"/>
      <c r="C351" s="75" t="s">
        <v>300</v>
      </c>
      <c r="D351" s="76"/>
      <c r="E351" s="77"/>
      <c r="F351" s="75" t="s">
        <v>301</v>
      </c>
      <c r="G351" s="76"/>
      <c r="H351" s="77"/>
      <c r="I351" s="8"/>
    </row>
    <row r="352" spans="1:9" s="10" customFormat="1" x14ac:dyDescent="0.3">
      <c r="A352" s="75">
        <v>1</v>
      </c>
      <c r="B352" s="77"/>
      <c r="C352" s="75" t="s">
        <v>303</v>
      </c>
      <c r="D352" s="76"/>
      <c r="E352" s="77"/>
      <c r="F352" s="75" t="s">
        <v>170</v>
      </c>
      <c r="G352" s="76"/>
      <c r="H352" s="77"/>
      <c r="I352" s="8"/>
    </row>
    <row r="353" spans="1:9" s="10" customFormat="1" x14ac:dyDescent="0.3">
      <c r="A353" s="75">
        <v>2</v>
      </c>
      <c r="B353" s="77"/>
      <c r="C353" s="75" t="s">
        <v>304</v>
      </c>
      <c r="D353" s="76"/>
      <c r="E353" s="77"/>
      <c r="F353" s="75" t="s">
        <v>186</v>
      </c>
      <c r="G353" s="76"/>
      <c r="H353" s="77"/>
      <c r="I353" s="8"/>
    </row>
    <row r="354" spans="1:9" s="10" customFormat="1" x14ac:dyDescent="0.3">
      <c r="A354" s="75">
        <v>3</v>
      </c>
      <c r="B354" s="77"/>
      <c r="C354" s="75" t="s">
        <v>305</v>
      </c>
      <c r="D354" s="76"/>
      <c r="E354" s="77"/>
      <c r="F354" s="75" t="s">
        <v>189</v>
      </c>
      <c r="G354" s="76"/>
      <c r="H354" s="77"/>
      <c r="I354" s="8"/>
    </row>
    <row r="355" spans="1:9" s="10" customFormat="1" ht="31.5" customHeight="1" x14ac:dyDescent="0.3">
      <c r="A355" s="73" t="s">
        <v>307</v>
      </c>
      <c r="B355" s="73"/>
      <c r="C355" s="73"/>
      <c r="D355" s="73"/>
      <c r="E355" s="73"/>
      <c r="F355" s="73"/>
      <c r="G355" s="73"/>
      <c r="H355" s="73"/>
      <c r="I355" s="8"/>
    </row>
    <row r="356" spans="1:9" s="10" customFormat="1" x14ac:dyDescent="0.3">
      <c r="A356" s="73"/>
      <c r="B356" s="73"/>
      <c r="C356" s="73"/>
      <c r="D356" s="73"/>
      <c r="E356" s="73"/>
      <c r="F356" s="73"/>
      <c r="G356" s="73"/>
      <c r="H356" s="73"/>
      <c r="I356" s="8"/>
    </row>
    <row r="357" spans="1:9" x14ac:dyDescent="0.3">
      <c r="A357" s="133" t="s">
        <v>69</v>
      </c>
      <c r="B357" s="133"/>
      <c r="C357" s="133"/>
      <c r="D357" s="133"/>
      <c r="E357" s="133"/>
      <c r="F357" s="133"/>
      <c r="G357" s="133"/>
      <c r="H357" s="133"/>
    </row>
    <row r="358" spans="1:9" x14ac:dyDescent="0.3">
      <c r="A358" s="116" t="s">
        <v>70</v>
      </c>
      <c r="B358" s="116"/>
      <c r="C358" s="116"/>
      <c r="D358" s="116"/>
      <c r="E358" s="116"/>
      <c r="F358" s="116"/>
      <c r="G358" s="116"/>
      <c r="H358" s="116"/>
    </row>
    <row r="359" spans="1:9" ht="15.75" customHeight="1" x14ac:dyDescent="0.3">
      <c r="A359" s="133" t="s">
        <v>71</v>
      </c>
      <c r="B359" s="133"/>
      <c r="C359" s="133"/>
      <c r="D359" s="133"/>
      <c r="E359" s="133"/>
      <c r="F359" s="133"/>
      <c r="G359" s="133"/>
      <c r="H359" s="133"/>
    </row>
    <row r="360" spans="1:9" x14ac:dyDescent="0.3">
      <c r="A360" s="116" t="s">
        <v>72</v>
      </c>
      <c r="B360" s="116"/>
      <c r="C360" s="116"/>
      <c r="D360" s="116"/>
      <c r="E360" s="116"/>
      <c r="F360" s="116"/>
      <c r="G360" s="116"/>
      <c r="H360" s="116"/>
    </row>
    <row r="361" spans="1:9" x14ac:dyDescent="0.3">
      <c r="A361" s="116" t="s">
        <v>73</v>
      </c>
      <c r="B361" s="116"/>
      <c r="C361" s="116"/>
      <c r="D361" s="116"/>
      <c r="E361" s="116"/>
      <c r="F361" s="116"/>
      <c r="G361" s="116"/>
      <c r="H361" s="116"/>
    </row>
    <row r="362" spans="1:9" hidden="1" x14ac:dyDescent="0.3">
      <c r="A362" s="116" t="s">
        <v>74</v>
      </c>
      <c r="B362" s="116"/>
      <c r="C362" s="116"/>
      <c r="D362" s="116"/>
      <c r="E362" s="116"/>
      <c r="F362" s="116"/>
      <c r="G362" s="116"/>
      <c r="H362" s="116"/>
    </row>
    <row r="363" spans="1:9" ht="35.25" hidden="1" customHeight="1" x14ac:dyDescent="0.3">
      <c r="A363" s="136" t="s">
        <v>75</v>
      </c>
      <c r="B363" s="136"/>
      <c r="C363" s="136"/>
      <c r="D363" s="136"/>
      <c r="E363" s="136"/>
      <c r="F363" s="136"/>
      <c r="G363" s="136"/>
      <c r="H363" s="136"/>
    </row>
    <row r="364" spans="1:9" x14ac:dyDescent="0.3">
      <c r="A364" s="156" t="s">
        <v>111</v>
      </c>
      <c r="B364" s="156"/>
      <c r="C364" s="156" t="s">
        <v>310</v>
      </c>
      <c r="D364" s="156"/>
      <c r="E364" s="156" t="s">
        <v>144</v>
      </c>
      <c r="F364" s="156"/>
      <c r="G364" s="156" t="s">
        <v>309</v>
      </c>
      <c r="H364" s="156"/>
    </row>
    <row r="365" spans="1:9" x14ac:dyDescent="0.3">
      <c r="A365" s="155" t="s">
        <v>113</v>
      </c>
      <c r="B365" s="155"/>
      <c r="C365" s="155"/>
      <c r="D365" s="155"/>
      <c r="E365" s="155"/>
      <c r="F365" s="155"/>
      <c r="G365" s="155"/>
      <c r="H365" s="155"/>
    </row>
    <row r="366" spans="1:9" x14ac:dyDescent="0.3">
      <c r="A366" s="155"/>
      <c r="B366" s="155"/>
      <c r="C366" s="155"/>
      <c r="D366" s="155"/>
      <c r="E366" s="155"/>
      <c r="F366" s="155"/>
      <c r="G366" s="155"/>
      <c r="H366" s="155"/>
    </row>
    <row r="367" spans="1:9" ht="28.5" customHeight="1" x14ac:dyDescent="0.3">
      <c r="A367" s="155"/>
      <c r="B367" s="155"/>
      <c r="C367" s="155"/>
      <c r="D367" s="155"/>
      <c r="E367" s="155"/>
      <c r="F367" s="155"/>
      <c r="G367" s="155"/>
      <c r="H367" s="155"/>
    </row>
    <row r="368" spans="1:9" x14ac:dyDescent="0.3">
      <c r="A368" s="19" t="s">
        <v>76</v>
      </c>
      <c r="B368" s="20"/>
      <c r="C368" s="20"/>
      <c r="D368" s="19" t="str">
        <f>E8</f>
        <v>Kalpataru Elitus</v>
      </c>
      <c r="F368" s="20"/>
      <c r="G368" s="20"/>
      <c r="H368" s="20"/>
    </row>
    <row r="369" spans="1:8" x14ac:dyDescent="0.3">
      <c r="A369" s="20"/>
      <c r="B369" s="20"/>
      <c r="C369" s="20"/>
      <c r="D369" s="20"/>
      <c r="E369" s="20"/>
      <c r="F369" s="20"/>
      <c r="G369" s="20"/>
      <c r="H369" s="20"/>
    </row>
    <row r="370" spans="1:8" x14ac:dyDescent="0.3">
      <c r="A370" s="20"/>
      <c r="B370" s="20"/>
      <c r="C370" s="20"/>
      <c r="D370" s="20"/>
      <c r="E370" s="20"/>
      <c r="F370" s="20"/>
      <c r="G370" s="20"/>
      <c r="H370" s="20"/>
    </row>
    <row r="371" spans="1:8" ht="15" customHeight="1" x14ac:dyDescent="0.3"/>
    <row r="411" spans="1:1" x14ac:dyDescent="0.3">
      <c r="A411" s="22" t="s">
        <v>293</v>
      </c>
    </row>
    <row r="448" spans="1:1" x14ac:dyDescent="0.3">
      <c r="A448" s="22" t="s">
        <v>319</v>
      </c>
    </row>
    <row r="485" spans="1:1" x14ac:dyDescent="0.3">
      <c r="A485" s="22" t="s">
        <v>269</v>
      </c>
    </row>
    <row r="511" hidden="1" x14ac:dyDescent="0.3"/>
    <row r="512" hidden="1" x14ac:dyDescent="0.3"/>
    <row r="513" spans="1:1" hidden="1" x14ac:dyDescent="0.3"/>
    <row r="514" spans="1:1" hidden="1" x14ac:dyDescent="0.3"/>
    <row r="515" spans="1:1" hidden="1" x14ac:dyDescent="0.3"/>
    <row r="516" spans="1:1" hidden="1" x14ac:dyDescent="0.3"/>
    <row r="517" spans="1:1" hidden="1" x14ac:dyDescent="0.3"/>
    <row r="518" spans="1:1" hidden="1" x14ac:dyDescent="0.3"/>
    <row r="519" spans="1:1" hidden="1" x14ac:dyDescent="0.3"/>
    <row r="522" spans="1:1" x14ac:dyDescent="0.3">
      <c r="A522" s="22" t="s">
        <v>77</v>
      </c>
    </row>
  </sheetData>
  <mergeCells count="553">
    <mergeCell ref="A56:C56"/>
    <mergeCell ref="D56:H56"/>
    <mergeCell ref="A57:C57"/>
    <mergeCell ref="D57:H57"/>
    <mergeCell ref="A63:C63"/>
    <mergeCell ref="D63:H63"/>
    <mergeCell ref="A62:C62"/>
    <mergeCell ref="D62:H62"/>
    <mergeCell ref="C36:H36"/>
    <mergeCell ref="A200:H200"/>
    <mergeCell ref="A205:B205"/>
    <mergeCell ref="A188:B188"/>
    <mergeCell ref="G221:H225"/>
    <mergeCell ref="G215:H219"/>
    <mergeCell ref="G211:H213"/>
    <mergeCell ref="A224:B224"/>
    <mergeCell ref="A214:H214"/>
    <mergeCell ref="A215:B215"/>
    <mergeCell ref="A190:B190"/>
    <mergeCell ref="C195:F195"/>
    <mergeCell ref="A195:B195"/>
    <mergeCell ref="A196:B196"/>
    <mergeCell ref="A296:B296"/>
    <mergeCell ref="A297:B297"/>
    <mergeCell ref="A242:B242"/>
    <mergeCell ref="A243:B243"/>
    <mergeCell ref="A203:H203"/>
    <mergeCell ref="G208:H209"/>
    <mergeCell ref="G205:H206"/>
    <mergeCell ref="A209:B209"/>
    <mergeCell ref="A244:H244"/>
    <mergeCell ref="A237:B237"/>
    <mergeCell ref="A250:H250"/>
    <mergeCell ref="A251:B251"/>
    <mergeCell ref="G251:H255"/>
    <mergeCell ref="A252:B252"/>
    <mergeCell ref="A253:B253"/>
    <mergeCell ref="A254:B254"/>
    <mergeCell ref="A255:B255"/>
    <mergeCell ref="G269:H273"/>
    <mergeCell ref="A210:H210"/>
    <mergeCell ref="A270:B270"/>
    <mergeCell ref="A271:B271"/>
    <mergeCell ref="A245:B245"/>
    <mergeCell ref="G245:H249"/>
    <mergeCell ref="A246:B246"/>
    <mergeCell ref="A304:B304"/>
    <mergeCell ref="A223:B223"/>
    <mergeCell ref="A300:H300"/>
    <mergeCell ref="A157:B157"/>
    <mergeCell ref="A148:B148"/>
    <mergeCell ref="A163:B163"/>
    <mergeCell ref="A162:B162"/>
    <mergeCell ref="A156:B156"/>
    <mergeCell ref="A155:B155"/>
    <mergeCell ref="A181:B181"/>
    <mergeCell ref="A150:B150"/>
    <mergeCell ref="A151:B151"/>
    <mergeCell ref="A154:H154"/>
    <mergeCell ref="C155:F155"/>
    <mergeCell ref="A160:H160"/>
    <mergeCell ref="A168:H168"/>
    <mergeCell ref="A169:B169"/>
    <mergeCell ref="A197:B197"/>
    <mergeCell ref="A198:B198"/>
    <mergeCell ref="A175:B175"/>
    <mergeCell ref="A201:H201"/>
    <mergeCell ref="A202:H202"/>
    <mergeCell ref="A306:H306"/>
    <mergeCell ref="C307:F307"/>
    <mergeCell ref="A217:B217"/>
    <mergeCell ref="A218:B218"/>
    <mergeCell ref="C223:F223"/>
    <mergeCell ref="C224:F224"/>
    <mergeCell ref="A219:B219"/>
    <mergeCell ref="A225:B225"/>
    <mergeCell ref="A299:B299"/>
    <mergeCell ref="A301:B301"/>
    <mergeCell ref="A295:B295"/>
    <mergeCell ref="G301:H305"/>
    <mergeCell ref="A227:B227"/>
    <mergeCell ref="A228:B228"/>
    <mergeCell ref="A221:B221"/>
    <mergeCell ref="A302:B302"/>
    <mergeCell ref="A305:B305"/>
    <mergeCell ref="G295:H299"/>
    <mergeCell ref="C295:F296"/>
    <mergeCell ref="A292:H292"/>
    <mergeCell ref="A293:H293"/>
    <mergeCell ref="A294:H294"/>
    <mergeCell ref="A231:B231"/>
    <mergeCell ref="A238:H238"/>
    <mergeCell ref="A36:B36"/>
    <mergeCell ref="G52:H52"/>
    <mergeCell ref="A52:B52"/>
    <mergeCell ref="C52:E52"/>
    <mergeCell ref="G46:H46"/>
    <mergeCell ref="G47:H47"/>
    <mergeCell ref="A47:B47"/>
    <mergeCell ref="C47:E47"/>
    <mergeCell ref="A46:B46"/>
    <mergeCell ref="G49:H49"/>
    <mergeCell ref="A41:D41"/>
    <mergeCell ref="E44:H44"/>
    <mergeCell ref="A42:D42"/>
    <mergeCell ref="A43:D43"/>
    <mergeCell ref="E41:H41"/>
    <mergeCell ref="E42:H42"/>
    <mergeCell ref="E43:H43"/>
    <mergeCell ref="A44:D44"/>
    <mergeCell ref="A45:H45"/>
    <mergeCell ref="A50:B51"/>
    <mergeCell ref="C50:E50"/>
    <mergeCell ref="C65:D65"/>
    <mergeCell ref="E68:F77"/>
    <mergeCell ref="A73:B73"/>
    <mergeCell ref="A66:B66"/>
    <mergeCell ref="A77:B77"/>
    <mergeCell ref="A71:B71"/>
    <mergeCell ref="A72:B72"/>
    <mergeCell ref="C66:H66"/>
    <mergeCell ref="A67:B67"/>
    <mergeCell ref="A68:B68"/>
    <mergeCell ref="A69:B69"/>
    <mergeCell ref="A74:B74"/>
    <mergeCell ref="A75:B75"/>
    <mergeCell ref="A76:B76"/>
    <mergeCell ref="C78:H78"/>
    <mergeCell ref="C46:E46"/>
    <mergeCell ref="D58:H58"/>
    <mergeCell ref="D55:H55"/>
    <mergeCell ref="D54:H54"/>
    <mergeCell ref="A61:C61"/>
    <mergeCell ref="A58:C58"/>
    <mergeCell ref="A59:C59"/>
    <mergeCell ref="D59:H59"/>
    <mergeCell ref="D61:H61"/>
    <mergeCell ref="A55:C55"/>
    <mergeCell ref="A48:B49"/>
    <mergeCell ref="C48:E48"/>
    <mergeCell ref="G48:H48"/>
    <mergeCell ref="C49:E49"/>
    <mergeCell ref="A53:H53"/>
    <mergeCell ref="A54:C54"/>
    <mergeCell ref="G67:H67"/>
    <mergeCell ref="G68:H77"/>
    <mergeCell ref="A64:B64"/>
    <mergeCell ref="C64:H64"/>
    <mergeCell ref="A65:B65"/>
    <mergeCell ref="A108:E108"/>
    <mergeCell ref="F108:H108"/>
    <mergeCell ref="A92:B92"/>
    <mergeCell ref="A106:B106"/>
    <mergeCell ref="C106:H106"/>
    <mergeCell ref="A80:B80"/>
    <mergeCell ref="C80:H80"/>
    <mergeCell ref="A81:B81"/>
    <mergeCell ref="E81:F81"/>
    <mergeCell ref="G81:H81"/>
    <mergeCell ref="A82:B82"/>
    <mergeCell ref="E82:F91"/>
    <mergeCell ref="A103:B103"/>
    <mergeCell ref="A107:H107"/>
    <mergeCell ref="A104:B104"/>
    <mergeCell ref="A105:B105"/>
    <mergeCell ref="C94:H94"/>
    <mergeCell ref="C93:D93"/>
    <mergeCell ref="A94:B94"/>
    <mergeCell ref="A95:B95"/>
    <mergeCell ref="E95:F95"/>
    <mergeCell ref="A93:B93"/>
    <mergeCell ref="A83:B83"/>
    <mergeCell ref="G82:H91"/>
    <mergeCell ref="A88:B88"/>
    <mergeCell ref="A89:B89"/>
    <mergeCell ref="A90:B90"/>
    <mergeCell ref="A91:B91"/>
    <mergeCell ref="G95:H95"/>
    <mergeCell ref="A96:B96"/>
    <mergeCell ref="E96:F105"/>
    <mergeCell ref="G96:H105"/>
    <mergeCell ref="A97:B97"/>
    <mergeCell ref="A98:B98"/>
    <mergeCell ref="A99:B99"/>
    <mergeCell ref="A100:B100"/>
    <mergeCell ref="A101:B101"/>
    <mergeCell ref="A102:B102"/>
    <mergeCell ref="C92:H92"/>
    <mergeCell ref="A84:B84"/>
    <mergeCell ref="A85:B85"/>
    <mergeCell ref="A86:B86"/>
    <mergeCell ref="A87:B87"/>
    <mergeCell ref="A78:B78"/>
    <mergeCell ref="C33:E33"/>
    <mergeCell ref="C34:E34"/>
    <mergeCell ref="F31:H31"/>
    <mergeCell ref="A365:H367"/>
    <mergeCell ref="A364:B364"/>
    <mergeCell ref="E364:F364"/>
    <mergeCell ref="C364:D364"/>
    <mergeCell ref="G364:H364"/>
    <mergeCell ref="A122:H122"/>
    <mergeCell ref="A120:E120"/>
    <mergeCell ref="F120:H120"/>
    <mergeCell ref="A121:E121"/>
    <mergeCell ref="F121:H121"/>
    <mergeCell ref="D130:E130"/>
    <mergeCell ref="F130:H130"/>
    <mergeCell ref="A133:B133"/>
    <mergeCell ref="A134:H134"/>
    <mergeCell ref="A130:B130"/>
    <mergeCell ref="A146:B146"/>
    <mergeCell ref="A147:B147"/>
    <mergeCell ref="A131:H131"/>
    <mergeCell ref="A126:B126"/>
    <mergeCell ref="D126:E126"/>
    <mergeCell ref="A11:D11"/>
    <mergeCell ref="E11:H11"/>
    <mergeCell ref="A5:D5"/>
    <mergeCell ref="E5:H5"/>
    <mergeCell ref="A6:D6"/>
    <mergeCell ref="E6:H6"/>
    <mergeCell ref="A7:D7"/>
    <mergeCell ref="E7:H7"/>
    <mergeCell ref="A15:B15"/>
    <mergeCell ref="A12:D12"/>
    <mergeCell ref="A10:D10"/>
    <mergeCell ref="E10:H10"/>
    <mergeCell ref="E12:H12"/>
    <mergeCell ref="A13:D13"/>
    <mergeCell ref="E13:H13"/>
    <mergeCell ref="A14:B14"/>
    <mergeCell ref="C14:H14"/>
    <mergeCell ref="C15:H15"/>
    <mergeCell ref="A1:H1"/>
    <mergeCell ref="A2:H2"/>
    <mergeCell ref="A3:D3"/>
    <mergeCell ref="E3:H3"/>
    <mergeCell ref="A4:D4"/>
    <mergeCell ref="A8:D8"/>
    <mergeCell ref="E8:H8"/>
    <mergeCell ref="A9:D9"/>
    <mergeCell ref="E9:H9"/>
    <mergeCell ref="E4:H4"/>
    <mergeCell ref="C17:D17"/>
    <mergeCell ref="E17:F17"/>
    <mergeCell ref="G17:H17"/>
    <mergeCell ref="A16:B16"/>
    <mergeCell ref="A18:B18"/>
    <mergeCell ref="C18:D18"/>
    <mergeCell ref="E18:F18"/>
    <mergeCell ref="G18:H18"/>
    <mergeCell ref="A19:B19"/>
    <mergeCell ref="C19:D19"/>
    <mergeCell ref="E19:F19"/>
    <mergeCell ref="G19:H19"/>
    <mergeCell ref="C16:D16"/>
    <mergeCell ref="E16:F16"/>
    <mergeCell ref="G16:H16"/>
    <mergeCell ref="A20:D21"/>
    <mergeCell ref="A24:D24"/>
    <mergeCell ref="A25:D25"/>
    <mergeCell ref="E25:H25"/>
    <mergeCell ref="E24:H24"/>
    <mergeCell ref="A26:D26"/>
    <mergeCell ref="E26:H26"/>
    <mergeCell ref="A23:D23"/>
    <mergeCell ref="E23:H23"/>
    <mergeCell ref="E20:H21"/>
    <mergeCell ref="A22:D22"/>
    <mergeCell ref="E22:H22"/>
    <mergeCell ref="A27:D27"/>
    <mergeCell ref="E27:H27"/>
    <mergeCell ref="A40:D40"/>
    <mergeCell ref="E40:H40"/>
    <mergeCell ref="A28:D28"/>
    <mergeCell ref="E28:H28"/>
    <mergeCell ref="A35:H35"/>
    <mergeCell ref="A34:B34"/>
    <mergeCell ref="A29:D29"/>
    <mergeCell ref="E29:H29"/>
    <mergeCell ref="A38:H38"/>
    <mergeCell ref="A39:D39"/>
    <mergeCell ref="E39:H39"/>
    <mergeCell ref="F32:H32"/>
    <mergeCell ref="C30:E30"/>
    <mergeCell ref="A37:B37"/>
    <mergeCell ref="C37:H37"/>
    <mergeCell ref="F33:H33"/>
    <mergeCell ref="F34:H34"/>
    <mergeCell ref="F30:H30"/>
    <mergeCell ref="A31:B31"/>
    <mergeCell ref="C31:E31"/>
    <mergeCell ref="A32:B32"/>
    <mergeCell ref="C32:E32"/>
    <mergeCell ref="A33:B33"/>
    <mergeCell ref="A30:B30"/>
    <mergeCell ref="A17:B17"/>
    <mergeCell ref="A362:H362"/>
    <mergeCell ref="A363:H363"/>
    <mergeCell ref="A60:C60"/>
    <mergeCell ref="D60:H60"/>
    <mergeCell ref="A348:H348"/>
    <mergeCell ref="A349:H349"/>
    <mergeCell ref="A357:H357"/>
    <mergeCell ref="A358:H358"/>
    <mergeCell ref="A229:B229"/>
    <mergeCell ref="A230:B230"/>
    <mergeCell ref="A132:H132"/>
    <mergeCell ref="A311:B311"/>
    <mergeCell ref="A314:B314"/>
    <mergeCell ref="A315:B315"/>
    <mergeCell ref="A307:B307"/>
    <mergeCell ref="A308:B308"/>
    <mergeCell ref="A70:B70"/>
    <mergeCell ref="A117:E117"/>
    <mergeCell ref="F117:H117"/>
    <mergeCell ref="E67:F67"/>
    <mergeCell ref="G138:H138"/>
    <mergeCell ref="A110:E110"/>
    <mergeCell ref="A359:H359"/>
    <mergeCell ref="A360:H360"/>
    <mergeCell ref="A361:H361"/>
    <mergeCell ref="A159:B159"/>
    <mergeCell ref="A166:B166"/>
    <mergeCell ref="A167:B167"/>
    <mergeCell ref="A183:B183"/>
    <mergeCell ref="A303:B303"/>
    <mergeCell ref="A298:B298"/>
    <mergeCell ref="A161:B161"/>
    <mergeCell ref="A204:H204"/>
    <mergeCell ref="A313:B313"/>
    <mergeCell ref="A317:B317"/>
    <mergeCell ref="A316:B316"/>
    <mergeCell ref="A312:H312"/>
    <mergeCell ref="C313:F313"/>
    <mergeCell ref="A309:B309"/>
    <mergeCell ref="A310:B310"/>
    <mergeCell ref="G313:H317"/>
    <mergeCell ref="G307:H311"/>
    <mergeCell ref="A206:B206"/>
    <mergeCell ref="A207:H207"/>
    <mergeCell ref="A208:B208"/>
    <mergeCell ref="A124:B124"/>
    <mergeCell ref="A216:B216"/>
    <mergeCell ref="A241:B241"/>
    <mergeCell ref="A212:B212"/>
    <mergeCell ref="G227:H231"/>
    <mergeCell ref="A220:H220"/>
    <mergeCell ref="A211:B211"/>
    <mergeCell ref="C211:F211"/>
    <mergeCell ref="A239:B239"/>
    <mergeCell ref="A240:B240"/>
    <mergeCell ref="A213:B213"/>
    <mergeCell ref="A226:H226"/>
    <mergeCell ref="A222:B222"/>
    <mergeCell ref="A164:B164"/>
    <mergeCell ref="A165:B165"/>
    <mergeCell ref="A176:H176"/>
    <mergeCell ref="G140:H143"/>
    <mergeCell ref="F127:H127"/>
    <mergeCell ref="A143:B143"/>
    <mergeCell ref="A192:H192"/>
    <mergeCell ref="A138:B138"/>
    <mergeCell ref="A140:B140"/>
    <mergeCell ref="A141:B141"/>
    <mergeCell ref="A184:H184"/>
    <mergeCell ref="D127:E127"/>
    <mergeCell ref="A144:H144"/>
    <mergeCell ref="A142:B142"/>
    <mergeCell ref="A127:B127"/>
    <mergeCell ref="A128:B128"/>
    <mergeCell ref="A129:B129"/>
    <mergeCell ref="G169:H175"/>
    <mergeCell ref="A170:B170"/>
    <mergeCell ref="A137:H137"/>
    <mergeCell ref="A139:H139"/>
    <mergeCell ref="A158:B158"/>
    <mergeCell ref="A145:B145"/>
    <mergeCell ref="C179:F180"/>
    <mergeCell ref="A182:B182"/>
    <mergeCell ref="A178:B178"/>
    <mergeCell ref="A179:B179"/>
    <mergeCell ref="A180:B180"/>
    <mergeCell ref="D129:E129"/>
    <mergeCell ref="F128:H128"/>
    <mergeCell ref="F109:H109"/>
    <mergeCell ref="A109:E109"/>
    <mergeCell ref="F110:H110"/>
    <mergeCell ref="A177:B177"/>
    <mergeCell ref="A111:E111"/>
    <mergeCell ref="A328:B328"/>
    <mergeCell ref="A329:B329"/>
    <mergeCell ref="A330:H330"/>
    <mergeCell ref="G325:H329"/>
    <mergeCell ref="A318:H318"/>
    <mergeCell ref="A319:B319"/>
    <mergeCell ref="G319:H323"/>
    <mergeCell ref="A320:B320"/>
    <mergeCell ref="A321:B321"/>
    <mergeCell ref="A322:B322"/>
    <mergeCell ref="A323:B323"/>
    <mergeCell ref="A324:H324"/>
    <mergeCell ref="A325:B325"/>
    <mergeCell ref="C325:F325"/>
    <mergeCell ref="A326:B326"/>
    <mergeCell ref="A327:B327"/>
    <mergeCell ref="F111:H111"/>
    <mergeCell ref="A149:H149"/>
    <mergeCell ref="A342:H342"/>
    <mergeCell ref="A343:B343"/>
    <mergeCell ref="G343:H347"/>
    <mergeCell ref="A344:B344"/>
    <mergeCell ref="A345:B345"/>
    <mergeCell ref="A346:B346"/>
    <mergeCell ref="A347:B347"/>
    <mergeCell ref="C343:F343"/>
    <mergeCell ref="A331:B331"/>
    <mergeCell ref="G331:H335"/>
    <mergeCell ref="A332:B332"/>
    <mergeCell ref="A333:B333"/>
    <mergeCell ref="A334:B334"/>
    <mergeCell ref="A335:B335"/>
    <mergeCell ref="A336:H336"/>
    <mergeCell ref="A337:B337"/>
    <mergeCell ref="G337:H341"/>
    <mergeCell ref="A338:B338"/>
    <mergeCell ref="A340:B340"/>
    <mergeCell ref="A341:B341"/>
    <mergeCell ref="A339:B339"/>
    <mergeCell ref="A112:E112"/>
    <mergeCell ref="F112:H112"/>
    <mergeCell ref="F129:H129"/>
    <mergeCell ref="A136:H136"/>
    <mergeCell ref="A118:E118"/>
    <mergeCell ref="F118:H118"/>
    <mergeCell ref="A114:E114"/>
    <mergeCell ref="F114:H114"/>
    <mergeCell ref="A115:E115"/>
    <mergeCell ref="D124:E124"/>
    <mergeCell ref="F124:H124"/>
    <mergeCell ref="F115:H115"/>
    <mergeCell ref="A116:E116"/>
    <mergeCell ref="F116:H116"/>
    <mergeCell ref="A113:E113"/>
    <mergeCell ref="F113:H113"/>
    <mergeCell ref="A123:B123"/>
    <mergeCell ref="D123:E123"/>
    <mergeCell ref="F123:H123"/>
    <mergeCell ref="D128:E128"/>
    <mergeCell ref="A135:H135"/>
    <mergeCell ref="A119:E119"/>
    <mergeCell ref="F119:H119"/>
    <mergeCell ref="A125:H125"/>
    <mergeCell ref="F126:H126"/>
    <mergeCell ref="G193:H199"/>
    <mergeCell ref="A189:B189"/>
    <mergeCell ref="A191:B191"/>
    <mergeCell ref="C187:F188"/>
    <mergeCell ref="A186:B186"/>
    <mergeCell ref="G185:H191"/>
    <mergeCell ref="G133:H133"/>
    <mergeCell ref="A171:B171"/>
    <mergeCell ref="A172:B172"/>
    <mergeCell ref="A173:B173"/>
    <mergeCell ref="A174:B174"/>
    <mergeCell ref="A185:B185"/>
    <mergeCell ref="A187:B187"/>
    <mergeCell ref="A193:B193"/>
    <mergeCell ref="A194:B194"/>
    <mergeCell ref="A199:B199"/>
    <mergeCell ref="G177:H183"/>
    <mergeCell ref="G161:H167"/>
    <mergeCell ref="G155:H159"/>
    <mergeCell ref="G150:H153"/>
    <mergeCell ref="G145:H148"/>
    <mergeCell ref="A152:B152"/>
    <mergeCell ref="A153:B153"/>
    <mergeCell ref="A247:B247"/>
    <mergeCell ref="C247:F247"/>
    <mergeCell ref="A248:B248"/>
    <mergeCell ref="C248:F248"/>
    <mergeCell ref="A249:B249"/>
    <mergeCell ref="A232:H232"/>
    <mergeCell ref="A233:B233"/>
    <mergeCell ref="G233:H237"/>
    <mergeCell ref="A234:B234"/>
    <mergeCell ref="A235:B235"/>
    <mergeCell ref="A236:B236"/>
    <mergeCell ref="G239:H243"/>
    <mergeCell ref="A282:B282"/>
    <mergeCell ref="A283:B283"/>
    <mergeCell ref="A284:B284"/>
    <mergeCell ref="A285:B285"/>
    <mergeCell ref="A272:B272"/>
    <mergeCell ref="A273:B273"/>
    <mergeCell ref="A256:H256"/>
    <mergeCell ref="A257:B257"/>
    <mergeCell ref="G257:H261"/>
    <mergeCell ref="A258:B258"/>
    <mergeCell ref="A259:B259"/>
    <mergeCell ref="C259:F259"/>
    <mergeCell ref="A260:B260"/>
    <mergeCell ref="C260:F260"/>
    <mergeCell ref="A261:B261"/>
    <mergeCell ref="A262:H262"/>
    <mergeCell ref="A263:B263"/>
    <mergeCell ref="G263:H267"/>
    <mergeCell ref="A264:B264"/>
    <mergeCell ref="A265:B265"/>
    <mergeCell ref="A266:B266"/>
    <mergeCell ref="A267:B267"/>
    <mergeCell ref="A268:H268"/>
    <mergeCell ref="A269:B269"/>
    <mergeCell ref="J281:N281"/>
    <mergeCell ref="G50:H50"/>
    <mergeCell ref="C51:E51"/>
    <mergeCell ref="G51:H51"/>
    <mergeCell ref="A286:H286"/>
    <mergeCell ref="A287:B287"/>
    <mergeCell ref="G287:H291"/>
    <mergeCell ref="A288:B288"/>
    <mergeCell ref="A289:B289"/>
    <mergeCell ref="A290:B290"/>
    <mergeCell ref="A291:B291"/>
    <mergeCell ref="C290:F290"/>
    <mergeCell ref="A274:H274"/>
    <mergeCell ref="A275:B275"/>
    <mergeCell ref="G275:H279"/>
    <mergeCell ref="A276:B276"/>
    <mergeCell ref="A277:B277"/>
    <mergeCell ref="C277:F277"/>
    <mergeCell ref="A278:B278"/>
    <mergeCell ref="C278:F278"/>
    <mergeCell ref="A279:B279"/>
    <mergeCell ref="A280:H280"/>
    <mergeCell ref="A281:B281"/>
    <mergeCell ref="G281:H285"/>
    <mergeCell ref="A356:H356"/>
    <mergeCell ref="A355:H355"/>
    <mergeCell ref="A350:H350"/>
    <mergeCell ref="C351:E351"/>
    <mergeCell ref="F351:H351"/>
    <mergeCell ref="A351:B351"/>
    <mergeCell ref="A354:B354"/>
    <mergeCell ref="C354:E354"/>
    <mergeCell ref="F354:H354"/>
    <mergeCell ref="A353:B353"/>
    <mergeCell ref="C353:E353"/>
    <mergeCell ref="F353:H353"/>
    <mergeCell ref="A352:B352"/>
    <mergeCell ref="C352:E352"/>
    <mergeCell ref="F352:H352"/>
  </mergeCells>
  <hyperlinks>
    <hyperlink ref="C37" r:id="rId1" xr:uid="{00000000-0004-0000-0000-000000000000}"/>
  </hyperlinks>
  <printOptions horizontalCentered="1"/>
  <pageMargins left="0.39370078740157483" right="0.39370078740157483" top="0.78740157480314965" bottom="0.78740157480314965" header="0.19685039370078741" footer="0.19685039370078741"/>
  <pageSetup scale="95" fitToHeight="0" orientation="portrait" r:id="rId2"/>
  <headerFooter>
    <oddHeader>&amp;C&amp;G</oddHeader>
    <oddFooter>&amp;L&amp;"Times New Roman,Bold"&amp;12Ref No: &amp;F&amp;C&amp;G&amp;R&amp;"Times New Roman,Bold"&amp;12                                                &amp;P</oddFooter>
  </headerFooter>
  <rowBreaks count="6" manualBreakCount="6">
    <brk id="91" max="16383" man="1"/>
    <brk id="367" max="16383" man="1"/>
    <brk id="410" max="7" man="1"/>
    <brk id="447" max="7" man="1"/>
    <brk id="484" max="16383" man="1"/>
    <brk id="521" max="16383" man="1"/>
  </rowBreaks>
  <drawing r:id="rId3"/>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L36"/>
  <sheetViews>
    <sheetView topLeftCell="A40" workbookViewId="0">
      <selection activeCell="M197" sqref="M197"/>
    </sheetView>
  </sheetViews>
  <sheetFormatPr defaultRowHeight="14.4" x14ac:dyDescent="0.3"/>
  <cols>
    <col min="2" max="2" width="12.21875" customWidth="1"/>
  </cols>
  <sheetData>
    <row r="2" spans="1:12" x14ac:dyDescent="0.3">
      <c r="B2" s="3" t="s">
        <v>79</v>
      </c>
      <c r="C2" s="176"/>
      <c r="D2" s="176"/>
    </row>
    <row r="3" spans="1:12" x14ac:dyDescent="0.3">
      <c r="D3" s="4"/>
      <c r="E3" s="4"/>
      <c r="F3" s="4"/>
      <c r="G3" s="4"/>
      <c r="H3" s="4"/>
      <c r="I3" s="4"/>
    </row>
    <row r="4" spans="1:12" x14ac:dyDescent="0.3">
      <c r="A4" s="3" t="s">
        <v>80</v>
      </c>
      <c r="B4" s="5" t="s">
        <v>81</v>
      </c>
      <c r="C4" s="177" t="s">
        <v>82</v>
      </c>
      <c r="D4" s="177"/>
      <c r="E4" s="177"/>
      <c r="F4" s="6"/>
      <c r="G4" s="177" t="s">
        <v>83</v>
      </c>
      <c r="H4" s="177"/>
      <c r="I4" s="177"/>
      <c r="J4" s="177" t="s">
        <v>84</v>
      </c>
      <c r="K4" s="177"/>
      <c r="L4" s="177"/>
    </row>
    <row r="5" spans="1:12" x14ac:dyDescent="0.3">
      <c r="A5" s="3">
        <v>202</v>
      </c>
      <c r="B5" s="5"/>
      <c r="C5" s="5" t="s">
        <v>85</v>
      </c>
      <c r="D5" s="5" t="s">
        <v>86</v>
      </c>
      <c r="E5" s="5" t="s">
        <v>60</v>
      </c>
      <c r="F5" s="5"/>
      <c r="G5" s="5" t="s">
        <v>85</v>
      </c>
      <c r="H5" s="5" t="s">
        <v>86</v>
      </c>
      <c r="I5" s="5" t="s">
        <v>60</v>
      </c>
      <c r="J5" s="5" t="s">
        <v>85</v>
      </c>
      <c r="K5" s="5" t="s">
        <v>86</v>
      </c>
      <c r="L5" s="5" t="s">
        <v>60</v>
      </c>
    </row>
    <row r="6" spans="1:12" x14ac:dyDescent="0.3">
      <c r="B6" s="7" t="s">
        <v>87</v>
      </c>
      <c r="C6" s="7">
        <v>4.5</v>
      </c>
      <c r="D6" s="7">
        <v>2.9</v>
      </c>
      <c r="E6" s="7">
        <f>C6*D6</f>
        <v>13.049999999999999</v>
      </c>
      <c r="F6" s="7" t="s">
        <v>88</v>
      </c>
      <c r="G6" s="7"/>
      <c r="H6" s="7"/>
      <c r="I6" s="7">
        <f>G6*H6</f>
        <v>0</v>
      </c>
      <c r="J6" s="7"/>
      <c r="K6" s="7"/>
      <c r="L6" s="7">
        <f>J6*K6</f>
        <v>0</v>
      </c>
    </row>
    <row r="7" spans="1:12" x14ac:dyDescent="0.3">
      <c r="B7" s="7"/>
      <c r="C7" s="7"/>
      <c r="D7" s="7"/>
      <c r="E7" s="7">
        <f t="shared" ref="E7:E33" si="0">C7*D7</f>
        <v>0</v>
      </c>
      <c r="F7" s="7" t="s">
        <v>89</v>
      </c>
      <c r="G7" s="7"/>
      <c r="H7" s="7"/>
      <c r="I7" s="7">
        <f t="shared" ref="I7:I29" si="1">G7*H7</f>
        <v>0</v>
      </c>
      <c r="J7" s="7"/>
      <c r="K7" s="7"/>
      <c r="L7" s="7">
        <f t="shared" ref="L7:L29" si="2">J7*K7</f>
        <v>0</v>
      </c>
    </row>
    <row r="8" spans="1:12" x14ac:dyDescent="0.3">
      <c r="B8" s="7"/>
      <c r="C8" s="7"/>
      <c r="D8" s="7"/>
      <c r="E8" s="7">
        <f t="shared" si="0"/>
        <v>0</v>
      </c>
      <c r="F8" s="7"/>
      <c r="G8" s="7"/>
      <c r="H8" s="7"/>
      <c r="I8" s="7">
        <f t="shared" si="1"/>
        <v>0</v>
      </c>
      <c r="J8" s="7"/>
      <c r="K8" s="7"/>
      <c r="L8" s="7">
        <f t="shared" si="2"/>
        <v>0</v>
      </c>
    </row>
    <row r="9" spans="1:12" x14ac:dyDescent="0.3">
      <c r="B9" s="7" t="s">
        <v>90</v>
      </c>
      <c r="C9" s="7">
        <v>1.88</v>
      </c>
      <c r="D9" s="7">
        <v>2.13</v>
      </c>
      <c r="E9" s="7">
        <f t="shared" si="0"/>
        <v>4.0043999999999995</v>
      </c>
      <c r="F9" s="7" t="s">
        <v>88</v>
      </c>
      <c r="G9" s="7"/>
      <c r="H9" s="7"/>
      <c r="I9" s="7">
        <f t="shared" si="1"/>
        <v>0</v>
      </c>
      <c r="J9" s="7"/>
      <c r="K9" s="7"/>
      <c r="L9" s="7">
        <f t="shared" si="2"/>
        <v>0</v>
      </c>
    </row>
    <row r="10" spans="1:12" x14ac:dyDescent="0.3">
      <c r="B10" s="7"/>
      <c r="C10" s="7"/>
      <c r="D10" s="7"/>
      <c r="E10" s="7">
        <f t="shared" si="0"/>
        <v>0</v>
      </c>
      <c r="F10" s="7" t="s">
        <v>89</v>
      </c>
      <c r="G10" s="7"/>
      <c r="H10" s="7"/>
      <c r="I10" s="7">
        <f t="shared" si="1"/>
        <v>0</v>
      </c>
      <c r="J10" s="7"/>
      <c r="K10" s="7"/>
      <c r="L10" s="7">
        <f t="shared" si="2"/>
        <v>0</v>
      </c>
    </row>
    <row r="11" spans="1:12" x14ac:dyDescent="0.3">
      <c r="B11" s="7"/>
      <c r="C11" s="7"/>
      <c r="D11" s="7"/>
      <c r="E11" s="7">
        <f t="shared" si="0"/>
        <v>0</v>
      </c>
      <c r="F11" s="7"/>
      <c r="G11" s="7"/>
      <c r="H11" s="7"/>
      <c r="I11" s="7">
        <f t="shared" si="1"/>
        <v>0</v>
      </c>
      <c r="J11" s="7"/>
      <c r="K11" s="7"/>
      <c r="L11" s="7">
        <f t="shared" si="2"/>
        <v>0</v>
      </c>
    </row>
    <row r="12" spans="1:12" x14ac:dyDescent="0.3">
      <c r="B12" s="7"/>
      <c r="C12" s="7"/>
      <c r="D12" s="7"/>
      <c r="E12" s="7">
        <f t="shared" si="0"/>
        <v>0</v>
      </c>
      <c r="F12" s="7"/>
      <c r="G12" s="7"/>
      <c r="H12" s="7"/>
      <c r="I12" s="7">
        <f t="shared" si="1"/>
        <v>0</v>
      </c>
      <c r="J12" s="7"/>
      <c r="K12" s="7"/>
      <c r="L12" s="7">
        <f t="shared" si="2"/>
        <v>0</v>
      </c>
    </row>
    <row r="13" spans="1:12" x14ac:dyDescent="0.3">
      <c r="B13" s="7" t="s">
        <v>91</v>
      </c>
      <c r="C13" s="7"/>
      <c r="D13" s="7"/>
      <c r="E13" s="7">
        <f t="shared" si="0"/>
        <v>0</v>
      </c>
      <c r="F13" s="7" t="s">
        <v>88</v>
      </c>
      <c r="G13" s="7"/>
      <c r="H13" s="7"/>
      <c r="I13" s="7">
        <f t="shared" si="1"/>
        <v>0</v>
      </c>
      <c r="J13" s="7"/>
      <c r="K13" s="7"/>
      <c r="L13" s="7">
        <f t="shared" si="2"/>
        <v>0</v>
      </c>
    </row>
    <row r="14" spans="1:12" x14ac:dyDescent="0.3">
      <c r="B14" s="7"/>
      <c r="C14" s="7"/>
      <c r="D14" s="7"/>
      <c r="E14" s="7">
        <f t="shared" si="0"/>
        <v>0</v>
      </c>
      <c r="F14" s="7" t="s">
        <v>89</v>
      </c>
      <c r="G14" s="7"/>
      <c r="H14" s="7"/>
      <c r="I14" s="7">
        <f t="shared" si="1"/>
        <v>0</v>
      </c>
      <c r="J14" s="7"/>
      <c r="K14" s="7"/>
      <c r="L14" s="7">
        <f t="shared" si="2"/>
        <v>0</v>
      </c>
    </row>
    <row r="15" spans="1:12" x14ac:dyDescent="0.3">
      <c r="B15" s="7"/>
      <c r="C15" s="7"/>
      <c r="D15" s="7"/>
      <c r="E15" s="7">
        <f t="shared" si="0"/>
        <v>0</v>
      </c>
      <c r="F15" s="7"/>
      <c r="G15" s="7"/>
      <c r="H15" s="7"/>
      <c r="I15" s="7">
        <f t="shared" si="1"/>
        <v>0</v>
      </c>
      <c r="J15" s="7"/>
      <c r="K15" s="7"/>
      <c r="L15" s="7">
        <f t="shared" si="2"/>
        <v>0</v>
      </c>
    </row>
    <row r="16" spans="1:12" x14ac:dyDescent="0.3">
      <c r="B16" s="7"/>
      <c r="C16" s="7"/>
      <c r="D16" s="7"/>
      <c r="E16" s="7">
        <f t="shared" si="0"/>
        <v>0</v>
      </c>
      <c r="F16" s="7"/>
      <c r="G16" s="7"/>
      <c r="H16" s="7"/>
      <c r="I16" s="7">
        <f t="shared" si="1"/>
        <v>0</v>
      </c>
      <c r="J16" s="7"/>
      <c r="K16" s="7"/>
      <c r="L16" s="7">
        <f t="shared" si="2"/>
        <v>0</v>
      </c>
    </row>
    <row r="17" spans="2:12" x14ac:dyDescent="0.3">
      <c r="B17" s="7" t="s">
        <v>92</v>
      </c>
      <c r="C17" s="7"/>
      <c r="D17" s="7"/>
      <c r="E17" s="7">
        <f t="shared" si="0"/>
        <v>0</v>
      </c>
      <c r="F17" s="7" t="s">
        <v>88</v>
      </c>
      <c r="G17" s="7"/>
      <c r="H17" s="7"/>
      <c r="I17" s="7">
        <f t="shared" si="1"/>
        <v>0</v>
      </c>
      <c r="J17" s="7"/>
      <c r="K17" s="7"/>
      <c r="L17" s="7">
        <f t="shared" si="2"/>
        <v>0</v>
      </c>
    </row>
    <row r="18" spans="2:12" x14ac:dyDescent="0.3">
      <c r="B18" s="7"/>
      <c r="C18" s="7"/>
      <c r="D18" s="7"/>
      <c r="E18" s="7">
        <f t="shared" si="0"/>
        <v>0</v>
      </c>
      <c r="F18" s="7" t="s">
        <v>89</v>
      </c>
      <c r="G18" s="7"/>
      <c r="H18" s="7"/>
      <c r="I18" s="7">
        <f t="shared" si="1"/>
        <v>0</v>
      </c>
      <c r="J18" s="7"/>
      <c r="K18" s="7"/>
      <c r="L18" s="7">
        <f t="shared" si="2"/>
        <v>0</v>
      </c>
    </row>
    <row r="19" spans="2:12" x14ac:dyDescent="0.3">
      <c r="B19" s="7"/>
      <c r="C19" s="7"/>
      <c r="D19" s="7"/>
      <c r="E19" s="7">
        <f t="shared" si="0"/>
        <v>0</v>
      </c>
      <c r="F19" s="7"/>
      <c r="G19" s="7"/>
      <c r="H19" s="7"/>
      <c r="I19" s="7">
        <f t="shared" si="1"/>
        <v>0</v>
      </c>
      <c r="J19" s="7"/>
      <c r="K19" s="7"/>
      <c r="L19" s="7">
        <f t="shared" si="2"/>
        <v>0</v>
      </c>
    </row>
    <row r="20" spans="2:12" x14ac:dyDescent="0.3">
      <c r="B20" s="7" t="s">
        <v>92</v>
      </c>
      <c r="C20" s="7"/>
      <c r="D20" s="7"/>
      <c r="E20" s="7">
        <f t="shared" si="0"/>
        <v>0</v>
      </c>
      <c r="F20" s="7" t="s">
        <v>88</v>
      </c>
      <c r="G20" s="7"/>
      <c r="H20" s="7"/>
      <c r="I20" s="7">
        <f t="shared" si="1"/>
        <v>0</v>
      </c>
      <c r="J20" s="7"/>
      <c r="K20" s="7"/>
      <c r="L20" s="7">
        <f t="shared" si="2"/>
        <v>0</v>
      </c>
    </row>
    <row r="21" spans="2:12" x14ac:dyDescent="0.3">
      <c r="B21" s="7"/>
      <c r="C21" s="7"/>
      <c r="D21" s="7"/>
      <c r="E21" s="7">
        <f t="shared" si="0"/>
        <v>0</v>
      </c>
      <c r="F21" s="7" t="s">
        <v>89</v>
      </c>
      <c r="G21" s="7"/>
      <c r="H21" s="7"/>
      <c r="I21" s="7">
        <f t="shared" si="1"/>
        <v>0</v>
      </c>
      <c r="J21" s="7"/>
      <c r="K21" s="7"/>
      <c r="L21" s="7">
        <f t="shared" si="2"/>
        <v>0</v>
      </c>
    </row>
    <row r="22" spans="2:12" x14ac:dyDescent="0.3">
      <c r="B22" s="7"/>
      <c r="C22" s="7"/>
      <c r="D22" s="7"/>
      <c r="E22" s="7">
        <f t="shared" si="0"/>
        <v>0</v>
      </c>
      <c r="F22" s="7"/>
      <c r="G22" s="7"/>
      <c r="H22" s="7"/>
      <c r="I22" s="7">
        <f t="shared" si="1"/>
        <v>0</v>
      </c>
      <c r="J22" s="7"/>
      <c r="K22" s="7"/>
      <c r="L22" s="7">
        <f t="shared" si="2"/>
        <v>0</v>
      </c>
    </row>
    <row r="23" spans="2:12" x14ac:dyDescent="0.3">
      <c r="B23" s="7" t="s">
        <v>93</v>
      </c>
      <c r="C23" s="7">
        <v>1.9</v>
      </c>
      <c r="D23" s="7">
        <v>1.07</v>
      </c>
      <c r="E23" s="7">
        <f t="shared" si="0"/>
        <v>2.0329999999999999</v>
      </c>
      <c r="F23" s="7" t="s">
        <v>94</v>
      </c>
      <c r="G23" s="7"/>
      <c r="H23" s="7"/>
      <c r="I23" s="7">
        <f t="shared" si="1"/>
        <v>0</v>
      </c>
      <c r="J23" s="7"/>
      <c r="K23" s="7"/>
      <c r="L23" s="7">
        <f t="shared" si="2"/>
        <v>0</v>
      </c>
    </row>
    <row r="24" spans="2:12" x14ac:dyDescent="0.3">
      <c r="B24" s="7" t="s">
        <v>95</v>
      </c>
      <c r="C24" s="7"/>
      <c r="D24" s="7"/>
      <c r="E24" s="7">
        <f t="shared" si="0"/>
        <v>0</v>
      </c>
      <c r="F24" s="7" t="s">
        <v>94</v>
      </c>
      <c r="G24" s="7"/>
      <c r="H24" s="7"/>
      <c r="I24" s="7">
        <f t="shared" si="1"/>
        <v>0</v>
      </c>
      <c r="J24" s="7"/>
      <c r="K24" s="7"/>
      <c r="L24" s="7">
        <f t="shared" si="2"/>
        <v>0</v>
      </c>
    </row>
    <row r="25" spans="2:12" x14ac:dyDescent="0.3">
      <c r="B25" s="7" t="s">
        <v>96</v>
      </c>
      <c r="C25" s="7"/>
      <c r="D25" s="7"/>
      <c r="E25" s="7">
        <f t="shared" si="0"/>
        <v>0</v>
      </c>
      <c r="F25" s="7" t="s">
        <v>94</v>
      </c>
      <c r="G25" s="7"/>
      <c r="H25" s="7"/>
      <c r="I25" s="7">
        <f t="shared" si="1"/>
        <v>0</v>
      </c>
      <c r="J25" s="7"/>
      <c r="K25" s="7"/>
      <c r="L25" s="7">
        <f t="shared" si="2"/>
        <v>0</v>
      </c>
    </row>
    <row r="26" spans="2:12" x14ac:dyDescent="0.3">
      <c r="B26" s="7"/>
      <c r="C26" s="7"/>
      <c r="D26" s="7"/>
      <c r="E26" s="7">
        <f t="shared" si="0"/>
        <v>0</v>
      </c>
      <c r="F26" s="7"/>
      <c r="G26" s="7"/>
      <c r="H26" s="7"/>
      <c r="I26" s="7">
        <f t="shared" si="1"/>
        <v>0</v>
      </c>
      <c r="J26" s="7"/>
      <c r="K26" s="7"/>
      <c r="L26" s="7">
        <f t="shared" si="2"/>
        <v>0</v>
      </c>
    </row>
    <row r="27" spans="2:12" x14ac:dyDescent="0.3">
      <c r="B27" s="7" t="s">
        <v>97</v>
      </c>
      <c r="C27" s="7"/>
      <c r="D27" s="7"/>
      <c r="E27" s="7">
        <f t="shared" si="0"/>
        <v>0</v>
      </c>
      <c r="F27" s="7"/>
      <c r="G27" s="7"/>
      <c r="H27" s="7"/>
      <c r="I27" s="7">
        <f t="shared" si="1"/>
        <v>0</v>
      </c>
      <c r="J27" s="7"/>
      <c r="K27" s="7"/>
      <c r="L27" s="7">
        <f t="shared" si="2"/>
        <v>0</v>
      </c>
    </row>
    <row r="28" spans="2:12" x14ac:dyDescent="0.3">
      <c r="B28" s="7" t="s">
        <v>98</v>
      </c>
      <c r="C28" s="7"/>
      <c r="D28" s="7"/>
      <c r="E28" s="7">
        <f t="shared" si="0"/>
        <v>0</v>
      </c>
      <c r="F28" s="7"/>
      <c r="G28" s="7"/>
      <c r="H28" s="7"/>
      <c r="I28" s="7">
        <f t="shared" si="1"/>
        <v>0</v>
      </c>
      <c r="J28" s="7"/>
      <c r="K28" s="7"/>
      <c r="L28" s="7">
        <f t="shared" si="2"/>
        <v>0</v>
      </c>
    </row>
    <row r="29" spans="2:12" x14ac:dyDescent="0.3">
      <c r="B29" s="7" t="s">
        <v>99</v>
      </c>
      <c r="C29" s="7"/>
      <c r="D29" s="7"/>
      <c r="E29" s="7">
        <f t="shared" si="0"/>
        <v>0</v>
      </c>
      <c r="F29" s="7"/>
      <c r="G29" s="7"/>
      <c r="H29" s="7"/>
      <c r="I29" s="7">
        <f t="shared" si="1"/>
        <v>0</v>
      </c>
      <c r="J29" s="7"/>
      <c r="K29" s="7"/>
      <c r="L29" s="7">
        <f t="shared" si="2"/>
        <v>0</v>
      </c>
    </row>
    <row r="30" spans="2:12" x14ac:dyDescent="0.3">
      <c r="B30" s="7" t="s">
        <v>100</v>
      </c>
      <c r="C30" s="7"/>
      <c r="D30" s="7"/>
      <c r="E30" s="7">
        <f t="shared" si="0"/>
        <v>0</v>
      </c>
      <c r="F30" s="7"/>
      <c r="G30" s="7"/>
      <c r="H30" s="7"/>
      <c r="I30" s="7">
        <f>G30*H30</f>
        <v>0</v>
      </c>
      <c r="J30" s="7"/>
      <c r="K30" s="7"/>
      <c r="L30" s="7">
        <f>J30*K30</f>
        <v>0</v>
      </c>
    </row>
    <row r="31" spans="2:12" x14ac:dyDescent="0.3">
      <c r="B31" s="7"/>
      <c r="C31" s="7"/>
      <c r="D31" s="7"/>
      <c r="E31" s="7">
        <f t="shared" si="0"/>
        <v>0</v>
      </c>
      <c r="F31" s="7"/>
      <c r="G31" s="7"/>
      <c r="H31" s="7"/>
      <c r="I31" s="7">
        <f>G31*H31</f>
        <v>0</v>
      </c>
      <c r="J31" s="7"/>
      <c r="K31" s="7"/>
      <c r="L31" s="7">
        <f>J31*K31</f>
        <v>0</v>
      </c>
    </row>
    <row r="32" spans="2:12" x14ac:dyDescent="0.3">
      <c r="B32" s="7"/>
      <c r="C32" s="7"/>
      <c r="D32" s="7"/>
      <c r="E32" s="7">
        <f t="shared" si="0"/>
        <v>0</v>
      </c>
      <c r="F32" s="7"/>
      <c r="G32" s="7"/>
      <c r="H32" s="7"/>
      <c r="I32" s="7">
        <f>G32*H32</f>
        <v>0</v>
      </c>
      <c r="J32" s="7"/>
      <c r="K32" s="7"/>
      <c r="L32" s="7">
        <f>J32*K32</f>
        <v>0</v>
      </c>
    </row>
    <row r="33" spans="2:12" x14ac:dyDescent="0.3">
      <c r="B33" s="7"/>
      <c r="C33" s="7"/>
      <c r="D33" s="7"/>
      <c r="E33" s="7">
        <f t="shared" si="0"/>
        <v>0</v>
      </c>
      <c r="F33" s="7"/>
      <c r="G33" s="7"/>
      <c r="H33" s="7"/>
      <c r="I33" s="7">
        <f>G33*H33</f>
        <v>0</v>
      </c>
      <c r="J33" s="7"/>
      <c r="K33" s="7"/>
      <c r="L33" s="7">
        <f>J33*K33</f>
        <v>0</v>
      </c>
    </row>
    <row r="34" spans="2:12" x14ac:dyDescent="0.3">
      <c r="B34" s="7" t="s">
        <v>61</v>
      </c>
      <c r="C34" s="7"/>
      <c r="D34" s="7">
        <f>E34*10.764</f>
        <v>205.45677359999996</v>
      </c>
      <c r="E34" s="7">
        <f>SUM(E6:E33)</f>
        <v>19.087399999999999</v>
      </c>
      <c r="F34" s="7"/>
      <c r="G34" s="7"/>
      <c r="H34" s="7">
        <f>I34*10.764</f>
        <v>0</v>
      </c>
      <c r="I34" s="7">
        <f>SUM(I6:I33)</f>
        <v>0</v>
      </c>
      <c r="J34" s="7"/>
      <c r="K34" s="7">
        <f>L34*10.764</f>
        <v>0</v>
      </c>
      <c r="L34" s="7">
        <f>SUM(L6:L33)</f>
        <v>0</v>
      </c>
    </row>
    <row r="36" spans="2:12" x14ac:dyDescent="0.3">
      <c r="D36">
        <f>D34+H34</f>
        <v>205.45677359999996</v>
      </c>
      <c r="E36">
        <f>E34+I34</f>
        <v>19.087399999999999</v>
      </c>
    </row>
  </sheetData>
  <mergeCells count="4">
    <mergeCell ref="C2:D2"/>
    <mergeCell ref="C4:E4"/>
    <mergeCell ref="G4:I4"/>
    <mergeCell ref="J4:L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election activeCell="C16" sqref="C16"/>
    </sheetView>
  </sheetViews>
  <sheetFormatPr defaultRowHeight="14.4" x14ac:dyDescent="0.3"/>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13"/>
  <sheetViews>
    <sheetView topLeftCell="A16" zoomScale="85" zoomScaleNormal="85" workbookViewId="0">
      <selection activeCell="H30" sqref="H30"/>
    </sheetView>
  </sheetViews>
  <sheetFormatPr defaultColWidth="8.77734375" defaultRowHeight="14.4" x14ac:dyDescent="0.3"/>
  <cols>
    <col min="1" max="1" width="8.77734375" style="31"/>
    <col min="2" max="2" width="22.21875" style="31" customWidth="1"/>
    <col min="3" max="3" width="37" style="31" customWidth="1"/>
    <col min="4" max="5" width="11.44140625" style="31" customWidth="1"/>
    <col min="6" max="6" width="14" style="31" customWidth="1"/>
    <col min="7" max="7" width="20" style="31" customWidth="1"/>
    <col min="8" max="8" width="16.44140625" style="31" customWidth="1"/>
    <col min="9" max="16384" width="8.77734375" style="31"/>
  </cols>
  <sheetData>
    <row r="1" spans="1:9" ht="15" customHeight="1" x14ac:dyDescent="0.3"/>
    <row r="2" spans="1:9" ht="15" customHeight="1" x14ac:dyDescent="0.3">
      <c r="A2" s="32"/>
      <c r="B2" s="32"/>
      <c r="C2" s="32"/>
      <c r="D2" s="32"/>
      <c r="E2" s="32"/>
      <c r="F2" s="32"/>
      <c r="G2" s="32"/>
      <c r="H2" s="32"/>
    </row>
    <row r="3" spans="1:9" ht="15.75" customHeight="1" x14ac:dyDescent="0.3">
      <c r="A3" s="32"/>
      <c r="B3" s="178" t="s">
        <v>145</v>
      </c>
      <c r="C3" s="178"/>
      <c r="D3" s="178"/>
      <c r="E3" s="178"/>
      <c r="F3" s="178"/>
      <c r="G3" s="178"/>
      <c r="H3" s="178"/>
    </row>
    <row r="4" spans="1:9" x14ac:dyDescent="0.3">
      <c r="A4" s="32"/>
      <c r="B4" s="33" t="s">
        <v>146</v>
      </c>
      <c r="C4" s="33" t="s">
        <v>147</v>
      </c>
      <c r="D4" s="33" t="s">
        <v>80</v>
      </c>
      <c r="E4" s="33" t="s">
        <v>148</v>
      </c>
      <c r="F4" s="33" t="s">
        <v>155</v>
      </c>
      <c r="G4" s="33" t="s">
        <v>156</v>
      </c>
      <c r="H4" s="33" t="s">
        <v>149</v>
      </c>
    </row>
    <row r="5" spans="1:9" ht="15" customHeight="1" x14ac:dyDescent="0.3">
      <c r="A5" s="32"/>
      <c r="B5" s="35" t="s">
        <v>152</v>
      </c>
      <c r="C5" s="51" t="s">
        <v>158</v>
      </c>
      <c r="D5" s="53" t="s">
        <v>173</v>
      </c>
      <c r="E5" s="35">
        <v>808</v>
      </c>
      <c r="F5" s="36">
        <f>E5*1.6</f>
        <v>1292.8000000000002</v>
      </c>
      <c r="G5" s="36">
        <f>H5/F5</f>
        <v>13613.861386138611</v>
      </c>
      <c r="H5" s="37">
        <v>17600000</v>
      </c>
    </row>
    <row r="6" spans="1:9" x14ac:dyDescent="0.3">
      <c r="A6" s="32"/>
      <c r="B6" s="35" t="s">
        <v>152</v>
      </c>
      <c r="C6" s="52" t="s">
        <v>158</v>
      </c>
      <c r="D6" s="53" t="s">
        <v>151</v>
      </c>
      <c r="E6" s="35">
        <v>1056</v>
      </c>
      <c r="F6" s="36">
        <f>E6*1.6</f>
        <v>1689.6000000000001</v>
      </c>
      <c r="G6" s="36">
        <f t="shared" ref="G6:G8" si="0">H6/F6</f>
        <v>13849.431818181816</v>
      </c>
      <c r="H6" s="37">
        <v>23400000</v>
      </c>
    </row>
    <row r="7" spans="1:9" ht="15" customHeight="1" x14ac:dyDescent="0.3">
      <c r="A7" s="32"/>
      <c r="B7" s="35" t="s">
        <v>150</v>
      </c>
      <c r="C7" s="52" t="s">
        <v>158</v>
      </c>
      <c r="D7" s="53" t="s">
        <v>173</v>
      </c>
      <c r="E7" s="35">
        <v>477</v>
      </c>
      <c r="F7" s="36">
        <f t="shared" ref="F7:F8" si="1">E7*1.6</f>
        <v>763.2</v>
      </c>
      <c r="G7" s="36">
        <f t="shared" si="0"/>
        <v>13233.752620545072</v>
      </c>
      <c r="H7" s="37">
        <v>10100000</v>
      </c>
    </row>
    <row r="8" spans="1:9" ht="15" customHeight="1" x14ac:dyDescent="0.3">
      <c r="A8" s="32"/>
      <c r="B8" s="35" t="s">
        <v>150</v>
      </c>
      <c r="C8" s="52" t="s">
        <v>158</v>
      </c>
      <c r="D8" s="53" t="s">
        <v>151</v>
      </c>
      <c r="E8" s="35">
        <v>1015</v>
      </c>
      <c r="F8" s="36">
        <f t="shared" si="1"/>
        <v>1624</v>
      </c>
      <c r="G8" s="36">
        <f t="shared" si="0"/>
        <v>14470.443349753694</v>
      </c>
      <c r="H8" s="37">
        <v>23500000</v>
      </c>
    </row>
    <row r="9" spans="1:9" ht="15" customHeight="1" x14ac:dyDescent="0.3">
      <c r="A9" s="32"/>
      <c r="B9" s="38" t="s">
        <v>153</v>
      </c>
      <c r="C9" s="35"/>
      <c r="D9" s="35"/>
      <c r="E9" s="35"/>
      <c r="F9" s="35"/>
      <c r="G9" s="39">
        <f>AVERAGE(G5:G8)</f>
        <v>13791.872293654798</v>
      </c>
      <c r="H9" s="35"/>
    </row>
    <row r="10" spans="1:9" ht="15" customHeight="1" x14ac:dyDescent="0.3">
      <c r="B10" s="38" t="s">
        <v>154</v>
      </c>
      <c r="C10" s="35"/>
      <c r="D10" s="35"/>
      <c r="E10" s="35"/>
      <c r="F10" s="40"/>
      <c r="G10" s="38">
        <v>14000</v>
      </c>
      <c r="H10" s="38"/>
      <c r="I10" s="34"/>
    </row>
    <row r="11" spans="1:9" ht="15" customHeight="1" x14ac:dyDescent="0.3"/>
    <row r="12" spans="1:9" ht="15" customHeight="1" x14ac:dyDescent="0.3"/>
    <row r="13" spans="1:9" ht="15" customHeight="1" x14ac:dyDescent="0.3"/>
  </sheetData>
  <mergeCells count="1">
    <mergeCell ref="B3:H3"/>
  </mergeCells>
  <pageMargins left="0.7" right="0.7" top="0.75" bottom="0.75" header="0.3" footer="0.3"/>
  <pageSetup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Report</vt:lpstr>
      <vt:lpstr>Flat detail</vt:lpstr>
      <vt:lpstr>Note</vt:lpstr>
      <vt:lpstr>valuation</vt:lpstr>
      <vt:lpstr>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USER</cp:lastModifiedBy>
  <cp:lastPrinted>2025-09-04T10:25:20Z</cp:lastPrinted>
  <dcterms:created xsi:type="dcterms:W3CDTF">2019-07-16T09:29:46Z</dcterms:created>
  <dcterms:modified xsi:type="dcterms:W3CDTF">2025-09-04T10:25:21Z</dcterms:modified>
</cp:coreProperties>
</file>