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1" l="1"/>
  <c r="J105" i="1"/>
  <c r="J104" i="1"/>
  <c r="J103" i="1"/>
  <c r="K194" i="1" l="1"/>
  <c r="N168" i="1" l="1"/>
  <c r="N178" i="1"/>
  <c r="N179" i="1"/>
  <c r="N180" i="1"/>
  <c r="N185" i="1"/>
  <c r="N186" i="1"/>
  <c r="N187" i="1"/>
  <c r="N194" i="1"/>
  <c r="N195" i="1"/>
  <c r="N196" i="1"/>
  <c r="N200" i="1"/>
  <c r="N205" i="1"/>
  <c r="N206" i="1"/>
  <c r="N207" i="1"/>
  <c r="N211" i="1"/>
  <c r="N212" i="1"/>
  <c r="N217" i="1"/>
  <c r="N218" i="1"/>
  <c r="N222" i="1"/>
  <c r="K201" i="1"/>
  <c r="D226" i="1" l="1"/>
  <c r="F226" i="1" s="1"/>
  <c r="N226" i="1" s="1"/>
  <c r="D225" i="1"/>
  <c r="F225" i="1" s="1"/>
  <c r="N225" i="1" s="1"/>
  <c r="D224" i="1"/>
  <c r="F224" i="1" s="1"/>
  <c r="N224" i="1" s="1"/>
  <c r="D223" i="1"/>
  <c r="F223" i="1" s="1"/>
  <c r="N223" i="1" s="1"/>
  <c r="D221" i="1"/>
  <c r="D220" i="1"/>
  <c r="F220" i="1" s="1"/>
  <c r="N220" i="1" s="1"/>
  <c r="D219" i="1"/>
  <c r="F219" i="1" s="1"/>
  <c r="D216" i="1"/>
  <c r="F216" i="1" s="1"/>
  <c r="N216" i="1" s="1"/>
  <c r="D215" i="1"/>
  <c r="F215" i="1" s="1"/>
  <c r="N215" i="1" s="1"/>
  <c r="D214" i="1"/>
  <c r="F214" i="1" s="1"/>
  <c r="N214" i="1" s="1"/>
  <c r="D213" i="1"/>
  <c r="F213" i="1" s="1"/>
  <c r="N213" i="1" s="1"/>
  <c r="D210" i="1"/>
  <c r="F210" i="1" s="1"/>
  <c r="N210" i="1" s="1"/>
  <c r="D209" i="1"/>
  <c r="F209" i="1" s="1"/>
  <c r="N209" i="1" s="1"/>
  <c r="D208" i="1"/>
  <c r="F208" i="1" s="1"/>
  <c r="N208" i="1" s="1"/>
  <c r="D204" i="1"/>
  <c r="F204" i="1" s="1"/>
  <c r="N204" i="1" s="1"/>
  <c r="D203" i="1"/>
  <c r="F203" i="1" s="1"/>
  <c r="N203" i="1" s="1"/>
  <c r="D202" i="1"/>
  <c r="F202" i="1" s="1"/>
  <c r="N202" i="1" s="1"/>
  <c r="D201" i="1"/>
  <c r="F201" i="1" s="1"/>
  <c r="D199" i="1"/>
  <c r="F199" i="1" s="1"/>
  <c r="N199" i="1" s="1"/>
  <c r="D198" i="1"/>
  <c r="F198" i="1" s="1"/>
  <c r="N198" i="1" s="1"/>
  <c r="D197" i="1"/>
  <c r="F197" i="1" s="1"/>
  <c r="D193" i="1"/>
  <c r="F193" i="1" s="1"/>
  <c r="D192" i="1"/>
  <c r="D191" i="1"/>
  <c r="D190" i="1"/>
  <c r="D189" i="1"/>
  <c r="D188" i="1"/>
  <c r="D184" i="1"/>
  <c r="D183" i="1"/>
  <c r="D182" i="1"/>
  <c r="D181" i="1"/>
  <c r="D177" i="1"/>
  <c r="F177" i="1" s="1"/>
  <c r="D176" i="1"/>
  <c r="F176" i="1" s="1"/>
  <c r="D175" i="1"/>
  <c r="F175" i="1" s="1"/>
  <c r="D174" i="1"/>
  <c r="F174" i="1" s="1"/>
  <c r="D173" i="1"/>
  <c r="D172" i="1"/>
  <c r="D171" i="1"/>
  <c r="D170" i="1"/>
  <c r="D169" i="1"/>
  <c r="D167" i="1"/>
  <c r="D166" i="1"/>
  <c r="D159" i="1"/>
  <c r="K159" i="1" s="1"/>
  <c r="D158" i="1"/>
  <c r="K158" i="1" s="1"/>
  <c r="D157" i="1"/>
  <c r="K157" i="1" s="1"/>
  <c r="I219" i="1"/>
  <c r="F221" i="1"/>
  <c r="N221" i="1" s="1"/>
  <c r="G223" i="1"/>
  <c r="G219" i="1"/>
  <c r="I208" i="1"/>
  <c r="G208" i="1"/>
  <c r="G213" i="1"/>
  <c r="I198" i="1"/>
  <c r="I197" i="1"/>
  <c r="G201" i="1"/>
  <c r="G196" i="1"/>
  <c r="I181" i="1"/>
  <c r="J173" i="1"/>
  <c r="L177" i="1"/>
  <c r="I177" i="1"/>
  <c r="J180" i="1"/>
  <c r="L174" i="1"/>
  <c r="L169" i="1"/>
  <c r="K169" i="1"/>
  <c r="J169" i="1"/>
  <c r="I169" i="1"/>
  <c r="I166" i="1"/>
  <c r="I159" i="1"/>
  <c r="I158" i="1"/>
  <c r="I157" i="1"/>
  <c r="G148" i="1" l="1"/>
  <c r="N219" i="1"/>
  <c r="C145" i="1"/>
  <c r="K193" i="1"/>
  <c r="N193" i="1"/>
  <c r="E140" i="1"/>
  <c r="E141" i="1" s="1"/>
  <c r="C144" i="1"/>
  <c r="M175" i="1"/>
  <c r="N175" i="1"/>
  <c r="N201" i="1"/>
  <c r="J201" i="1"/>
  <c r="M174" i="1"/>
  <c r="N174" i="1"/>
  <c r="M176" i="1"/>
  <c r="N176" i="1"/>
  <c r="G146" i="1"/>
  <c r="J197" i="1"/>
  <c r="N197" i="1"/>
  <c r="M177" i="1"/>
  <c r="N177" i="1"/>
  <c r="G147" i="1"/>
  <c r="C146" i="1"/>
  <c r="C148" i="1"/>
  <c r="E145" i="1"/>
  <c r="E147" i="1"/>
  <c r="C140" i="1"/>
  <c r="C141" i="1" s="1"/>
  <c r="C147" i="1"/>
  <c r="E144" i="1"/>
  <c r="E146" i="1"/>
  <c r="E148" i="1"/>
  <c r="E42" i="1"/>
  <c r="E43" i="1" s="1"/>
  <c r="C149" i="1" l="1"/>
  <c r="E149" i="1"/>
  <c r="C14" i="1"/>
  <c r="E29" i="1" l="1"/>
  <c r="F167" i="1" l="1"/>
  <c r="N167" i="1" s="1"/>
  <c r="F166" i="1"/>
  <c r="N166" i="1" s="1"/>
  <c r="A167" i="1"/>
  <c r="G166" i="1"/>
  <c r="F137" i="1" l="1"/>
  <c r="F158" i="1" l="1"/>
  <c r="K145" i="1" s="1"/>
  <c r="F159" i="1"/>
  <c r="F157" i="1"/>
  <c r="K160" i="1" l="1"/>
  <c r="K144" i="1"/>
  <c r="G140" i="1"/>
  <c r="G141" i="1" s="1"/>
  <c r="B229" i="1"/>
  <c r="F192" i="1" l="1"/>
  <c r="F191" i="1"/>
  <c r="F190" i="1"/>
  <c r="F189" i="1"/>
  <c r="F188" i="1"/>
  <c r="F184" i="1"/>
  <c r="N184" i="1" s="1"/>
  <c r="F183" i="1"/>
  <c r="N183" i="1" s="1"/>
  <c r="F182" i="1"/>
  <c r="N182" i="1" s="1"/>
  <c r="F181" i="1"/>
  <c r="N181" i="1" s="1"/>
  <c r="F173" i="1"/>
  <c r="F172" i="1"/>
  <c r="F170" i="1"/>
  <c r="F169" i="1"/>
  <c r="F171" i="1"/>
  <c r="M173" i="1" l="1"/>
  <c r="N173" i="1"/>
  <c r="K192" i="1"/>
  <c r="N192" i="1"/>
  <c r="M171" i="1"/>
  <c r="N171" i="1"/>
  <c r="K188" i="1"/>
  <c r="L188" i="1"/>
  <c r="J189" i="1"/>
  <c r="N188" i="1"/>
  <c r="K191" i="1"/>
  <c r="N191" i="1"/>
  <c r="M170" i="1"/>
  <c r="J170" i="1"/>
  <c r="N170" i="1"/>
  <c r="K189" i="1"/>
  <c r="N189" i="1"/>
  <c r="N169" i="1"/>
  <c r="M169" i="1"/>
  <c r="M172" i="1"/>
  <c r="N172" i="1"/>
  <c r="K190" i="1"/>
  <c r="N190" i="1"/>
  <c r="G144" i="1"/>
  <c r="G145" i="1"/>
  <c r="B230" i="1"/>
  <c r="G149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0" i="1"/>
  <c r="G188" i="1"/>
  <c r="G181" i="1"/>
  <c r="G169" i="1"/>
  <c r="A170" i="1"/>
  <c r="A171" i="1" s="1"/>
  <c r="A172" i="1" s="1"/>
  <c r="A173" i="1" s="1"/>
  <c r="A174" i="1" s="1"/>
  <c r="A175" i="1" s="1"/>
  <c r="A176" i="1" s="1"/>
  <c r="A177" i="1" s="1"/>
  <c r="A158" i="1"/>
  <c r="A159" i="1" s="1"/>
  <c r="G157" i="1"/>
  <c r="J121" i="1"/>
  <c r="J120" i="1"/>
  <c r="J119" i="1"/>
  <c r="J118" i="1"/>
  <c r="C109" i="1"/>
  <c r="J92" i="1"/>
  <c r="J91" i="1"/>
  <c r="J90" i="1"/>
  <c r="J89" i="1"/>
  <c r="J78" i="1"/>
  <c r="J77" i="1"/>
  <c r="J76" i="1"/>
  <c r="J75" i="1"/>
  <c r="C67" i="1"/>
  <c r="D54" i="1"/>
  <c r="G49" i="1"/>
  <c r="G50" i="1" s="1"/>
  <c r="C49" i="1"/>
  <c r="E26" i="1"/>
  <c r="E24" i="1"/>
  <c r="E7" i="1"/>
  <c r="E3" i="1"/>
  <c r="H82" i="1"/>
  <c r="H68" i="1"/>
  <c r="H110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109" i="1"/>
  <c r="J111" i="1" s="1"/>
  <c r="J114" i="1"/>
  <c r="D123" i="1"/>
  <c r="D121" i="1"/>
  <c r="D119" i="1"/>
  <c r="D117" i="1"/>
  <c r="J115" i="1"/>
  <c r="C114" i="1" s="1"/>
  <c r="J113" i="1"/>
  <c r="J116" i="1"/>
  <c r="J117" i="1" s="1"/>
  <c r="D122" i="1"/>
  <c r="D120" i="1"/>
  <c r="D118" i="1"/>
  <c r="J87" i="1"/>
  <c r="J85" i="1"/>
  <c r="J86" i="1"/>
  <c r="C85" i="1" s="1"/>
  <c r="J84" i="1"/>
  <c r="J122" i="1" l="1"/>
  <c r="J123" i="1" s="1"/>
  <c r="C115" i="1" s="1"/>
  <c r="D115" i="1" s="1"/>
  <c r="J88" i="1"/>
  <c r="J74" i="1"/>
  <c r="D116" i="1"/>
  <c r="D114" i="1"/>
  <c r="D87" i="1"/>
  <c r="D73" i="1"/>
  <c r="J69" i="1"/>
  <c r="D71" i="1"/>
  <c r="D85" i="1"/>
  <c r="E114" i="1" l="1"/>
  <c r="J79" i="1"/>
  <c r="J80" i="1" s="1"/>
  <c r="C72" i="1" s="1"/>
  <c r="J68" i="1" s="1"/>
  <c r="G114" i="1"/>
  <c r="J93" i="1"/>
  <c r="J94" i="1" s="1"/>
  <c r="C86" i="1" s="1"/>
  <c r="G85" i="1" s="1"/>
  <c r="I110" i="1"/>
  <c r="J110" i="1"/>
  <c r="J82" i="1" l="1"/>
  <c r="D72" i="1"/>
  <c r="E71" i="1"/>
  <c r="G71" i="1"/>
  <c r="D65" i="1" s="1"/>
  <c r="D66" i="1" s="1"/>
  <c r="D86" i="1"/>
  <c r="I82" i="1" s="1"/>
  <c r="I83" i="1" s="1"/>
  <c r="E85" i="1"/>
  <c r="I111" i="1"/>
  <c r="I109" i="1" s="1"/>
  <c r="C111" i="1" s="1"/>
  <c r="I68" i="1" l="1"/>
  <c r="I69" i="1" s="1"/>
  <c r="I67" i="1" s="1"/>
  <c r="C69" i="1" s="1"/>
  <c r="I81" i="1"/>
  <c r="C83" i="1" s="1"/>
  <c r="F66" i="1"/>
  <c r="H96" i="1"/>
  <c r="D103" i="1" l="1"/>
  <c r="J99" i="1"/>
  <c r="D106" i="1"/>
  <c r="D107" i="1"/>
  <c r="D102" i="1"/>
  <c r="J101" i="1"/>
  <c r="J102" i="1" s="1"/>
  <c r="J107" i="1" s="1"/>
  <c r="J108" i="1" s="1"/>
  <c r="C100" i="1" s="1"/>
  <c r="D105" i="1"/>
  <c r="D101" i="1"/>
  <c r="J95" i="1"/>
  <c r="J97" i="1" s="1"/>
  <c r="J100" i="1"/>
  <c r="C99" i="1" s="1"/>
  <c r="J98" i="1"/>
  <c r="D108" i="1"/>
  <c r="D104" i="1"/>
  <c r="E99" i="1" l="1"/>
  <c r="D100" i="1"/>
  <c r="G99" i="1"/>
  <c r="D99" i="1"/>
  <c r="I96" i="1" l="1"/>
  <c r="I97" i="1" s="1"/>
  <c r="J96" i="1"/>
  <c r="I95" i="1" s="1"/>
  <c r="C97" i="1" s="1"/>
</calcChain>
</file>

<file path=xl/sharedStrings.xml><?xml version="1.0" encoding="utf-8"?>
<sst xmlns="http://schemas.openxmlformats.org/spreadsheetml/2006/main" count="468" uniqueCount="248">
  <si>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</si>
  <si>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</si>
  <si>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</si>
  <si>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</si>
  <si>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</si>
  <si>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</si>
  <si>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</si>
  <si>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</si>
  <si>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</si>
  <si>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</si>
  <si>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</si>
  <si>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</si>
  <si>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</si>
  <si>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</si>
  <si>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</si>
  <si>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</si>
  <si>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</si>
  <si>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</si>
  <si>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</si>
  <si>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</si>
  <si>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</si>
  <si>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</si>
  <si>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</si>
  <si>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</si>
  <si>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</si>
  <si>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</si>
  <si>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</si>
  <si>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</si>
  <si>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</si>
  <si>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</si>
  <si>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</si>
  <si>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</si>
  <si>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</si>
  <si>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</si>
  <si>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</si>
  <si>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</si>
  <si>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</si>
  <si>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</si>
  <si>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</si>
  <si>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</si>
  <si>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</si>
  <si>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</si>
  <si>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</si>
  <si>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</si>
  <si>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</si>
  <si>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</si>
  <si>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</si>
  <si>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</si>
  <si>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</si>
  <si>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</si>
  <si>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</si>
  <si>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</si>
  <si>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</si>
  <si>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</si>
  <si>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</si>
  <si>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</si>
  <si>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</si>
  <si>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</si>
  <si>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</si>
  <si>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</si>
  <si>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</si>
  <si>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</si>
  <si>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</si>
  <si>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</si>
  <si>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</si>
  <si>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</si>
  <si>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</si>
  <si>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</si>
  <si>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</si>
  <si>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</si>
  <si>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</si>
  <si>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</si>
  <si>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</si>
  <si>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</si>
  <si>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</si>
  <si>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</si>
  <si>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</si>
  <si>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</si>
  <si>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</si>
  <si>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</si>
  <si>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</si>
  <si>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</si>
  <si>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</si>
  <si>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</si>
  <si>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</si>
  <si>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</si>
  <si>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</si>
  <si>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</si>
  <si>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</si>
  <si>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</si>
  <si>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</si>
  <si>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</si>
  <si>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</si>
  <si>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</si>
  <si>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</si>
  <si>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</si>
  <si>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</si>
  <si>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</si>
  <si>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</si>
  <si>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</si>
  <si>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</si>
  <si>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</si>
  <si>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</si>
  <si>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</si>
  <si>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</si>
  <si>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</si>
  <si>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</si>
  <si>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</si>
  <si>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</si>
  <si>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</si>
  <si>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</si>
  <si>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</si>
  <si>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</si>
  <si>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</si>
  <si>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</si>
  <si>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</si>
  <si>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</si>
  <si>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</si>
  <si>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</si>
  <si>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</si>
  <si>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</si>
  <si>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</si>
  <si>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</si>
  <si>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</si>
  <si>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</si>
  <si>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</si>
  <si>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</si>
  <si>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</si>
  <si>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</si>
  <si>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</si>
  <si>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</si>
  <si>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</si>
  <si>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</si>
  <si>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</si>
  <si>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</si>
  <si>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</si>
  <si>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</si>
  <si>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</si>
  <si>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</si>
  <si>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</si>
  <si>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</si>
  <si>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</si>
  <si>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</si>
  <si>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</si>
  <si>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</si>
  <si>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</si>
  <si>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</si>
  <si>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</si>
  <si>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</si>
  <si>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</si>
  <si>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</si>
  <si>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</si>
  <si>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</si>
  <si>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</si>
  <si>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</si>
  <si>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</si>
  <si>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</si>
  <si>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</si>
  <si>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</si>
  <si>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</si>
  <si>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</si>
  <si>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</si>
  <si>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</si>
  <si>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</si>
  <si>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</si>
  <si>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</si>
  <si>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</si>
  <si>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</si>
  <si>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</si>
  <si>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</si>
  <si>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</si>
  <si>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</si>
  <si>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</si>
  <si>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</si>
  <si>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</si>
  <si>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</si>
  <si>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Shreeram Complex</t>
  </si>
  <si>
    <t>Zinal Builders And Developers</t>
  </si>
  <si>
    <t>P99000049212</t>
  </si>
  <si>
    <t>Gut No</t>
  </si>
  <si>
    <t>189(Part)</t>
  </si>
  <si>
    <t>Palghar</t>
  </si>
  <si>
    <t>Vinay Garden</t>
  </si>
  <si>
    <t>Open Plot</t>
  </si>
  <si>
    <t>Makane Kapase</t>
  </si>
  <si>
    <t>Collector Of Palghar</t>
  </si>
  <si>
    <t>Makane</t>
  </si>
  <si>
    <t>MHSL/K.1/MJ.1/BSP/SR/CR/76/2020</t>
  </si>
  <si>
    <t>MHSL/KS.1/T.1/NP/SR-76/2020</t>
  </si>
  <si>
    <t xml:space="preserve"> </t>
  </si>
  <si>
    <t>https://goo.gl/maps/vKLymJ39F8s7V5n26</t>
  </si>
  <si>
    <t>Saphale</t>
  </si>
  <si>
    <t>Internal Road</t>
  </si>
  <si>
    <t>05 Building</t>
  </si>
  <si>
    <t>Building.1 (Wing A)
Building.2 (Wing A &amp; B)
Building.3 (Wing A &amp; B)</t>
  </si>
  <si>
    <t>As per RERA - 31/12/2027</t>
  </si>
  <si>
    <t>Shop</t>
  </si>
  <si>
    <t>1BHK</t>
  </si>
  <si>
    <t>Ground/Stilt Floor For Part Residential</t>
  </si>
  <si>
    <t>Building. 1 = A Wing = Gr/Stilt + 1st to 7th Floor</t>
  </si>
  <si>
    <t>Building. 1</t>
  </si>
  <si>
    <t>Wing A</t>
  </si>
  <si>
    <t>1st to 7th Floor For Residential</t>
  </si>
  <si>
    <t>1RK</t>
  </si>
  <si>
    <t>-</t>
  </si>
  <si>
    <t>Parking</t>
  </si>
  <si>
    <t>Society Office &amp; Entrance Lobby</t>
  </si>
  <si>
    <t>1st to 5th Floor For Residential</t>
  </si>
  <si>
    <t>Wing B</t>
  </si>
  <si>
    <t>Ground/Stilt Floor For Residential, Society Office, Entrance Lobby &amp; Parking</t>
  </si>
  <si>
    <t>Ground/Stilt Floor For Residential, Entrance Lobby &amp; Parking</t>
  </si>
  <si>
    <t>Entrance Lobby &amp; Parking</t>
  </si>
  <si>
    <t>Building. 3</t>
  </si>
  <si>
    <t>We considered Gross carpet area = Net carpet + Balcony.</t>
  </si>
  <si>
    <t>2.4KM from Saphale Railway Station</t>
  </si>
  <si>
    <t>Building.1</t>
  </si>
  <si>
    <t>A Wing</t>
  </si>
  <si>
    <t>Building.2</t>
  </si>
  <si>
    <t>Building.3</t>
  </si>
  <si>
    <t>B Wing</t>
  </si>
  <si>
    <t>Flats - 168, Shops - 03</t>
  </si>
  <si>
    <t>Building. 2 = A &amp; B Wing = Gr/Stilt + 1st to 5th Floor</t>
  </si>
  <si>
    <t>Building. 3 = A &amp; B Wing = Gr/Stilt + 1st to 5th Floor</t>
  </si>
  <si>
    <t>Building. 1 = A Wing = Gr/Stilt + 1st to 7th Floor
Building. 2 = A &amp; B Wing = Gr/Stilt + 1st to 5th Floor
Building. 3 = A &amp; B Wing = Gr/Stilt + 1st to 5th Floor</t>
  </si>
  <si>
    <t>Approved Plans, CC, Sale Plans, Cost Sheet</t>
  </si>
  <si>
    <t>Sheet</t>
  </si>
  <si>
    <t>Kanti Atharv</t>
  </si>
  <si>
    <t xml:space="preserve">sanjay </t>
  </si>
  <si>
    <t>Society Formation &amp; maintanence Charges</t>
  </si>
  <si>
    <t>3500 to 3550 &amp; charges</t>
  </si>
  <si>
    <t>costsheet</t>
  </si>
  <si>
    <t>Office No. 1031, Wing J, Akshar Business Park, Plot No. 03 Sector 25, Near APMC Market, 
Vashi, Navi Mumbai, Maharashtra 400703 TEL: 022-46090378/79/8
E mail : vsjcapf@gmail.com. Web site : www.vsjadon.com</t>
  </si>
  <si>
    <t xml:space="preserve">1. Vitrified tiles flooring 2. Granite Kitchen Platform 3. Decorative Enternace etc.
</t>
  </si>
  <si>
    <t>Ground/Stilt Floor For Part Commercial, Society Office, 
Driver Room, Entrance Lobby &amp; Parking</t>
  </si>
  <si>
    <t>Building No. 1 work has not started; visitors by mistake gave the stages in their last visit (07/07/2023)</t>
  </si>
  <si>
    <t>Building 2</t>
  </si>
  <si>
    <t>3550 to 3700</t>
  </si>
  <si>
    <t>Trupti</t>
  </si>
  <si>
    <t>Verbal</t>
  </si>
  <si>
    <t>park by Bhargav 09/09/2024 verbal</t>
  </si>
  <si>
    <t>Recommended Rates / Other charges of the Property have been revised on 27/06/2023, 17/05/2024 &amp; 09/09/2024.</t>
  </si>
  <si>
    <t>Not sure about building number 1 please check during very visit. 13/09/2024</t>
  </si>
  <si>
    <t>Please check Building No. 1  photos</t>
  </si>
  <si>
    <t>Building. 2 = A Wing = Gr/Stilt + 1st to 5th Floor</t>
  </si>
  <si>
    <t>Pooja</t>
  </si>
  <si>
    <t>Yadnyesh Patil</t>
  </si>
  <si>
    <t>Ms. Vedika : 7020374419</t>
  </si>
  <si>
    <t>Bldg No. 1 = Construction work is in process at the time of Visit.
Bldg No. 2 (A &amp; B Wing) = All work Completed. Please provide OC.
Bldg No. 3 = All work Completed. Please provide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</si>
</sst>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1" xfId="0" applyFont="1" applyFill="1" applyBorder="1"/>
    <xf numFmtId="0" fontId="25" fillId="0" borderId="22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165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67" fontId="7" fillId="0" borderId="0" xfId="9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10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11" xfId="0" applyFont="1" applyFill="1" applyBorder="1"/>
    <xf numFmtId="0" fontId="25" fillId="0" borderId="7" xfId="0" applyFont="1" applyBorder="1"/>
    <xf numFmtId="0" fontId="7" fillId="0" borderId="12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3" borderId="6" xfId="0" applyNumberFormat="1" applyFont="1" applyFill="1" applyBorder="1" applyAlignment="1" applyProtection="1">
      <alignment vertical="top" wrapText="1"/>
      <protection locked="0"/>
    </xf>
    <xf numFmtId="1" fontId="8" fillId="3" borderId="17" xfId="0" applyNumberFormat="1" applyFont="1" applyFill="1" applyBorder="1" applyAlignment="1" applyProtection="1">
      <alignment vertical="top" wrapText="1"/>
      <protection locked="0"/>
    </xf>
    <xf numFmtId="1" fontId="8" fillId="3" borderId="7" xfId="0" applyNumberFormat="1" applyFont="1" applyFill="1" applyBorder="1" applyAlignment="1" applyProtection="1">
      <alignment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9" fontId="13" fillId="0" borderId="6" xfId="1" applyNumberFormat="1" applyFont="1" applyBorder="1" applyAlignment="1" applyProtection="1">
      <alignment horizontal="center" vertical="center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9" fontId="8" fillId="0" borderId="6" xfId="1" applyNumberFormat="1" applyFont="1" applyBorder="1" applyAlignment="1" applyProtection="1">
      <alignment horizontal="center"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 applyProtection="1">
      <alignment horizontal="center" vertical="top" wrapText="1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447262</xdr:colOff>
      <xdr:row>326</xdr:row>
      <xdr:rowOff>149085</xdr:rowOff>
    </xdr:from>
    <xdr:to>
      <xdr:col>6</xdr:col>
      <xdr:colOff>267405</xdr:colOff>
      <xdr:row>344</xdr:row>
      <xdr:rowOff>170997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262" y="68174150"/>
          <a:ext cx="3969730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265042</xdr:colOff>
      <xdr:row>368</xdr:row>
      <xdr:rowOff>57974</xdr:rowOff>
    </xdr:from>
    <xdr:to>
      <xdr:col>6</xdr:col>
      <xdr:colOff>476264</xdr:colOff>
      <xdr:row>382</xdr:row>
      <xdr:rowOff>155016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7042" y="76431909"/>
          <a:ext cx="436080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248476</xdr:colOff>
      <xdr:row>383</xdr:row>
      <xdr:rowOff>84087</xdr:rowOff>
    </xdr:from>
    <xdr:to>
      <xdr:col>6</xdr:col>
      <xdr:colOff>471358</xdr:colOff>
      <xdr:row>397</xdr:row>
      <xdr:rowOff>181130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0476" y="68713783"/>
          <a:ext cx="437246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554934</xdr:colOff>
      <xdr:row>389</xdr:row>
      <xdr:rowOff>115956</xdr:rowOff>
    </xdr:from>
    <xdr:to>
      <xdr:col>5</xdr:col>
      <xdr:colOff>115956</xdr:colOff>
      <xdr:row>391</xdr:row>
      <xdr:rowOff>74542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965173" y="69938347"/>
          <a:ext cx="1283805" cy="356152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13</xdr:col>
      <xdr:colOff>832774</xdr:colOff>
      <xdr:row>249</xdr:row>
      <xdr:rowOff>0</xdr:rowOff>
    </xdr:from>
    <xdr:ext cx="64601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7074" y="49383950"/>
          <a:ext cx="646011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3A &amp; 3B</a:t>
          </a:r>
        </a:p>
      </xdr:txBody>
    </xdr:sp>
    <xdr:clientData/>
  </xdr:oneCellAnchor>
  <xdr:oneCellAnchor>
    <xdr:from>
      <xdr:col>11</xdr:col>
      <xdr:colOff>338160</xdr:colOff>
      <xdr:row>251</xdr:row>
      <xdr:rowOff>85725</xdr:rowOff>
    </xdr:from>
    <xdr:ext cx="332912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853635" y="50758725"/>
          <a:ext cx="33291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2B</a:t>
          </a:r>
        </a:p>
      </xdr:txBody>
    </xdr:sp>
    <xdr:clientData/>
  </xdr:oneCellAnchor>
  <xdr:oneCellAnchor>
    <xdr:from>
      <xdr:col>11</xdr:col>
      <xdr:colOff>300060</xdr:colOff>
      <xdr:row>254</xdr:row>
      <xdr:rowOff>115963</xdr:rowOff>
    </xdr:from>
    <xdr:ext cx="332912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815535" y="51379513"/>
          <a:ext cx="33291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3B</a:t>
          </a:r>
        </a:p>
      </xdr:txBody>
    </xdr:sp>
    <xdr:clientData/>
  </xdr:oneCellAnchor>
  <xdr:twoCellAnchor>
    <xdr:from>
      <xdr:col>10</xdr:col>
      <xdr:colOff>616599</xdr:colOff>
      <xdr:row>260</xdr:row>
      <xdr:rowOff>135939</xdr:rowOff>
    </xdr:from>
    <xdr:to>
      <xdr:col>12</xdr:col>
      <xdr:colOff>495770</xdr:colOff>
      <xdr:row>262</xdr:row>
      <xdr:rowOff>6799</xdr:rowOff>
    </xdr:to>
    <xdr:sp macro="" textlink="">
      <xdr:nvSpPr>
        <xdr:cNvPr id="66" name="TextBox 3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811399" y="51653489"/>
          <a:ext cx="1504771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Bldg No.2 (A &amp; B Wing)</a:t>
          </a:r>
        </a:p>
      </xdr:txBody>
    </xdr:sp>
    <xdr:clientData/>
  </xdr:twoCellAnchor>
  <xdr:twoCellAnchor>
    <xdr:from>
      <xdr:col>8</xdr:col>
      <xdr:colOff>162490</xdr:colOff>
      <xdr:row>260</xdr:row>
      <xdr:rowOff>190500</xdr:rowOff>
    </xdr:from>
    <xdr:to>
      <xdr:col>9</xdr:col>
      <xdr:colOff>71629</xdr:colOff>
      <xdr:row>262</xdr:row>
      <xdr:rowOff>61360</xdr:rowOff>
    </xdr:to>
    <xdr:sp macro="" textlink="">
      <xdr:nvSpPr>
        <xdr:cNvPr id="67" name="TextBox 3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918890" y="51708050"/>
          <a:ext cx="1268039" cy="2645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Bldg No.1 (A Wing)</a:t>
          </a:r>
        </a:p>
      </xdr:txBody>
    </xdr:sp>
    <xdr:clientData/>
  </xdr:twoCellAnchor>
  <xdr:twoCellAnchor>
    <xdr:from>
      <xdr:col>11</xdr:col>
      <xdr:colOff>485860</xdr:colOff>
      <xdr:row>272</xdr:row>
      <xdr:rowOff>42799</xdr:rowOff>
    </xdr:from>
    <xdr:to>
      <xdr:col>12</xdr:col>
      <xdr:colOff>327109</xdr:colOff>
      <xdr:row>276</xdr:row>
      <xdr:rowOff>36639</xdr:rowOff>
    </xdr:to>
    <xdr:sp macro="" textlink="">
      <xdr:nvSpPr>
        <xdr:cNvPr id="68" name="TextBox 4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69660" y="53922549"/>
          <a:ext cx="577849" cy="7812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Bldg No.3 (A &amp; B Wing)</a:t>
          </a:r>
        </a:p>
      </xdr:txBody>
    </xdr:sp>
    <xdr:clientData/>
  </xdr:twoCellAnchor>
  <xdr:twoCellAnchor>
    <xdr:from>
      <xdr:col>12</xdr:col>
      <xdr:colOff>483481</xdr:colOff>
      <xdr:row>272</xdr:row>
      <xdr:rowOff>30099</xdr:rowOff>
    </xdr:from>
    <xdr:to>
      <xdr:col>13</xdr:col>
      <xdr:colOff>235830</xdr:colOff>
      <xdr:row>276</xdr:row>
      <xdr:rowOff>23939</xdr:rowOff>
    </xdr:to>
    <xdr:sp macro="" textlink="">
      <xdr:nvSpPr>
        <xdr:cNvPr id="69" name="TextBox 4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1303881" y="53909849"/>
          <a:ext cx="577849" cy="78124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Bldg No.3 (A &amp; B Wing)</a:t>
          </a:r>
        </a:p>
      </xdr:txBody>
    </xdr:sp>
    <xdr:clientData/>
  </xdr:twoCellAnchor>
  <xdr:twoCellAnchor>
    <xdr:from>
      <xdr:col>0</xdr:col>
      <xdr:colOff>101600</xdr:colOff>
      <xdr:row>250</xdr:row>
      <xdr:rowOff>69850</xdr:rowOff>
    </xdr:from>
    <xdr:to>
      <xdr:col>7</xdr:col>
      <xdr:colOff>690691</xdr:colOff>
      <xdr:row>291</xdr:row>
      <xdr:rowOff>57150</xdr:rowOff>
    </xdr:to>
    <xdr:grpSp>
      <xdr:nvGrpSpPr>
        <xdr:cNvPr id="3" name="Group 2"/>
        <xdr:cNvGrpSpPr/>
      </xdr:nvGrpSpPr>
      <xdr:grpSpPr>
        <a:xfrm>
          <a:off x="101600" y="48113950"/>
          <a:ext cx="6564441" cy="8051800"/>
          <a:chOff x="101600" y="48113950"/>
          <a:chExt cx="6564441" cy="8051800"/>
        </a:xfrm>
      </xdr:grpSpPr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9188" y="48113950"/>
            <a:ext cx="2736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6747" y="50272750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50276038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3619" y="48113950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050" y="48113950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7041" y="50272750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4334" y="52440361"/>
            <a:ext cx="135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894" y="50272750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79075" y="52433785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83816" y="52433785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7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523150" y="49695100"/>
            <a:ext cx="1268039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No.1 (A Wing)</a:t>
            </a:r>
          </a:p>
        </xdr:txBody>
      </xdr:sp>
      <xdr:sp macro="" textlink="">
        <xdr:nvSpPr>
          <xdr:cNvPr id="58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2138869" y="49784000"/>
            <a:ext cx="1268039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No.1 (A Wing)</a:t>
            </a:r>
          </a:p>
        </xdr:txBody>
      </xdr:sp>
      <xdr:sp macro="" textlink="">
        <xdr:nvSpPr>
          <xdr:cNvPr id="59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4440388" y="49523650"/>
            <a:ext cx="1268039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No.1 (A Wing)</a:t>
            </a:r>
          </a:p>
        </xdr:txBody>
      </xdr:sp>
      <xdr:sp macro="" textlink="">
        <xdr:nvSpPr>
          <xdr:cNvPr id="60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222250" y="52003238"/>
            <a:ext cx="1268039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No.1 (A Wing)</a:t>
            </a:r>
          </a:p>
        </xdr:txBody>
      </xdr:sp>
      <xdr:sp macro="" textlink="">
        <xdr:nvSpPr>
          <xdr:cNvPr id="61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1871997" y="51841200"/>
            <a:ext cx="1268039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No.1 (A Wing)</a:t>
            </a:r>
          </a:p>
        </xdr:txBody>
      </xdr:sp>
      <xdr:sp macro="" textlink="">
        <xdr:nvSpPr>
          <xdr:cNvPr id="78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4417095" y="50406100"/>
            <a:ext cx="707356" cy="43678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79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5215941" y="50602950"/>
            <a:ext cx="707356" cy="43678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80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224334" y="52440361"/>
            <a:ext cx="707356" cy="43678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81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2390274" y="52516335"/>
            <a:ext cx="949825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82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5117266" y="53722835"/>
            <a:ext cx="83903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No.3</a:t>
            </a:r>
          </a:p>
        </xdr:txBody>
      </xdr:sp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8229" y="54349650"/>
            <a:ext cx="1512000" cy="18161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0836" y="54349650"/>
            <a:ext cx="1512000" cy="18161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3443" y="54349650"/>
            <a:ext cx="1512000" cy="18161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54349650"/>
            <a:ext cx="1512000" cy="18161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7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3865336" y="55670450"/>
            <a:ext cx="83903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  <xdr:sp macro="" textlink="">
        <xdr:nvSpPr>
          <xdr:cNvPr id="88" name="TextBox 3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5528129" y="55816500"/>
            <a:ext cx="839034" cy="26456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Bldg No.2</a:t>
            </a:r>
          </a:p>
        </xdr:txBody>
      </xdr:sp>
    </xdr:grpSp>
    <xdr:clientData/>
  </xdr:twoCellAnchor>
  <xdr:twoCellAnchor>
    <xdr:from>
      <xdr:col>0</xdr:col>
      <xdr:colOff>374650</xdr:colOff>
      <xdr:row>293</xdr:row>
      <xdr:rowOff>88900</xdr:rowOff>
    </xdr:from>
    <xdr:to>
      <xdr:col>7</xdr:col>
      <xdr:colOff>276884</xdr:colOff>
      <xdr:row>304</xdr:row>
      <xdr:rowOff>83550</xdr:rowOff>
    </xdr:to>
    <xdr:grpSp>
      <xdr:nvGrpSpPr>
        <xdr:cNvPr id="4" name="Group 3"/>
        <xdr:cNvGrpSpPr/>
      </xdr:nvGrpSpPr>
      <xdr:grpSpPr>
        <a:xfrm>
          <a:off x="374650" y="56591200"/>
          <a:ext cx="5877584" cy="2160000"/>
          <a:chOff x="374650" y="56591200"/>
          <a:chExt cx="5877584" cy="2160000"/>
        </a:xfrm>
      </xdr:grpSpPr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66161" y="5659120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56591200"/>
            <a:ext cx="2345438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2" name="Picture 91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32234" y="5659120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KLymJ39F8s7V5n2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12"/>
  <sheetViews>
    <sheetView tabSelected="1" view="pageBreakPreview" zoomScaleNormal="100" zoomScaleSheetLayoutView="100" workbookViewId="0">
      <selection activeCell="E8" sqref="E8:H8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1.1796875" style="39" customWidth="1"/>
    <col min="9" max="9" width="19.453125" style="20" customWidth="1"/>
    <col min="10" max="10" width="15.453125" style="20" customWidth="1"/>
    <col min="11" max="11" width="12.7265625" style="20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9" ht="46.5" customHeight="1" x14ac:dyDescent="0.35">
      <c r="A1" s="160" t="s">
        <v>231</v>
      </c>
      <c r="B1" s="160"/>
      <c r="C1" s="160"/>
      <c r="D1" s="160"/>
      <c r="E1" s="160"/>
      <c r="F1" s="160"/>
      <c r="G1" s="160"/>
      <c r="H1" s="160"/>
    </row>
    <row r="2" spans="1:9" ht="16.5" customHeight="1" x14ac:dyDescent="0.35">
      <c r="A2" s="108" t="s">
        <v>0</v>
      </c>
      <c r="B2" s="108"/>
      <c r="C2" s="108"/>
      <c r="D2" s="108"/>
      <c r="E2" s="108"/>
      <c r="F2" s="108"/>
      <c r="G2" s="108"/>
      <c r="H2" s="108"/>
    </row>
    <row r="3" spans="1:9" x14ac:dyDescent="0.35">
      <c r="A3" s="129" t="s">
        <v>1</v>
      </c>
      <c r="B3" s="129"/>
      <c r="C3" s="129"/>
      <c r="D3" s="129"/>
      <c r="E3" s="129" t="str">
        <f ca="1">TEXT(TODAY(),"DD/MM/YYYY")</f>
        <v>04/08/2025</v>
      </c>
      <c r="F3" s="129"/>
      <c r="G3" s="129"/>
      <c r="H3" s="129"/>
    </row>
    <row r="4" spans="1:9" ht="15" customHeight="1" x14ac:dyDescent="0.35">
      <c r="A4" s="129" t="s">
        <v>2</v>
      </c>
      <c r="B4" s="129"/>
      <c r="C4" s="129"/>
      <c r="D4" s="129"/>
      <c r="E4" s="129" t="s">
        <v>175</v>
      </c>
      <c r="F4" s="129"/>
      <c r="G4" s="129"/>
      <c r="H4" s="129"/>
    </row>
    <row r="5" spans="1:9" x14ac:dyDescent="0.35">
      <c r="A5" s="129" t="s">
        <v>3</v>
      </c>
      <c r="B5" s="129"/>
      <c r="C5" s="129"/>
      <c r="D5" s="129"/>
      <c r="E5" s="162">
        <v>45871</v>
      </c>
      <c r="F5" s="129"/>
      <c r="G5" s="129"/>
      <c r="H5" s="129"/>
    </row>
    <row r="6" spans="1:9" ht="16.5" customHeight="1" x14ac:dyDescent="0.35">
      <c r="A6" s="129" t="s">
        <v>4</v>
      </c>
      <c r="B6" s="129"/>
      <c r="C6" s="129"/>
      <c r="D6" s="129"/>
      <c r="E6" s="129" t="s">
        <v>177</v>
      </c>
      <c r="F6" s="129"/>
      <c r="G6" s="129"/>
      <c r="H6" s="129"/>
    </row>
    <row r="7" spans="1:9" ht="15" customHeight="1" x14ac:dyDescent="0.35">
      <c r="A7" s="129" t="s">
        <v>5</v>
      </c>
      <c r="B7" s="129"/>
      <c r="C7" s="129"/>
      <c r="D7" s="129"/>
      <c r="E7" s="129" t="str">
        <f>E6</f>
        <v>Zinal Builders And Developers</v>
      </c>
      <c r="F7" s="129"/>
      <c r="G7" s="129"/>
      <c r="H7" s="129"/>
    </row>
    <row r="8" spans="1:9" x14ac:dyDescent="0.35">
      <c r="A8" s="129" t="s">
        <v>6</v>
      </c>
      <c r="B8" s="129"/>
      <c r="C8" s="129"/>
      <c r="D8" s="129"/>
      <c r="E8" s="161" t="s">
        <v>176</v>
      </c>
      <c r="F8" s="161"/>
      <c r="G8" s="161"/>
      <c r="H8" s="161"/>
    </row>
    <row r="9" spans="1:9" x14ac:dyDescent="0.35">
      <c r="A9" s="129" t="s">
        <v>172</v>
      </c>
      <c r="B9" s="129"/>
      <c r="C9" s="129"/>
      <c r="D9" s="129"/>
      <c r="E9" s="129">
        <v>9860381124</v>
      </c>
      <c r="F9" s="129"/>
      <c r="G9" s="129"/>
      <c r="H9" s="129"/>
    </row>
    <row r="10" spans="1:9" x14ac:dyDescent="0.35">
      <c r="A10" s="129" t="s">
        <v>173</v>
      </c>
      <c r="B10" s="129"/>
      <c r="C10" s="129"/>
      <c r="D10" s="129"/>
      <c r="E10" s="129" t="s">
        <v>246</v>
      </c>
      <c r="F10" s="129"/>
      <c r="G10" s="129"/>
      <c r="H10" s="129"/>
    </row>
    <row r="11" spans="1:9" ht="48.75" customHeight="1" x14ac:dyDescent="0.35">
      <c r="A11" s="129" t="s">
        <v>7</v>
      </c>
      <c r="B11" s="129"/>
      <c r="C11" s="129"/>
      <c r="D11" s="129"/>
      <c r="E11" s="106" t="s">
        <v>194</v>
      </c>
      <c r="F11" s="129"/>
      <c r="G11" s="129"/>
      <c r="H11" s="129"/>
      <c r="I11" s="20" t="s">
        <v>242</v>
      </c>
    </row>
    <row r="12" spans="1:9" x14ac:dyDescent="0.35">
      <c r="A12" s="105" t="s">
        <v>8</v>
      </c>
      <c r="B12" s="105"/>
      <c r="C12" s="105"/>
      <c r="D12" s="105"/>
      <c r="E12" s="106" t="s">
        <v>224</v>
      </c>
      <c r="F12" s="106"/>
      <c r="G12" s="106"/>
      <c r="H12" s="106"/>
    </row>
    <row r="13" spans="1:9" x14ac:dyDescent="0.35">
      <c r="A13" s="105" t="s">
        <v>9</v>
      </c>
      <c r="B13" s="105"/>
      <c r="C13" s="105"/>
      <c r="D13" s="105"/>
      <c r="E13" s="106" t="s">
        <v>178</v>
      </c>
      <c r="F13" s="129"/>
      <c r="G13" s="129"/>
      <c r="H13" s="129"/>
    </row>
    <row r="14" spans="1:9" ht="35.25" customHeight="1" x14ac:dyDescent="0.35">
      <c r="A14" s="107" t="s">
        <v>10</v>
      </c>
      <c r="B14" s="107"/>
      <c r="C14" s="10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Shreeram Complex, Gut No.189(Part), near Vinay Garden, Internal Road, Makane Kapase, Makane, Saphale, Palghar, Palghar - 401102.</v>
      </c>
      <c r="D14" s="107"/>
      <c r="E14" s="107"/>
      <c r="F14" s="107"/>
      <c r="G14" s="107"/>
      <c r="H14" s="107"/>
    </row>
    <row r="15" spans="1:9" x14ac:dyDescent="0.35">
      <c r="A15" s="106" t="s">
        <v>179</v>
      </c>
      <c r="B15" s="106"/>
      <c r="C15" s="106" t="s">
        <v>180</v>
      </c>
      <c r="D15" s="106"/>
      <c r="E15" s="106"/>
      <c r="F15" s="106"/>
      <c r="G15" s="106"/>
      <c r="H15" s="106"/>
    </row>
    <row r="16" spans="1:9" ht="15.75" customHeight="1" x14ac:dyDescent="0.35">
      <c r="A16" s="106" t="s">
        <v>171</v>
      </c>
      <c r="B16" s="106"/>
      <c r="C16" s="106" t="s">
        <v>184</v>
      </c>
      <c r="D16" s="106"/>
      <c r="E16" s="106"/>
      <c r="F16" s="106"/>
      <c r="G16" s="106"/>
      <c r="H16" s="106"/>
    </row>
    <row r="17" spans="1:8" ht="15.75" customHeight="1" x14ac:dyDescent="0.35">
      <c r="A17" s="107" t="s">
        <v>11</v>
      </c>
      <c r="B17" s="107"/>
      <c r="C17" s="129" t="s">
        <v>192</v>
      </c>
      <c r="D17" s="129"/>
      <c r="E17" s="107" t="s">
        <v>77</v>
      </c>
      <c r="F17" s="107"/>
      <c r="G17" s="106" t="s">
        <v>186</v>
      </c>
      <c r="H17" s="106"/>
    </row>
    <row r="18" spans="1:8" x14ac:dyDescent="0.35">
      <c r="A18" s="105" t="s">
        <v>13</v>
      </c>
      <c r="B18" s="105"/>
      <c r="C18" s="106" t="s">
        <v>191</v>
      </c>
      <c r="D18" s="106"/>
      <c r="E18" s="107" t="s">
        <v>12</v>
      </c>
      <c r="F18" s="107"/>
      <c r="G18" s="163" t="s">
        <v>181</v>
      </c>
      <c r="H18" s="163"/>
    </row>
    <row r="19" spans="1:8" x14ac:dyDescent="0.35">
      <c r="A19" s="105" t="s">
        <v>78</v>
      </c>
      <c r="B19" s="105"/>
      <c r="C19" s="106" t="s">
        <v>181</v>
      </c>
      <c r="D19" s="106"/>
      <c r="E19" s="107" t="s">
        <v>14</v>
      </c>
      <c r="F19" s="107"/>
      <c r="G19" s="106">
        <v>401102</v>
      </c>
      <c r="H19" s="106"/>
    </row>
    <row r="20" spans="1:8" ht="32.25" customHeight="1" x14ac:dyDescent="0.35">
      <c r="A20" s="105" t="s">
        <v>128</v>
      </c>
      <c r="B20" s="105"/>
      <c r="C20" s="106" t="s">
        <v>182</v>
      </c>
      <c r="D20" s="106"/>
      <c r="E20" s="107" t="s">
        <v>15</v>
      </c>
      <c r="F20" s="107"/>
      <c r="G20" s="106" t="s">
        <v>214</v>
      </c>
      <c r="H20" s="106"/>
    </row>
    <row r="21" spans="1:8" ht="15" customHeight="1" x14ac:dyDescent="0.35">
      <c r="A21" s="107" t="s">
        <v>81</v>
      </c>
      <c r="B21" s="107"/>
      <c r="C21" s="107"/>
      <c r="D21" s="107"/>
      <c r="E21" s="129" t="s">
        <v>16</v>
      </c>
      <c r="F21" s="129"/>
      <c r="G21" s="129"/>
      <c r="H21" s="129"/>
    </row>
    <row r="22" spans="1:8" ht="18.75" customHeight="1" x14ac:dyDescent="0.35">
      <c r="A22" s="107"/>
      <c r="B22" s="107"/>
      <c r="C22" s="107"/>
      <c r="D22" s="107"/>
      <c r="E22" s="129"/>
      <c r="F22" s="129"/>
      <c r="G22" s="129"/>
      <c r="H22" s="129"/>
    </row>
    <row r="23" spans="1:8" ht="15" customHeight="1" x14ac:dyDescent="0.35">
      <c r="A23" s="107" t="s">
        <v>17</v>
      </c>
      <c r="B23" s="107"/>
      <c r="C23" s="107"/>
      <c r="D23" s="107"/>
      <c r="E23" s="106" t="s">
        <v>18</v>
      </c>
      <c r="F23" s="106"/>
      <c r="G23" s="106"/>
      <c r="H23" s="106"/>
    </row>
    <row r="24" spans="1:8" ht="15" customHeight="1" x14ac:dyDescent="0.35">
      <c r="A24" s="105" t="s">
        <v>19</v>
      </c>
      <c r="B24" s="105"/>
      <c r="C24" s="105"/>
      <c r="D24" s="105"/>
      <c r="E24" s="106" t="str">
        <f>IF(AND(G18="Mumbai"),"Upper Class","Middle Class")</f>
        <v>Middle Class</v>
      </c>
      <c r="F24" s="106"/>
      <c r="G24" s="106"/>
      <c r="H24" s="106"/>
    </row>
    <row r="25" spans="1:8" x14ac:dyDescent="0.35">
      <c r="A25" s="105" t="s">
        <v>20</v>
      </c>
      <c r="B25" s="105"/>
      <c r="C25" s="105"/>
      <c r="D25" s="105"/>
      <c r="E25" s="106" t="s">
        <v>21</v>
      </c>
      <c r="F25" s="106"/>
      <c r="G25" s="106"/>
      <c r="H25" s="106"/>
    </row>
    <row r="26" spans="1:8" ht="15.75" customHeight="1" x14ac:dyDescent="0.35">
      <c r="A26" s="105" t="s">
        <v>22</v>
      </c>
      <c r="B26" s="105"/>
      <c r="C26" s="105"/>
      <c r="D26" s="105"/>
      <c r="E26" s="106" t="str">
        <f>IF(AND(G18="Mumbai"),"Developed","Developing")</f>
        <v>Developing</v>
      </c>
      <c r="F26" s="106"/>
      <c r="G26" s="106"/>
      <c r="H26" s="106"/>
    </row>
    <row r="27" spans="1:8" x14ac:dyDescent="0.35">
      <c r="A27" s="105" t="s">
        <v>23</v>
      </c>
      <c r="B27" s="105"/>
      <c r="C27" s="105"/>
      <c r="D27" s="105"/>
      <c r="E27" s="106" t="s">
        <v>24</v>
      </c>
      <c r="F27" s="106"/>
      <c r="G27" s="106"/>
      <c r="H27" s="106"/>
    </row>
    <row r="28" spans="1:8" ht="15.75" customHeight="1" x14ac:dyDescent="0.35">
      <c r="A28" s="105" t="s">
        <v>86</v>
      </c>
      <c r="B28" s="105"/>
      <c r="C28" s="105"/>
      <c r="D28" s="105"/>
      <c r="E28" s="106" t="s">
        <v>87</v>
      </c>
      <c r="F28" s="106"/>
      <c r="G28" s="106"/>
      <c r="H28" s="106"/>
    </row>
    <row r="29" spans="1:8" ht="15" customHeight="1" x14ac:dyDescent="0.35">
      <c r="A29" s="105" t="s">
        <v>35</v>
      </c>
      <c r="B29" s="105"/>
      <c r="C29" s="105"/>
      <c r="D29" s="105"/>
      <c r="E29" s="10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6"/>
      <c r="G29" s="106"/>
      <c r="H29" s="106"/>
    </row>
    <row r="30" spans="1:8" ht="15.75" customHeight="1" x14ac:dyDescent="0.35">
      <c r="A30" s="105" t="s">
        <v>98</v>
      </c>
      <c r="B30" s="105"/>
      <c r="C30" s="105"/>
      <c r="D30" s="105"/>
      <c r="E30" s="106" t="s">
        <v>36</v>
      </c>
      <c r="F30" s="106"/>
      <c r="G30" s="106"/>
      <c r="H30" s="106"/>
    </row>
    <row r="31" spans="1:8" s="21" customFormat="1" x14ac:dyDescent="0.35">
      <c r="A31" s="167" t="s">
        <v>99</v>
      </c>
      <c r="B31" s="167"/>
      <c r="C31" s="166" t="s">
        <v>29</v>
      </c>
      <c r="D31" s="166"/>
      <c r="E31" s="166"/>
      <c r="F31" s="166" t="s">
        <v>31</v>
      </c>
      <c r="G31" s="166"/>
      <c r="H31" s="166"/>
    </row>
    <row r="32" spans="1:8" s="21" customFormat="1" x14ac:dyDescent="0.35">
      <c r="A32" s="164" t="s">
        <v>25</v>
      </c>
      <c r="B32" s="164" t="s">
        <v>30</v>
      </c>
      <c r="C32" s="165" t="s">
        <v>30</v>
      </c>
      <c r="D32" s="165"/>
      <c r="E32" s="165"/>
      <c r="F32" s="165" t="s">
        <v>183</v>
      </c>
      <c r="G32" s="165"/>
      <c r="H32" s="165"/>
    </row>
    <row r="33" spans="1:8" x14ac:dyDescent="0.35">
      <c r="A33" s="164" t="s">
        <v>26</v>
      </c>
      <c r="B33" s="164" t="s">
        <v>30</v>
      </c>
      <c r="C33" s="165" t="s">
        <v>30</v>
      </c>
      <c r="D33" s="165"/>
      <c r="E33" s="165"/>
      <c r="F33" s="165" t="s">
        <v>183</v>
      </c>
      <c r="G33" s="165"/>
      <c r="H33" s="165"/>
    </row>
    <row r="34" spans="1:8" s="21" customFormat="1" x14ac:dyDescent="0.35">
      <c r="A34" s="164" t="s">
        <v>28</v>
      </c>
      <c r="B34" s="164" t="s">
        <v>30</v>
      </c>
      <c r="C34" s="165" t="s">
        <v>30</v>
      </c>
      <c r="D34" s="165"/>
      <c r="E34" s="165"/>
      <c r="F34" s="165" t="s">
        <v>183</v>
      </c>
      <c r="G34" s="165"/>
      <c r="H34" s="165"/>
    </row>
    <row r="35" spans="1:8" x14ac:dyDescent="0.35">
      <c r="A35" s="164" t="s">
        <v>27</v>
      </c>
      <c r="B35" s="164" t="s">
        <v>30</v>
      </c>
      <c r="C35" s="165" t="s">
        <v>30</v>
      </c>
      <c r="D35" s="165"/>
      <c r="E35" s="165"/>
      <c r="F35" s="165" t="s">
        <v>183</v>
      </c>
      <c r="G35" s="165"/>
      <c r="H35" s="165"/>
    </row>
    <row r="36" spans="1:8" x14ac:dyDescent="0.35">
      <c r="A36" s="105" t="s">
        <v>32</v>
      </c>
      <c r="B36" s="105"/>
      <c r="C36" s="105"/>
      <c r="D36" s="105"/>
      <c r="E36" s="105"/>
      <c r="F36" s="105"/>
      <c r="G36" s="105"/>
      <c r="H36" s="105"/>
    </row>
    <row r="37" spans="1:8" ht="15.75" customHeight="1" x14ac:dyDescent="0.35">
      <c r="A37" s="108" t="s">
        <v>33</v>
      </c>
      <c r="B37" s="108"/>
      <c r="C37" s="170">
        <v>19.568297000000001</v>
      </c>
      <c r="D37" s="170"/>
      <c r="E37" s="108" t="s">
        <v>34</v>
      </c>
      <c r="F37" s="108"/>
      <c r="G37" s="171">
        <v>72.805380999999997</v>
      </c>
      <c r="H37" s="171"/>
    </row>
    <row r="38" spans="1:8" x14ac:dyDescent="0.35">
      <c r="A38" s="108" t="s">
        <v>170</v>
      </c>
      <c r="B38" s="108"/>
      <c r="C38" s="172" t="s">
        <v>190</v>
      </c>
      <c r="D38" s="106"/>
      <c r="E38" s="106"/>
      <c r="F38" s="106"/>
      <c r="G38" s="106"/>
      <c r="H38" s="106"/>
    </row>
    <row r="39" spans="1:8" x14ac:dyDescent="0.35">
      <c r="A39" s="169" t="s">
        <v>37</v>
      </c>
      <c r="B39" s="169"/>
      <c r="C39" s="169"/>
      <c r="D39" s="169"/>
      <c r="E39" s="169"/>
      <c r="F39" s="169"/>
      <c r="G39" s="169"/>
      <c r="H39" s="169"/>
    </row>
    <row r="40" spans="1:8" x14ac:dyDescent="0.35">
      <c r="A40" s="105" t="s">
        <v>38</v>
      </c>
      <c r="B40" s="105"/>
      <c r="C40" s="105"/>
      <c r="D40" s="105"/>
      <c r="E40" s="168">
        <v>2966.98</v>
      </c>
      <c r="F40" s="168"/>
      <c r="G40" s="168"/>
      <c r="H40" s="168"/>
    </row>
    <row r="41" spans="1:8" x14ac:dyDescent="0.35">
      <c r="A41" s="105" t="s">
        <v>39</v>
      </c>
      <c r="B41" s="105"/>
      <c r="C41" s="105"/>
      <c r="D41" s="105"/>
      <c r="E41" s="123">
        <v>1.1000000000000001</v>
      </c>
      <c r="F41" s="123"/>
      <c r="G41" s="123"/>
      <c r="H41" s="123"/>
    </row>
    <row r="42" spans="1:8" x14ac:dyDescent="0.35">
      <c r="A42" s="105" t="s">
        <v>40</v>
      </c>
      <c r="B42" s="105"/>
      <c r="C42" s="105"/>
      <c r="D42" s="105"/>
      <c r="E42" s="123">
        <f>E44/E40-E41</f>
        <v>1.109522814444317</v>
      </c>
      <c r="F42" s="123"/>
      <c r="G42" s="123"/>
      <c r="H42" s="123"/>
    </row>
    <row r="43" spans="1:8" x14ac:dyDescent="0.35">
      <c r="A43" s="105" t="s">
        <v>41</v>
      </c>
      <c r="B43" s="105"/>
      <c r="C43" s="105"/>
      <c r="D43" s="105"/>
      <c r="E43" s="123">
        <f>E41+E42</f>
        <v>2.2095228144443171</v>
      </c>
      <c r="F43" s="123"/>
      <c r="G43" s="123"/>
      <c r="H43" s="123"/>
    </row>
    <row r="44" spans="1:8" x14ac:dyDescent="0.35">
      <c r="A44" s="105" t="s">
        <v>97</v>
      </c>
      <c r="B44" s="105"/>
      <c r="C44" s="105"/>
      <c r="D44" s="105"/>
      <c r="E44" s="182">
        <v>6555.61</v>
      </c>
      <c r="F44" s="182"/>
      <c r="G44" s="182"/>
      <c r="H44" s="182"/>
    </row>
    <row r="45" spans="1:8" x14ac:dyDescent="0.35">
      <c r="A45" s="129" t="s">
        <v>42</v>
      </c>
      <c r="B45" s="129"/>
      <c r="C45" s="129"/>
      <c r="D45" s="129"/>
      <c r="E45" s="129" t="s">
        <v>193</v>
      </c>
      <c r="F45" s="129"/>
      <c r="G45" s="129"/>
      <c r="H45" s="129"/>
    </row>
    <row r="46" spans="1:8" x14ac:dyDescent="0.35">
      <c r="A46" s="169" t="s">
        <v>43</v>
      </c>
      <c r="B46" s="169"/>
      <c r="C46" s="169"/>
      <c r="D46" s="169"/>
      <c r="E46" s="169"/>
      <c r="F46" s="169"/>
      <c r="G46" s="169"/>
      <c r="H46" s="169"/>
    </row>
    <row r="47" spans="1:8" ht="33.75" customHeight="1" x14ac:dyDescent="0.35">
      <c r="A47" s="126" t="s">
        <v>157</v>
      </c>
      <c r="B47" s="128"/>
      <c r="C47" s="136" t="s">
        <v>185</v>
      </c>
      <c r="D47" s="137"/>
      <c r="E47" s="137"/>
      <c r="F47" s="137"/>
      <c r="G47" s="137"/>
      <c r="H47" s="138"/>
    </row>
    <row r="48" spans="1:8" ht="15.75" customHeight="1" x14ac:dyDescent="0.35">
      <c r="A48" s="126" t="s">
        <v>44</v>
      </c>
      <c r="B48" s="128"/>
      <c r="C48" s="126" t="s">
        <v>187</v>
      </c>
      <c r="D48" s="127"/>
      <c r="E48" s="128"/>
      <c r="F48" s="18" t="s">
        <v>45</v>
      </c>
      <c r="G48" s="124">
        <v>44824</v>
      </c>
      <c r="H48" s="128"/>
    </row>
    <row r="49" spans="1:14" x14ac:dyDescent="0.35">
      <c r="A49" s="126" t="s">
        <v>46</v>
      </c>
      <c r="B49" s="128"/>
      <c r="C49" s="126" t="str">
        <f>C48</f>
        <v>MHSL/K.1/MJ.1/BSP/SR/CR/76/2020</v>
      </c>
      <c r="D49" s="127"/>
      <c r="E49" s="128"/>
      <c r="F49" s="18" t="s">
        <v>45</v>
      </c>
      <c r="G49" s="124">
        <f>G48</f>
        <v>44824</v>
      </c>
      <c r="H49" s="125"/>
    </row>
    <row r="50" spans="1:14" s="22" customFormat="1" ht="15.75" customHeight="1" x14ac:dyDescent="0.35">
      <c r="A50" s="178" t="s">
        <v>161</v>
      </c>
      <c r="B50" s="179"/>
      <c r="C50" s="126" t="s">
        <v>188</v>
      </c>
      <c r="D50" s="127"/>
      <c r="E50" s="128"/>
      <c r="F50" s="18" t="s">
        <v>45</v>
      </c>
      <c r="G50" s="124">
        <f>G49</f>
        <v>44824</v>
      </c>
      <c r="H50" s="125"/>
    </row>
    <row r="51" spans="1:14" s="22" customFormat="1" ht="50.25" customHeight="1" x14ac:dyDescent="0.35">
      <c r="A51" s="180"/>
      <c r="B51" s="181"/>
      <c r="C51" s="126" t="s">
        <v>223</v>
      </c>
      <c r="D51" s="127"/>
      <c r="E51" s="127"/>
      <c r="F51" s="127"/>
      <c r="G51" s="127"/>
      <c r="H51" s="128"/>
    </row>
    <row r="52" spans="1:14" x14ac:dyDescent="0.35">
      <c r="A52" s="130" t="s">
        <v>47</v>
      </c>
      <c r="B52" s="131"/>
      <c r="C52" s="130" t="s">
        <v>110</v>
      </c>
      <c r="D52" s="132"/>
      <c r="E52" s="131"/>
      <c r="F52" s="44" t="s">
        <v>45</v>
      </c>
      <c r="G52" s="134" t="s">
        <v>30</v>
      </c>
      <c r="H52" s="135"/>
    </row>
    <row r="53" spans="1:14" x14ac:dyDescent="0.35">
      <c r="A53" s="133" t="s">
        <v>49</v>
      </c>
      <c r="B53" s="133"/>
      <c r="C53" s="133"/>
      <c r="D53" s="133"/>
      <c r="E53" s="133"/>
      <c r="F53" s="133"/>
      <c r="G53" s="133"/>
      <c r="H53" s="133"/>
    </row>
    <row r="54" spans="1:14" x14ac:dyDescent="0.35">
      <c r="A54" s="107" t="s">
        <v>96</v>
      </c>
      <c r="B54" s="107"/>
      <c r="C54" s="107"/>
      <c r="D54" s="105">
        <f>E44</f>
        <v>6555.61</v>
      </c>
      <c r="E54" s="105"/>
      <c r="F54" s="105"/>
      <c r="G54" s="105"/>
      <c r="H54" s="105"/>
    </row>
    <row r="55" spans="1:14" x14ac:dyDescent="0.35">
      <c r="A55" s="106" t="s">
        <v>50</v>
      </c>
      <c r="B55" s="129"/>
      <c r="C55" s="129"/>
      <c r="D55" s="129" t="s">
        <v>220</v>
      </c>
      <c r="E55" s="129"/>
      <c r="F55" s="129"/>
      <c r="G55" s="129"/>
      <c r="H55" s="129"/>
      <c r="I55" s="23"/>
    </row>
    <row r="56" spans="1:14" ht="48.75" customHeight="1" x14ac:dyDescent="0.35">
      <c r="A56" s="175" t="s">
        <v>51</v>
      </c>
      <c r="B56" s="176"/>
      <c r="C56" s="177"/>
      <c r="D56" s="173" t="s">
        <v>223</v>
      </c>
      <c r="E56" s="174"/>
      <c r="F56" s="174"/>
      <c r="G56" s="174"/>
      <c r="H56" s="174"/>
      <c r="K56" s="20" t="s">
        <v>189</v>
      </c>
    </row>
    <row r="57" spans="1:14" ht="15.75" customHeight="1" x14ac:dyDescent="0.35">
      <c r="A57" s="106" t="s">
        <v>94</v>
      </c>
      <c r="B57" s="106"/>
      <c r="C57" s="106"/>
      <c r="D57" s="129" t="s">
        <v>199</v>
      </c>
      <c r="E57" s="129"/>
      <c r="F57" s="129"/>
      <c r="G57" s="129"/>
      <c r="H57" s="129"/>
    </row>
    <row r="58" spans="1:14" ht="15.75" customHeight="1" x14ac:dyDescent="0.35">
      <c r="A58" s="106"/>
      <c r="B58" s="106"/>
      <c r="C58" s="106"/>
      <c r="D58" s="129" t="s">
        <v>221</v>
      </c>
      <c r="E58" s="129"/>
      <c r="F58" s="129"/>
      <c r="G58" s="129"/>
      <c r="H58" s="129"/>
    </row>
    <row r="59" spans="1:14" ht="15.75" customHeight="1" x14ac:dyDescent="0.35">
      <c r="A59" s="106"/>
      <c r="B59" s="106"/>
      <c r="C59" s="106"/>
      <c r="D59" s="129" t="s">
        <v>222</v>
      </c>
      <c r="E59" s="129"/>
      <c r="F59" s="129"/>
      <c r="G59" s="129"/>
      <c r="H59" s="129"/>
    </row>
    <row r="60" spans="1:14" ht="15.75" customHeight="1" x14ac:dyDescent="0.35">
      <c r="A60" s="105" t="s">
        <v>48</v>
      </c>
      <c r="B60" s="105"/>
      <c r="C60" s="105"/>
      <c r="D60" s="107" t="s">
        <v>195</v>
      </c>
      <c r="E60" s="107"/>
      <c r="F60" s="107"/>
      <c r="G60" s="107"/>
      <c r="H60" s="107"/>
      <c r="J60" s="24"/>
      <c r="K60" s="23"/>
      <c r="N60" s="23"/>
    </row>
    <row r="61" spans="1:14" ht="15.75" customHeight="1" x14ac:dyDescent="0.35">
      <c r="A61" s="105" t="s">
        <v>92</v>
      </c>
      <c r="B61" s="105"/>
      <c r="C61" s="105"/>
      <c r="D61" s="80" t="str">
        <f>(IF(G52="NA","60 Years After Completion",IF(G52&lt;&gt;"NA",""&amp;60-ROUNDDOWN((E3-G52)/360,0)&amp;" Years"," ")))</f>
        <v>60 Years After Completion</v>
      </c>
      <c r="E61" s="80"/>
      <c r="F61" s="80"/>
      <c r="G61" s="80"/>
      <c r="H61" s="80"/>
      <c r="N61" s="23"/>
    </row>
    <row r="62" spans="1:14" ht="15.75" customHeight="1" x14ac:dyDescent="0.35">
      <c r="A62" s="105" t="s">
        <v>93</v>
      </c>
      <c r="B62" s="105"/>
      <c r="C62" s="105"/>
      <c r="D62" s="107" t="s">
        <v>24</v>
      </c>
      <c r="E62" s="107"/>
      <c r="F62" s="107"/>
      <c r="G62" s="107"/>
      <c r="H62" s="107"/>
      <c r="J62" s="25"/>
      <c r="K62" s="25"/>
    </row>
    <row r="63" spans="1:14" ht="30" customHeight="1" x14ac:dyDescent="0.35">
      <c r="A63" s="105" t="s">
        <v>79</v>
      </c>
      <c r="B63" s="105"/>
      <c r="C63" s="105"/>
      <c r="D63" s="106" t="s">
        <v>232</v>
      </c>
      <c r="E63" s="107"/>
      <c r="F63" s="107"/>
      <c r="G63" s="107"/>
      <c r="H63" s="107"/>
    </row>
    <row r="64" spans="1:14" x14ac:dyDescent="0.35">
      <c r="A64" s="107" t="s">
        <v>154</v>
      </c>
      <c r="B64" s="107"/>
      <c r="C64" s="107"/>
      <c r="D64" s="107" t="s">
        <v>30</v>
      </c>
      <c r="E64" s="107"/>
      <c r="F64" s="107"/>
      <c r="G64" s="107"/>
      <c r="H64" s="107"/>
      <c r="I64" s="26"/>
      <c r="J64" s="26"/>
      <c r="K64" s="26"/>
      <c r="L64" s="26"/>
      <c r="M64" s="26"/>
      <c r="N64" s="26"/>
    </row>
    <row r="65" spans="1:10" ht="15.75" customHeight="1" x14ac:dyDescent="0.35">
      <c r="A65" s="105" t="s">
        <v>91</v>
      </c>
      <c r="B65" s="105"/>
      <c r="C65" s="105"/>
      <c r="D65" s="106" t="str">
        <f ca="1">(IF(G71&gt;95%,"Nothing",IF(G71&gt;0%,"Cement, Aggregate, Steel, etc",IF(G71=0%,"Work not yet Started"))))</f>
        <v>Cement, Aggregate, Steel, etc</v>
      </c>
      <c r="E65" s="106"/>
      <c r="F65" s="106"/>
      <c r="G65" s="106"/>
      <c r="H65" s="106"/>
      <c r="J65" s="25"/>
    </row>
    <row r="66" spans="1:10" ht="33.75" customHeight="1" thickBot="1" x14ac:dyDescent="0.4">
      <c r="A66" s="107" t="s">
        <v>123</v>
      </c>
      <c r="B66" s="107"/>
      <c r="C66" s="107"/>
      <c r="D66" s="106" t="str">
        <f ca="1">(IF(D65="Nothing","Yes",IF(D65="Cement, Aggregate, Steel, etc","Under Construction",IF(D65="Work not yet Started","Work not yet Started"))))</f>
        <v>Under Construction</v>
      </c>
      <c r="E66" s="106"/>
      <c r="F66" s="106" t="str">
        <f ca="1">(IF(D65="Nothing","Yes",IF(D65="Cement, Aggregate, Steel, etc","Under Construction",IF(D65="Work not yet Started","Work not yet Started"))))</f>
        <v>Under Construction</v>
      </c>
      <c r="G66" s="106"/>
      <c r="H66" s="106"/>
    </row>
    <row r="67" spans="1:10" ht="15.75" customHeight="1" x14ac:dyDescent="0.35">
      <c r="A67" s="183" t="s">
        <v>146</v>
      </c>
      <c r="B67" s="183"/>
      <c r="C67" s="183" t="str">
        <f>D57</f>
        <v>Building. 1 = A Wing = Gr/Stilt + 1st to 7th Floor</v>
      </c>
      <c r="D67" s="183"/>
      <c r="E67" s="183"/>
      <c r="F67" s="183"/>
      <c r="G67" s="183"/>
      <c r="H67" s="183"/>
      <c r="I67" s="72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6 Floor, External Plaster upto 4 Floor Completed</v>
      </c>
      <c r="J67" s="48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Internal Plaster upto 6 Floor, External Plaster upto 4 Floor</v>
      </c>
    </row>
    <row r="68" spans="1:10" x14ac:dyDescent="0.35">
      <c r="A68" s="77" t="s">
        <v>148</v>
      </c>
      <c r="B68" s="77">
        <v>0</v>
      </c>
      <c r="C68" s="77" t="s">
        <v>76</v>
      </c>
      <c r="D68" s="77">
        <v>1</v>
      </c>
      <c r="E68" s="77" t="s">
        <v>75</v>
      </c>
      <c r="F68" s="77">
        <v>0</v>
      </c>
      <c r="G68" s="78" t="s">
        <v>85</v>
      </c>
      <c r="H68" s="77">
        <f ca="1">--TRIM(RIGHT(SUBSTITUTE(LEFT(C67,_xlfn.AGGREGATE(16,6,FIND({0,1,2,3,4,5,6,7,8,9},C67,ROW(INDIRECT("1:"&amp;LEN(C67)))),1))," ",REPT(" ",LEN(C67))),LEN(C67)))</f>
        <v>7</v>
      </c>
      <c r="I68" s="7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</v>
      </c>
      <c r="J68" s="50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" customHeight="1" x14ac:dyDescent="0.35">
      <c r="A69" s="161" t="s">
        <v>95</v>
      </c>
      <c r="B69" s="161"/>
      <c r="C69" s="184" t="str">
        <f ca="1">I67</f>
        <v>Excavation, Plinth, RCC Slab, Brickwork Completed, Internal Plaster upto 6 Floor, External Plaster upto 4 Floor Completed</v>
      </c>
      <c r="D69" s="184"/>
      <c r="E69" s="184"/>
      <c r="F69" s="184"/>
      <c r="G69" s="184"/>
      <c r="H69" s="184"/>
      <c r="I69" s="73" t="str">
        <f ca="1">IF(I68&lt;&gt;""," Completed","")</f>
        <v xml:space="preserve"> Completed</v>
      </c>
      <c r="J69" s="50" t="str">
        <f ca="1">IF(J67&lt;&gt;"","Completed","")</f>
        <v>Completed</v>
      </c>
    </row>
    <row r="70" spans="1:10" ht="15.75" customHeight="1" x14ac:dyDescent="0.35">
      <c r="A70" s="79" t="s">
        <v>52</v>
      </c>
      <c r="B70" s="79"/>
      <c r="C70" s="76" t="s">
        <v>145</v>
      </c>
      <c r="D70" s="76" t="s">
        <v>88</v>
      </c>
      <c r="E70" s="79" t="s">
        <v>90</v>
      </c>
      <c r="F70" s="79"/>
      <c r="G70" s="79" t="s">
        <v>89</v>
      </c>
      <c r="H70" s="79"/>
      <c r="I70" s="14" t="s">
        <v>147</v>
      </c>
      <c r="J70" s="27">
        <f ca="1">H68*25%</f>
        <v>1.75</v>
      </c>
    </row>
    <row r="71" spans="1:10" x14ac:dyDescent="0.35">
      <c r="A71" s="79" t="s">
        <v>134</v>
      </c>
      <c r="B71" s="79"/>
      <c r="C71" s="76">
        <f ca="1">J72</f>
        <v>7</v>
      </c>
      <c r="D71" s="19">
        <f ca="1">((100/H68)*C71)/100</f>
        <v>1</v>
      </c>
      <c r="E71" s="83">
        <f ca="1">(((C72/H68*10)+(40/(D68+F68+H68)*C73)+(7.5/(H68)*C74)+(7.5/(H68)*C75)+(10/H68*C76)+(10/H68*C77)+(5/H68*C78)+(5/H68*C79)+(5/H68*C80))/100)</f>
        <v>0.6964285714285714</v>
      </c>
      <c r="F71" s="83"/>
      <c r="G71" s="83">
        <f ca="1">((((C71/H68)*20)+((C72/H68)*25)+(30/(H68+F68+D68)*C73)+(5/H68*C74)+(5/H68*C75)+(5/H68*C76)+(5/H68*C77)+(0/H68*C78)+(0/H68*C79)+(5/H68*C80))/100)</f>
        <v>0.87142857142857155</v>
      </c>
      <c r="H71" s="83"/>
      <c r="I71" s="14" t="s">
        <v>105</v>
      </c>
      <c r="J71" s="28">
        <f ca="1">H68*50%</f>
        <v>3.5</v>
      </c>
    </row>
    <row r="72" spans="1:10" x14ac:dyDescent="0.35">
      <c r="A72" s="79" t="s">
        <v>53</v>
      </c>
      <c r="B72" s="79"/>
      <c r="C72" s="57">
        <f ca="1">J80</f>
        <v>7</v>
      </c>
      <c r="D72" s="19">
        <f ca="1">((100/H68)*C72)/100</f>
        <v>1</v>
      </c>
      <c r="E72" s="83"/>
      <c r="F72" s="83"/>
      <c r="G72" s="83"/>
      <c r="H72" s="83"/>
      <c r="I72" s="14" t="s">
        <v>106</v>
      </c>
      <c r="J72" s="28">
        <f ca="1">H68</f>
        <v>7</v>
      </c>
    </row>
    <row r="73" spans="1:10" ht="15.75" customHeight="1" x14ac:dyDescent="0.35">
      <c r="A73" s="79" t="s">
        <v>135</v>
      </c>
      <c r="B73" s="79"/>
      <c r="C73" s="76">
        <v>8</v>
      </c>
      <c r="D73" s="19">
        <f ca="1">((100/(D68+F68+H68))*C73)/100</f>
        <v>1</v>
      </c>
      <c r="E73" s="83"/>
      <c r="F73" s="83"/>
      <c r="G73" s="83"/>
      <c r="H73" s="83"/>
      <c r="I73" s="14" t="s">
        <v>107</v>
      </c>
      <c r="J73" s="29">
        <f ca="1">(IF(B68&gt;1,(H68/(B68+2)),H68/4))</f>
        <v>1.75</v>
      </c>
    </row>
    <row r="74" spans="1:10" ht="15.75" customHeight="1" x14ac:dyDescent="0.35">
      <c r="A74" s="79" t="s">
        <v>142</v>
      </c>
      <c r="B74" s="79" t="s">
        <v>136</v>
      </c>
      <c r="C74" s="76">
        <v>7</v>
      </c>
      <c r="D74" s="19">
        <f ca="1">((100/H68)*C74)/100</f>
        <v>1</v>
      </c>
      <c r="E74" s="83"/>
      <c r="F74" s="83"/>
      <c r="G74" s="83"/>
      <c r="H74" s="83"/>
      <c r="I74" s="14" t="s">
        <v>108</v>
      </c>
      <c r="J74" s="29">
        <f ca="1">(IF(B68&gt;1,(H68/(B68+2)+J73),H68/4+J73))</f>
        <v>3.5</v>
      </c>
    </row>
    <row r="75" spans="1:10" ht="15.75" customHeight="1" x14ac:dyDescent="0.35">
      <c r="A75" s="79" t="s">
        <v>143</v>
      </c>
      <c r="B75" s="79" t="s">
        <v>136</v>
      </c>
      <c r="C75" s="76">
        <v>6</v>
      </c>
      <c r="D75" s="19">
        <f ca="1">((100/H68)*C75)/100</f>
        <v>0.85714285714285721</v>
      </c>
      <c r="E75" s="83"/>
      <c r="F75" s="83"/>
      <c r="G75" s="83"/>
      <c r="H75" s="83"/>
      <c r="I75" s="14" t="s">
        <v>152</v>
      </c>
      <c r="J75" s="29">
        <f>(IF(B68&gt;1,(H68/(B68+2)+J74),0))</f>
        <v>0</v>
      </c>
    </row>
    <row r="76" spans="1:10" ht="15" customHeight="1" x14ac:dyDescent="0.35">
      <c r="A76" s="79" t="s">
        <v>141</v>
      </c>
      <c r="B76" s="79" t="s">
        <v>138</v>
      </c>
      <c r="C76" s="76">
        <v>4</v>
      </c>
      <c r="D76" s="19">
        <f ca="1">((100/(H68))*C76)/100</f>
        <v>0.57142857142857151</v>
      </c>
      <c r="E76" s="83"/>
      <c r="F76" s="83"/>
      <c r="G76" s="83"/>
      <c r="H76" s="83"/>
      <c r="I76" s="14" t="s">
        <v>149</v>
      </c>
      <c r="J76" s="29">
        <f>(IF(B68&gt;2,(H68/(B68+2)+J75),0))</f>
        <v>0</v>
      </c>
    </row>
    <row r="77" spans="1:10" ht="15.75" customHeight="1" x14ac:dyDescent="0.35">
      <c r="A77" s="79" t="s">
        <v>137</v>
      </c>
      <c r="B77" s="79" t="s">
        <v>137</v>
      </c>
      <c r="C77" s="76">
        <v>0</v>
      </c>
      <c r="D77" s="19">
        <f ca="1">((100/H68)*C77)/100</f>
        <v>0</v>
      </c>
      <c r="E77" s="83"/>
      <c r="F77" s="83"/>
      <c r="G77" s="83"/>
      <c r="H77" s="83"/>
      <c r="I77" s="14" t="s">
        <v>150</v>
      </c>
      <c r="J77" s="30">
        <f>(IF(B68&gt;3,(H68/(B68+2)+J76),0))</f>
        <v>0</v>
      </c>
    </row>
    <row r="78" spans="1:10" ht="15.75" customHeight="1" x14ac:dyDescent="0.35">
      <c r="A78" s="79" t="s">
        <v>144</v>
      </c>
      <c r="B78" s="79"/>
      <c r="C78" s="76">
        <v>0</v>
      </c>
      <c r="D78" s="19">
        <f ca="1">((100/H68)*C78)/100</f>
        <v>0</v>
      </c>
      <c r="E78" s="83"/>
      <c r="F78" s="83"/>
      <c r="G78" s="83"/>
      <c r="H78" s="83"/>
      <c r="I78" s="14" t="s">
        <v>151</v>
      </c>
      <c r="J78" s="29">
        <f>(IF(B68&gt;4,(H68/(B68+2)+J77),0))</f>
        <v>0</v>
      </c>
    </row>
    <row r="79" spans="1:10" ht="15.75" customHeight="1" x14ac:dyDescent="0.35">
      <c r="A79" s="79" t="s">
        <v>139</v>
      </c>
      <c r="B79" s="79" t="s">
        <v>139</v>
      </c>
      <c r="C79" s="76">
        <v>0</v>
      </c>
      <c r="D79" s="19">
        <f ca="1">((100/(H68))*C79)/100</f>
        <v>0</v>
      </c>
      <c r="E79" s="83"/>
      <c r="F79" s="83"/>
      <c r="G79" s="83"/>
      <c r="H79" s="83"/>
      <c r="I79" s="14" t="s">
        <v>153</v>
      </c>
      <c r="J79" s="29">
        <f ca="1">(IF(B68=1,(H68/(B68+3)+J74),IF(B68=0,(H68/4+J74),IF(B68&gt;1,0))))</f>
        <v>5.25</v>
      </c>
    </row>
    <row r="80" spans="1:10" ht="16" thickBot="1" x14ac:dyDescent="0.4">
      <c r="A80" s="79" t="s">
        <v>140</v>
      </c>
      <c r="B80" s="79"/>
      <c r="C80" s="76">
        <v>0</v>
      </c>
      <c r="D80" s="19">
        <f ca="1">((100/(H68))*C80)/100</f>
        <v>0</v>
      </c>
      <c r="E80" s="83"/>
      <c r="F80" s="83"/>
      <c r="G80" s="83"/>
      <c r="H80" s="83"/>
      <c r="I80" s="15" t="s">
        <v>109</v>
      </c>
      <c r="J80" s="31">
        <f ca="1">(IF(B68&gt;1.5,(H68/(B68+2)+J74+MAX(0,J75-J74)+MAX(0,J76-J75)+MAX(0,J77-J76)+MAX(0,J78-J77)+MAX(0,J79-J78)),IF(B68=1,(H68/(B68+3)+J79),IF(B68=0,H68/4+J79))))</f>
        <v>7</v>
      </c>
    </row>
    <row r="81" spans="1:10" ht="15.75" hidden="1" customHeight="1" x14ac:dyDescent="0.35">
      <c r="A81" s="87" t="s">
        <v>146</v>
      </c>
      <c r="B81" s="88"/>
      <c r="C81" s="89" t="s">
        <v>243</v>
      </c>
      <c r="D81" s="90"/>
      <c r="E81" s="90"/>
      <c r="F81" s="90"/>
      <c r="G81" s="90"/>
      <c r="H81" s="91"/>
      <c r="I81" s="47" t="str">
        <f ca="1">IF(D94=100%,"All work Completed. Possession granted to the Building.",IF(D93=100%,"All work Completed, Waiting for OC",I82&amp;""&amp;I83&amp;""&amp;J82&amp;""&amp;J81&amp;" "&amp;J83))</f>
        <v xml:space="preserve">Excavation, Plinth, RCC Slab, Brickwork, Internal Plaster, External Plaster, Flooring, Painting Completed </v>
      </c>
      <c r="J81" s="48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5">
      <c r="A82" s="16" t="s">
        <v>148</v>
      </c>
      <c r="B82" s="54">
        <v>0</v>
      </c>
      <c r="C82" s="54" t="s">
        <v>76</v>
      </c>
      <c r="D82" s="54">
        <v>1</v>
      </c>
      <c r="E82" s="54" t="s">
        <v>75</v>
      </c>
      <c r="F82" s="54">
        <v>0</v>
      </c>
      <c r="G82" s="46" t="s">
        <v>85</v>
      </c>
      <c r="H82" s="17">
        <f ca="1">--TRIM(RIGHT(SUBSTITUTE(LEFT(C81,_xlfn.AGGREGATE(16,6,FIND({0,1,2,3,4,5,6,7,8,9},C81,ROW(INDIRECT("1:"&amp;LEN(C81)))),1))," ",REPT(" ",LEN(C81))),LEN(C81)))</f>
        <v>5</v>
      </c>
      <c r="I82" s="4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</v>
      </c>
      <c r="J82" s="50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2.25" hidden="1" customHeight="1" x14ac:dyDescent="0.35">
      <c r="A83" s="194" t="s">
        <v>95</v>
      </c>
      <c r="B83" s="161"/>
      <c r="C83" s="184" t="str">
        <f ca="1">(IF($G$52="NA",I81,"All work Completed. OC Received."))</f>
        <v xml:space="preserve">Excavation, Plinth, RCC Slab, Brickwork, Internal Plaster, External Plaster, Flooring, Painting Completed </v>
      </c>
      <c r="D83" s="184"/>
      <c r="E83" s="184"/>
      <c r="F83" s="184"/>
      <c r="G83" s="184"/>
      <c r="H83" s="195"/>
      <c r="I83" s="49" t="str">
        <f ca="1">IF(I82&lt;&gt;""," Completed","")</f>
        <v xml:space="preserve"> Completed</v>
      </c>
      <c r="J83" s="50" t="str">
        <f ca="1">IF(J81&lt;&gt;"","Completed","")</f>
        <v/>
      </c>
    </row>
    <row r="84" spans="1:10" ht="15.75" hidden="1" customHeight="1" x14ac:dyDescent="0.35">
      <c r="A84" s="196" t="s">
        <v>52</v>
      </c>
      <c r="B84" s="79"/>
      <c r="C84" s="43" t="s">
        <v>145</v>
      </c>
      <c r="D84" s="43" t="s">
        <v>88</v>
      </c>
      <c r="E84" s="79" t="s">
        <v>90</v>
      </c>
      <c r="F84" s="79"/>
      <c r="G84" s="79" t="s">
        <v>89</v>
      </c>
      <c r="H84" s="197"/>
      <c r="I84" s="14" t="s">
        <v>147</v>
      </c>
      <c r="J84" s="27">
        <f ca="1">H82*25%</f>
        <v>1.25</v>
      </c>
    </row>
    <row r="85" spans="1:10" hidden="1" x14ac:dyDescent="0.35">
      <c r="A85" s="79" t="s">
        <v>134</v>
      </c>
      <c r="B85" s="79"/>
      <c r="C85" s="75">
        <f ca="1">J86</f>
        <v>5</v>
      </c>
      <c r="D85" s="19">
        <f ca="1">((100/H82)*C85)/100</f>
        <v>1</v>
      </c>
      <c r="E85" s="83">
        <f ca="1">(((C86/H82*10)+(40/(D82+F82+H82)*C87)+(7.5/(H82)*C88)+(7.5/(H82)*C89)+(10/H82*C90)+(10/H82*C91)+(5/H82*C92)+(5/H82*C93)+(5/H82*C94))/100)</f>
        <v>0.9</v>
      </c>
      <c r="F85" s="83"/>
      <c r="G85" s="83">
        <f ca="1">((((C85/H82)*20)+((C86/H82)*25)+(30/(H82+F82+D82)*C87)+(5/H82*C88)+(5/H82*C89)+(5/H82*C90)+(5/H82*C91)+(0/H82*C92)+(0/H82*C93)+(5/H82*C94))/100)</f>
        <v>0.95</v>
      </c>
      <c r="H85" s="83"/>
      <c r="I85" s="14" t="s">
        <v>105</v>
      </c>
      <c r="J85" s="28">
        <f ca="1">H82*50%</f>
        <v>2.5</v>
      </c>
    </row>
    <row r="86" spans="1:10" hidden="1" x14ac:dyDescent="0.35">
      <c r="A86" s="79" t="s">
        <v>53</v>
      </c>
      <c r="B86" s="79"/>
      <c r="C86" s="57">
        <f ca="1">J94</f>
        <v>5</v>
      </c>
      <c r="D86" s="19">
        <f ca="1">((100/H82)*C86)/100</f>
        <v>1</v>
      </c>
      <c r="E86" s="83"/>
      <c r="F86" s="83"/>
      <c r="G86" s="83"/>
      <c r="H86" s="83"/>
      <c r="I86" s="14" t="s">
        <v>106</v>
      </c>
      <c r="J86" s="28">
        <f ca="1">H82</f>
        <v>5</v>
      </c>
    </row>
    <row r="87" spans="1:10" ht="15.75" hidden="1" customHeight="1" x14ac:dyDescent="0.35">
      <c r="A87" s="79" t="s">
        <v>135</v>
      </c>
      <c r="B87" s="79"/>
      <c r="C87" s="75">
        <v>6</v>
      </c>
      <c r="D87" s="19">
        <f ca="1">((100/(D82+F82+H82))*C87)/100</f>
        <v>1</v>
      </c>
      <c r="E87" s="83"/>
      <c r="F87" s="83"/>
      <c r="G87" s="83"/>
      <c r="H87" s="83"/>
      <c r="I87" s="14" t="s">
        <v>107</v>
      </c>
      <c r="J87" s="29">
        <f ca="1">(IF(B82&gt;1,(H82/(B82+2)),H82/4))</f>
        <v>1.25</v>
      </c>
    </row>
    <row r="88" spans="1:10" ht="15.75" hidden="1" customHeight="1" x14ac:dyDescent="0.35">
      <c r="A88" s="79" t="s">
        <v>142</v>
      </c>
      <c r="B88" s="79" t="s">
        <v>136</v>
      </c>
      <c r="C88" s="75">
        <v>5</v>
      </c>
      <c r="D88" s="19">
        <f ca="1">((100/H82)*C88)/100</f>
        <v>1</v>
      </c>
      <c r="E88" s="83"/>
      <c r="F88" s="83"/>
      <c r="G88" s="83"/>
      <c r="H88" s="83"/>
      <c r="I88" s="14" t="s">
        <v>108</v>
      </c>
      <c r="J88" s="29">
        <f ca="1">(IF(B82&gt;1,(H82/(B82+2)+J87),H82/4+J87))</f>
        <v>2.5</v>
      </c>
    </row>
    <row r="89" spans="1:10" ht="15.75" hidden="1" customHeight="1" x14ac:dyDescent="0.35">
      <c r="A89" s="79" t="s">
        <v>143</v>
      </c>
      <c r="B89" s="79" t="s">
        <v>136</v>
      </c>
      <c r="C89" s="75">
        <v>5</v>
      </c>
      <c r="D89" s="19">
        <f ca="1">((100/H82)*C89)/100</f>
        <v>1</v>
      </c>
      <c r="E89" s="83"/>
      <c r="F89" s="83"/>
      <c r="G89" s="83"/>
      <c r="H89" s="83"/>
      <c r="I89" s="14" t="s">
        <v>152</v>
      </c>
      <c r="J89" s="29">
        <f>(IF(B82&gt;1,(H82/(B82+2)+J88),0))</f>
        <v>0</v>
      </c>
    </row>
    <row r="90" spans="1:10" ht="15" hidden="1" customHeight="1" x14ac:dyDescent="0.35">
      <c r="A90" s="79" t="s">
        <v>141</v>
      </c>
      <c r="B90" s="79" t="s">
        <v>138</v>
      </c>
      <c r="C90" s="75">
        <v>5</v>
      </c>
      <c r="D90" s="19">
        <f ca="1">((100/(H82))*C90)/100</f>
        <v>1</v>
      </c>
      <c r="E90" s="83"/>
      <c r="F90" s="83"/>
      <c r="G90" s="83"/>
      <c r="H90" s="83"/>
      <c r="I90" s="14" t="s">
        <v>149</v>
      </c>
      <c r="J90" s="29">
        <f>(IF(B82&gt;2,(H82/(B82+2)+J89),0))</f>
        <v>0</v>
      </c>
    </row>
    <row r="91" spans="1:10" ht="15.75" hidden="1" customHeight="1" x14ac:dyDescent="0.35">
      <c r="A91" s="79" t="s">
        <v>137</v>
      </c>
      <c r="B91" s="79" t="s">
        <v>137</v>
      </c>
      <c r="C91" s="75">
        <v>5</v>
      </c>
      <c r="D91" s="19">
        <f ca="1">((100/H82)*C91)/100</f>
        <v>1</v>
      </c>
      <c r="E91" s="83"/>
      <c r="F91" s="83"/>
      <c r="G91" s="83"/>
      <c r="H91" s="83"/>
      <c r="I91" s="14" t="s">
        <v>150</v>
      </c>
      <c r="J91" s="30">
        <f>(IF(B82&gt;3,(H82/(B82+2)+J90),0))</f>
        <v>0</v>
      </c>
    </row>
    <row r="92" spans="1:10" ht="15.75" hidden="1" customHeight="1" x14ac:dyDescent="0.35">
      <c r="A92" s="79" t="s">
        <v>144</v>
      </c>
      <c r="B92" s="79"/>
      <c r="C92" s="75">
        <v>5</v>
      </c>
      <c r="D92" s="19">
        <f ca="1">((100/H82)*C92)/100</f>
        <v>1</v>
      </c>
      <c r="E92" s="83"/>
      <c r="F92" s="83"/>
      <c r="G92" s="83"/>
      <c r="H92" s="83"/>
      <c r="I92" s="14" t="s">
        <v>151</v>
      </c>
      <c r="J92" s="29">
        <f>(IF(B82&gt;4,(H82/(B82+2)+J91),0))</f>
        <v>0</v>
      </c>
    </row>
    <row r="93" spans="1:10" ht="15.75" hidden="1" customHeight="1" x14ac:dyDescent="0.35">
      <c r="A93" s="79" t="s">
        <v>139</v>
      </c>
      <c r="B93" s="79" t="s">
        <v>139</v>
      </c>
      <c r="C93" s="75">
        <v>0</v>
      </c>
      <c r="D93" s="19">
        <f ca="1">((100/(H82))*C93)/100</f>
        <v>0</v>
      </c>
      <c r="E93" s="83"/>
      <c r="F93" s="83"/>
      <c r="G93" s="83"/>
      <c r="H93" s="83"/>
      <c r="I93" s="14" t="s">
        <v>153</v>
      </c>
      <c r="J93" s="29">
        <f ca="1">(IF(B82=1,(H82/(B82+3)+J88),IF(B82=0,(H82/4+J88),IF(B82&gt;1,0))))</f>
        <v>3.75</v>
      </c>
    </row>
    <row r="94" spans="1:10" ht="16" hidden="1" thickBot="1" x14ac:dyDescent="0.4">
      <c r="A94" s="79" t="s">
        <v>140</v>
      </c>
      <c r="B94" s="79"/>
      <c r="C94" s="75">
        <v>0</v>
      </c>
      <c r="D94" s="19">
        <f ca="1">((100/(H82))*C94)/100</f>
        <v>0</v>
      </c>
      <c r="E94" s="83"/>
      <c r="F94" s="83"/>
      <c r="G94" s="83"/>
      <c r="H94" s="83"/>
      <c r="I94" s="15" t="s">
        <v>109</v>
      </c>
      <c r="J94" s="31">
        <f ca="1">(IF(B82&gt;1.5,(H82/(B82+2)+J88+MAX(0,J89-J88)+MAX(0,J90-J89)+MAX(0,J91-J90)+MAX(0,J92-J91)+MAX(0,J93-J92)),IF(B82=1,(H82/(B82+3)+J93),IF(B82=0,H82/4+J93))))</f>
        <v>5</v>
      </c>
    </row>
    <row r="95" spans="1:10" ht="15.75" customHeight="1" x14ac:dyDescent="0.35">
      <c r="A95" s="183" t="s">
        <v>146</v>
      </c>
      <c r="B95" s="183"/>
      <c r="C95" s="183" t="s">
        <v>221</v>
      </c>
      <c r="D95" s="183"/>
      <c r="E95" s="183"/>
      <c r="F95" s="183"/>
      <c r="G95" s="183"/>
      <c r="H95" s="183"/>
      <c r="I95" s="72" t="str">
        <f ca="1">IF(D108=100%,"All work Completed. Possession granted to the Building.",IF(D107=100%,"All work Completed, Waiting for OC",I96&amp;""&amp;I97&amp;""&amp;J96&amp;""&amp;J95&amp;" "&amp;J97))</f>
        <v>All work Completed. Possession granted to the Building.</v>
      </c>
      <c r="J95" s="48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x14ac:dyDescent="0.35">
      <c r="A96" s="77" t="s">
        <v>148</v>
      </c>
      <c r="B96" s="77">
        <v>0</v>
      </c>
      <c r="C96" s="77" t="s">
        <v>76</v>
      </c>
      <c r="D96" s="77">
        <v>1</v>
      </c>
      <c r="E96" s="77" t="s">
        <v>75</v>
      </c>
      <c r="F96" s="77">
        <v>0</v>
      </c>
      <c r="G96" s="78" t="s">
        <v>85</v>
      </c>
      <c r="H96" s="77">
        <f ca="1">--TRIM(RIGHT(SUBSTITUTE(LEFT(C95,_xlfn.AGGREGATE(16,6,FIND({0,1,2,3,4,5,6,7,8,9},C95,ROW(INDIRECT("1:"&amp;LEN(C95)))),1))," ",REPT(" ",LEN(C95))),LEN(C95)))</f>
        <v>5</v>
      </c>
      <c r="I96" s="7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Plaster, External Plaster, Flooring, Painting, Building common Amenities</v>
      </c>
      <c r="J96" s="50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x14ac:dyDescent="0.35">
      <c r="A97" s="161" t="s">
        <v>95</v>
      </c>
      <c r="B97" s="161"/>
      <c r="C97" s="184" t="str">
        <f ca="1">(IF($G$52="NA",I95,"All work Completed. OC Received."))</f>
        <v>All work Completed. Possession granted to the Building.</v>
      </c>
      <c r="D97" s="184"/>
      <c r="E97" s="184"/>
      <c r="F97" s="184"/>
      <c r="G97" s="184"/>
      <c r="H97" s="184"/>
      <c r="I97" s="73" t="str">
        <f ca="1">IF(I96&lt;&gt;""," Completed","")</f>
        <v xml:space="preserve"> Completed</v>
      </c>
      <c r="J97" s="50" t="str">
        <f ca="1">IF(J95&lt;&gt;"","Completed","")</f>
        <v/>
      </c>
    </row>
    <row r="98" spans="1:10" ht="15.75" customHeight="1" x14ac:dyDescent="0.35">
      <c r="A98" s="79" t="s">
        <v>52</v>
      </c>
      <c r="B98" s="79"/>
      <c r="C98" s="76" t="s">
        <v>145</v>
      </c>
      <c r="D98" s="76" t="s">
        <v>88</v>
      </c>
      <c r="E98" s="79" t="s">
        <v>90</v>
      </c>
      <c r="F98" s="79"/>
      <c r="G98" s="79" t="s">
        <v>89</v>
      </c>
      <c r="H98" s="79"/>
      <c r="I98" s="14" t="s">
        <v>147</v>
      </c>
      <c r="J98" s="27">
        <f ca="1">H96*25%</f>
        <v>1.25</v>
      </c>
    </row>
    <row r="99" spans="1:10" x14ac:dyDescent="0.35">
      <c r="A99" s="79" t="s">
        <v>134</v>
      </c>
      <c r="B99" s="79"/>
      <c r="C99" s="76">
        <f ca="1">J100</f>
        <v>5</v>
      </c>
      <c r="D99" s="19">
        <f ca="1">((100/H96)*C99)/100</f>
        <v>1</v>
      </c>
      <c r="E99" s="83">
        <f ca="1">(((C100/H96*10)+(40/(D96+F96+H96)*C101)+(7.5/(H96)*C102)+(7.5/(H96)*C103)+(10/H96*C104)+(10/H96*C105)+(5/H96*C106)+(5/H96*C107)+(5/H96*C108))/100)</f>
        <v>1</v>
      </c>
      <c r="F99" s="83"/>
      <c r="G99" s="83">
        <f ca="1">((((C99/H96)*20)+((C100/H96)*25)+(30/(H96+F96+D96)*C101)+(5/H96*C102)+(5/H96*C103)+(5/H96*C104)+(5/H96*C105)+(0/H96*C106)+(0/H96*C107)+(5/H96*C108))/100)</f>
        <v>1</v>
      </c>
      <c r="H99" s="83"/>
      <c r="I99" s="14" t="s">
        <v>105</v>
      </c>
      <c r="J99" s="28">
        <f ca="1">H96*50%</f>
        <v>2.5</v>
      </c>
    </row>
    <row r="100" spans="1:10" x14ac:dyDescent="0.35">
      <c r="A100" s="79" t="s">
        <v>53</v>
      </c>
      <c r="B100" s="79"/>
      <c r="C100" s="57">
        <f ca="1">J108</f>
        <v>5</v>
      </c>
      <c r="D100" s="19">
        <f ca="1">((100/H96)*C100)/100</f>
        <v>1</v>
      </c>
      <c r="E100" s="83"/>
      <c r="F100" s="83"/>
      <c r="G100" s="83"/>
      <c r="H100" s="83"/>
      <c r="I100" s="14" t="s">
        <v>106</v>
      </c>
      <c r="J100" s="28">
        <f ca="1">H96</f>
        <v>5</v>
      </c>
    </row>
    <row r="101" spans="1:10" ht="15.75" customHeight="1" x14ac:dyDescent="0.35">
      <c r="A101" s="79" t="s">
        <v>135</v>
      </c>
      <c r="B101" s="79"/>
      <c r="C101" s="76">
        <v>6</v>
      </c>
      <c r="D101" s="19">
        <f ca="1">((100/(D96+F96+H96))*C101)/100</f>
        <v>1</v>
      </c>
      <c r="E101" s="83"/>
      <c r="F101" s="83"/>
      <c r="G101" s="83"/>
      <c r="H101" s="83"/>
      <c r="I101" s="14" t="s">
        <v>107</v>
      </c>
      <c r="J101" s="29">
        <f ca="1">(IF(B96&gt;1,(H96/(B96+2)),H96/4))</f>
        <v>1.25</v>
      </c>
    </row>
    <row r="102" spans="1:10" ht="15.75" customHeight="1" x14ac:dyDescent="0.35">
      <c r="A102" s="79" t="s">
        <v>142</v>
      </c>
      <c r="B102" s="79" t="s">
        <v>136</v>
      </c>
      <c r="C102" s="76">
        <v>5</v>
      </c>
      <c r="D102" s="19">
        <f ca="1">((100/H96)*C102)/100</f>
        <v>1</v>
      </c>
      <c r="E102" s="83"/>
      <c r="F102" s="83"/>
      <c r="G102" s="83"/>
      <c r="H102" s="83"/>
      <c r="I102" s="14" t="s">
        <v>108</v>
      </c>
      <c r="J102" s="29">
        <f ca="1">(IF(B96&gt;1,(H96/(B96+2)+J101),H96/4+J101))</f>
        <v>2.5</v>
      </c>
    </row>
    <row r="103" spans="1:10" ht="15.75" customHeight="1" x14ac:dyDescent="0.35">
      <c r="A103" s="79" t="s">
        <v>143</v>
      </c>
      <c r="B103" s="79" t="s">
        <v>136</v>
      </c>
      <c r="C103" s="76">
        <v>5</v>
      </c>
      <c r="D103" s="19">
        <f ca="1">((100/H96)*C103)/100</f>
        <v>1</v>
      </c>
      <c r="E103" s="83"/>
      <c r="F103" s="83"/>
      <c r="G103" s="83"/>
      <c r="H103" s="83"/>
      <c r="I103" s="14" t="s">
        <v>152</v>
      </c>
      <c r="J103" s="29">
        <f>(IF(B96&gt;1,(H96/(B96+2)+J102),0))</f>
        <v>0</v>
      </c>
    </row>
    <row r="104" spans="1:10" ht="15" customHeight="1" x14ac:dyDescent="0.35">
      <c r="A104" s="79" t="s">
        <v>141</v>
      </c>
      <c r="B104" s="79" t="s">
        <v>138</v>
      </c>
      <c r="C104" s="76">
        <v>5</v>
      </c>
      <c r="D104" s="19">
        <f ca="1">((100/(H96))*C104)/100</f>
        <v>1</v>
      </c>
      <c r="E104" s="83"/>
      <c r="F104" s="83"/>
      <c r="G104" s="83"/>
      <c r="H104" s="83"/>
      <c r="I104" s="14" t="s">
        <v>149</v>
      </c>
      <c r="J104" s="29">
        <f>(IF(B96&gt;2,(H96/(B96+2)+J103),0))</f>
        <v>0</v>
      </c>
    </row>
    <row r="105" spans="1:10" ht="15.75" customHeight="1" x14ac:dyDescent="0.35">
      <c r="A105" s="79" t="s">
        <v>137</v>
      </c>
      <c r="B105" s="79" t="s">
        <v>137</v>
      </c>
      <c r="C105" s="76">
        <v>5</v>
      </c>
      <c r="D105" s="19">
        <f ca="1">((100/H96)*C105)/100</f>
        <v>1</v>
      </c>
      <c r="E105" s="83"/>
      <c r="F105" s="83"/>
      <c r="G105" s="83"/>
      <c r="H105" s="83"/>
      <c r="I105" s="14" t="s">
        <v>150</v>
      </c>
      <c r="J105" s="30">
        <f>(IF(B96&gt;3,(H96/(B96+2)+J104),0))</f>
        <v>0</v>
      </c>
    </row>
    <row r="106" spans="1:10" ht="15.75" customHeight="1" x14ac:dyDescent="0.35">
      <c r="A106" s="79" t="s">
        <v>144</v>
      </c>
      <c r="B106" s="79"/>
      <c r="C106" s="76">
        <v>5</v>
      </c>
      <c r="D106" s="19">
        <f ca="1">((100/H96)*C106)/100</f>
        <v>1</v>
      </c>
      <c r="E106" s="83"/>
      <c r="F106" s="83"/>
      <c r="G106" s="83"/>
      <c r="H106" s="83"/>
      <c r="I106" s="14" t="s">
        <v>151</v>
      </c>
      <c r="J106" s="29">
        <f>(IF(B96&gt;4,(H96/(B96+2)+J105),0))</f>
        <v>0</v>
      </c>
    </row>
    <row r="107" spans="1:10" ht="15.75" customHeight="1" x14ac:dyDescent="0.35">
      <c r="A107" s="79" t="s">
        <v>139</v>
      </c>
      <c r="B107" s="79" t="s">
        <v>139</v>
      </c>
      <c r="C107" s="76">
        <v>5</v>
      </c>
      <c r="D107" s="19">
        <f ca="1">((100/(H96))*C107)/100</f>
        <v>1</v>
      </c>
      <c r="E107" s="83"/>
      <c r="F107" s="83"/>
      <c r="G107" s="83"/>
      <c r="H107" s="83"/>
      <c r="I107" s="14" t="s">
        <v>153</v>
      </c>
      <c r="J107" s="29">
        <f ca="1">(IF(B96=1,(H96/(B96+3)+J102),IF(B96=0,(H96/4+J102),IF(B96&gt;1,0))))</f>
        <v>3.75</v>
      </c>
    </row>
    <row r="108" spans="1:10" ht="16" thickBot="1" x14ac:dyDescent="0.4">
      <c r="A108" s="79" t="s">
        <v>140</v>
      </c>
      <c r="B108" s="79"/>
      <c r="C108" s="76">
        <v>5</v>
      </c>
      <c r="D108" s="19">
        <f ca="1">((100/(H96))*C108)/100</f>
        <v>1</v>
      </c>
      <c r="E108" s="83"/>
      <c r="F108" s="83"/>
      <c r="G108" s="83"/>
      <c r="H108" s="83"/>
      <c r="I108" s="15" t="s">
        <v>109</v>
      </c>
      <c r="J108" s="31">
        <f ca="1">(IF(B96&gt;1.5,(H96/(B96+2)+J102+MAX(0,J103-J102)+MAX(0,J104-J103)+MAX(0,J105-J104)+MAX(0,J106-J105)+MAX(0,J107-J106)),IF(B96=1,(H96/(B96+3)+J107),IF(B96=0,H96/4+J107))))</f>
        <v>5</v>
      </c>
    </row>
    <row r="109" spans="1:10" ht="15.75" customHeight="1" x14ac:dyDescent="0.35">
      <c r="A109" s="198" t="s">
        <v>146</v>
      </c>
      <c r="B109" s="81"/>
      <c r="C109" s="81" t="str">
        <f>D59</f>
        <v>Building. 3 = A &amp; B Wing = Gr/Stilt + 1st to 5th Floor</v>
      </c>
      <c r="D109" s="81"/>
      <c r="E109" s="81"/>
      <c r="F109" s="81"/>
      <c r="G109" s="81"/>
      <c r="H109" s="82"/>
      <c r="I109" s="72" t="str">
        <f ca="1">IF(D123=100%,"All work Completed. Possession granted to the Building.",IF(D122=100%,"All work Completed, Waiting for OC",I110&amp;""&amp;I111&amp;""&amp;J110&amp;""&amp;J109&amp;" "&amp;J111))</f>
        <v>All work Completed. Possession granted to the Building.</v>
      </c>
      <c r="J109" s="48" t="str">
        <f ca="1">(IF(C116=(D110+F110+H110),"",IF(C116&gt;0,", RCC upto "&amp;C116&amp;" Slab","")))&amp;(IF(C117=H110,"",IF(C117&gt;0,", Brickwork upto "&amp;C117&amp;" Floor","")))&amp;(IF(C118=H110,"",IF(C118&gt;0,", Internal Plaster upto "&amp;C118&amp;" Floor","")))&amp;(IF(C119=H110,"",IF(C119&gt;0,", External Plaster upto "&amp;C119&amp;" Floor","")))&amp;(IF(C120=H110,"",IF(C120&gt;0,", Flooring upto "&amp;C120&amp;" Floor","")))&amp;(IF(C121=H110,"",IF(C121&gt;0,", Painting upto "&amp;C121&amp;" Floor","")))&amp;(IF(C122=H110,"",IF(C122&gt;0,", Finishing upto "&amp;C122&amp;" Floor","")))&amp;(IF(C123=H110,"",IF(C123&gt;0,", Possession upto "&amp;C123&amp;" Floor","")))</f>
        <v/>
      </c>
    </row>
    <row r="110" spans="1:10" x14ac:dyDescent="0.35">
      <c r="A110" s="16" t="s">
        <v>148</v>
      </c>
      <c r="B110" s="70">
        <v>0</v>
      </c>
      <c r="C110" s="70" t="s">
        <v>76</v>
      </c>
      <c r="D110" s="70">
        <v>1</v>
      </c>
      <c r="E110" s="70" t="s">
        <v>75</v>
      </c>
      <c r="F110" s="70">
        <v>0</v>
      </c>
      <c r="G110" s="71" t="s">
        <v>85</v>
      </c>
      <c r="H110" s="17">
        <f ca="1">--TRIM(RIGHT(SUBSTITUTE(LEFT(C109,_xlfn.AGGREGATE(16,6,FIND({0,1,2,3,4,5,6,7,8,9},C109,ROW(INDIRECT("1:"&amp;LEN(C109)))),1))," ",REPT(" ",LEN(C109))),LEN(C109)))</f>
        <v>5</v>
      </c>
      <c r="I110" s="73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Brickwork, Internal Plaster, External Plaster, Flooring, Painting, Building common Amenities</v>
      </c>
      <c r="J110" s="50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1" spans="1:10" ht="16" thickBot="1" x14ac:dyDescent="0.4">
      <c r="A111" s="187" t="s">
        <v>95</v>
      </c>
      <c r="B111" s="188"/>
      <c r="C111" s="189" t="str">
        <f ca="1">(IF($G$52="NA",I109,"All work Completed. OC Received."))</f>
        <v>All work Completed. Possession granted to the Building.</v>
      </c>
      <c r="D111" s="189"/>
      <c r="E111" s="189"/>
      <c r="F111" s="189"/>
      <c r="G111" s="189"/>
      <c r="H111" s="190"/>
      <c r="I111" s="73" t="str">
        <f ca="1">IF(I110&lt;&gt;""," Completed","")</f>
        <v xml:space="preserve"> Completed</v>
      </c>
      <c r="J111" s="50" t="str">
        <f ca="1">IF(J109&lt;&gt;"","Completed","")</f>
        <v/>
      </c>
    </row>
    <row r="112" spans="1:10" ht="33.5" customHeight="1" x14ac:dyDescent="0.35">
      <c r="A112" s="117" t="s">
        <v>90</v>
      </c>
      <c r="B112" s="118"/>
      <c r="C112" s="119">
        <v>1</v>
      </c>
      <c r="D112" s="118"/>
      <c r="E112" s="120" t="s">
        <v>89</v>
      </c>
      <c r="F112" s="118"/>
      <c r="G112" s="121">
        <v>1</v>
      </c>
      <c r="H112" s="122"/>
      <c r="I112" s="73"/>
      <c r="J112" s="50"/>
    </row>
    <row r="113" spans="1:13" ht="15.75" hidden="1" customHeight="1" x14ac:dyDescent="0.35">
      <c r="A113" s="186" t="s">
        <v>52</v>
      </c>
      <c r="B113" s="186"/>
      <c r="C113" s="74" t="s">
        <v>145</v>
      </c>
      <c r="D113" s="74" t="s">
        <v>88</v>
      </c>
      <c r="E113" s="186" t="s">
        <v>90</v>
      </c>
      <c r="F113" s="186"/>
      <c r="G113" s="186" t="s">
        <v>89</v>
      </c>
      <c r="H113" s="186"/>
      <c r="I113" s="14" t="s">
        <v>147</v>
      </c>
      <c r="J113" s="27">
        <f ca="1">H110*25%</f>
        <v>1.25</v>
      </c>
    </row>
    <row r="114" spans="1:13" hidden="1" x14ac:dyDescent="0.35">
      <c r="A114" s="79" t="s">
        <v>134</v>
      </c>
      <c r="B114" s="79"/>
      <c r="C114" s="69">
        <f ca="1">J115</f>
        <v>5</v>
      </c>
      <c r="D114" s="19">
        <f ca="1">((100/H110)*C114)/100</f>
        <v>1</v>
      </c>
      <c r="E114" s="83">
        <f ca="1">(((C115/H110*10)+(40/(D110+F110+H110)*C116)+(7.5/(H110)*C117)+(7.5/(H110)*C118)+(10/H110*C119)+(10/H110*C120)+(5/H110*C121)+(5/H110*C122)+(5/H110*C123))/100)</f>
        <v>1</v>
      </c>
      <c r="F114" s="83"/>
      <c r="G114" s="83">
        <f ca="1">((((C114/H110)*20)+((C115/H110)*25)+(30/(H110+F110+D110)*C116)+(5/H110*C117)+(5/H110*C118)+(5/H110*C119)+(5/H110*C120)+(0/H110*C121)+(0/H110*C122)+(5/H110*C123))/100)</f>
        <v>1</v>
      </c>
      <c r="H114" s="83"/>
      <c r="I114" s="14" t="s">
        <v>105</v>
      </c>
      <c r="J114" s="28">
        <f ca="1">H110*50%</f>
        <v>2.5</v>
      </c>
    </row>
    <row r="115" spans="1:13" hidden="1" x14ac:dyDescent="0.35">
      <c r="A115" s="79" t="s">
        <v>53</v>
      </c>
      <c r="B115" s="79"/>
      <c r="C115" s="57">
        <f ca="1">J123</f>
        <v>5</v>
      </c>
      <c r="D115" s="19">
        <f ca="1">((100/H110)*C115)/100</f>
        <v>1</v>
      </c>
      <c r="E115" s="83"/>
      <c r="F115" s="83"/>
      <c r="G115" s="83"/>
      <c r="H115" s="83"/>
      <c r="I115" s="14" t="s">
        <v>106</v>
      </c>
      <c r="J115" s="28">
        <f ca="1">H110</f>
        <v>5</v>
      </c>
    </row>
    <row r="116" spans="1:13" ht="15.75" hidden="1" customHeight="1" x14ac:dyDescent="0.35">
      <c r="A116" s="79" t="s">
        <v>135</v>
      </c>
      <c r="B116" s="79"/>
      <c r="C116" s="69">
        <v>6</v>
      </c>
      <c r="D116" s="19">
        <f ca="1">((100/(D110+F110+H110))*C116)/100</f>
        <v>1</v>
      </c>
      <c r="E116" s="83"/>
      <c r="F116" s="83"/>
      <c r="G116" s="83"/>
      <c r="H116" s="83"/>
      <c r="I116" s="14" t="s">
        <v>107</v>
      </c>
      <c r="J116" s="29">
        <f ca="1">(IF(B110&gt;1,(H110/(B110+2)),H110/4))</f>
        <v>1.25</v>
      </c>
    </row>
    <row r="117" spans="1:13" ht="15.75" hidden="1" customHeight="1" x14ac:dyDescent="0.35">
      <c r="A117" s="79" t="s">
        <v>142</v>
      </c>
      <c r="B117" s="79" t="s">
        <v>136</v>
      </c>
      <c r="C117" s="69">
        <v>5</v>
      </c>
      <c r="D117" s="19">
        <f ca="1">((100/H110)*C117)/100</f>
        <v>1</v>
      </c>
      <c r="E117" s="83"/>
      <c r="F117" s="83"/>
      <c r="G117" s="83"/>
      <c r="H117" s="83"/>
      <c r="I117" s="14" t="s">
        <v>108</v>
      </c>
      <c r="J117" s="29">
        <f ca="1">(IF(B110&gt;1,(H110/(B110+2)+J116),H110/4+J116))</f>
        <v>2.5</v>
      </c>
    </row>
    <row r="118" spans="1:13" ht="15.75" hidden="1" customHeight="1" x14ac:dyDescent="0.35">
      <c r="A118" s="79" t="s">
        <v>143</v>
      </c>
      <c r="B118" s="79" t="s">
        <v>136</v>
      </c>
      <c r="C118" s="69">
        <v>5</v>
      </c>
      <c r="D118" s="19">
        <f ca="1">((100/H110)*C118)/100</f>
        <v>1</v>
      </c>
      <c r="E118" s="83"/>
      <c r="F118" s="83"/>
      <c r="G118" s="83"/>
      <c r="H118" s="83"/>
      <c r="I118" s="14" t="s">
        <v>152</v>
      </c>
      <c r="J118" s="29">
        <f>(IF(B110&gt;1,(H110/(B110+2)+J117),0))</f>
        <v>0</v>
      </c>
    </row>
    <row r="119" spans="1:13" ht="15" hidden="1" customHeight="1" x14ac:dyDescent="0.35">
      <c r="A119" s="79" t="s">
        <v>141</v>
      </c>
      <c r="B119" s="79" t="s">
        <v>138</v>
      </c>
      <c r="C119" s="69">
        <v>5</v>
      </c>
      <c r="D119" s="19">
        <f ca="1">((100/(H110))*C119)/100</f>
        <v>1</v>
      </c>
      <c r="E119" s="83"/>
      <c r="F119" s="83"/>
      <c r="G119" s="83"/>
      <c r="H119" s="83"/>
      <c r="I119" s="14" t="s">
        <v>149</v>
      </c>
      <c r="J119" s="29">
        <f>(IF(B110&gt;2,(H110/(B110+2)+J118),0))</f>
        <v>0</v>
      </c>
    </row>
    <row r="120" spans="1:13" ht="15.75" hidden="1" customHeight="1" x14ac:dyDescent="0.35">
      <c r="A120" s="79" t="s">
        <v>137</v>
      </c>
      <c r="B120" s="79" t="s">
        <v>137</v>
      </c>
      <c r="C120" s="69">
        <v>5</v>
      </c>
      <c r="D120" s="19">
        <f ca="1">((100/H110)*C120)/100</f>
        <v>1</v>
      </c>
      <c r="E120" s="83"/>
      <c r="F120" s="83"/>
      <c r="G120" s="83"/>
      <c r="H120" s="83"/>
      <c r="I120" s="14" t="s">
        <v>150</v>
      </c>
      <c r="J120" s="30">
        <f>(IF(B110&gt;3,(H110/(B110+2)+J119),0))</f>
        <v>0</v>
      </c>
    </row>
    <row r="121" spans="1:13" ht="15.75" hidden="1" customHeight="1" x14ac:dyDescent="0.35">
      <c r="A121" s="79" t="s">
        <v>144</v>
      </c>
      <c r="B121" s="79"/>
      <c r="C121" s="69">
        <v>5</v>
      </c>
      <c r="D121" s="19">
        <f ca="1">((100/H110)*C121)/100</f>
        <v>1</v>
      </c>
      <c r="E121" s="83"/>
      <c r="F121" s="83"/>
      <c r="G121" s="83"/>
      <c r="H121" s="83"/>
      <c r="I121" s="14" t="s">
        <v>151</v>
      </c>
      <c r="J121" s="29">
        <f>(IF(B110&gt;4,(H110/(B110+2)+J120),0))</f>
        <v>0</v>
      </c>
    </row>
    <row r="122" spans="1:13" ht="15.75" hidden="1" customHeight="1" x14ac:dyDescent="0.35">
      <c r="A122" s="79" t="s">
        <v>139</v>
      </c>
      <c r="B122" s="79" t="s">
        <v>139</v>
      </c>
      <c r="C122" s="69">
        <v>5</v>
      </c>
      <c r="D122" s="19">
        <f ca="1">((100/(H110))*C122)/100</f>
        <v>1</v>
      </c>
      <c r="E122" s="83"/>
      <c r="F122" s="83"/>
      <c r="G122" s="83"/>
      <c r="H122" s="83"/>
      <c r="I122" s="14" t="s">
        <v>153</v>
      </c>
      <c r="J122" s="29">
        <f ca="1">(IF(B110=1,(H110/(B110+3)+J117),IF(B110=0,(H110/4+J117),IF(B110&gt;1,0))))</f>
        <v>3.75</v>
      </c>
    </row>
    <row r="123" spans="1:13" ht="16" hidden="1" thickBot="1" x14ac:dyDescent="0.4">
      <c r="A123" s="79" t="s">
        <v>140</v>
      </c>
      <c r="B123" s="79"/>
      <c r="C123" s="69">
        <v>5</v>
      </c>
      <c r="D123" s="19">
        <f ca="1">((100/(H110))*C123)/100</f>
        <v>1</v>
      </c>
      <c r="E123" s="83"/>
      <c r="F123" s="83"/>
      <c r="G123" s="83"/>
      <c r="H123" s="83"/>
      <c r="I123" s="15" t="s">
        <v>109</v>
      </c>
      <c r="J123" s="31">
        <f ca="1">(IF(B110&gt;1.5,(H110/(B110+2)+J117+MAX(0,J118-J117)+MAX(0,J119-J118)+MAX(0,J120-J119)+MAX(0,J121-J120)+MAX(0,J122-J121)),IF(B110=1,(H110/(B110+3)+J122),IF(B110=0,H110/4+J122))))</f>
        <v>5</v>
      </c>
    </row>
    <row r="124" spans="1:13" x14ac:dyDescent="0.35">
      <c r="A124" s="169" t="s">
        <v>163</v>
      </c>
      <c r="B124" s="169"/>
      <c r="C124" s="169"/>
      <c r="D124" s="169"/>
      <c r="E124" s="169"/>
      <c r="F124" s="108" t="s">
        <v>168</v>
      </c>
      <c r="G124" s="108"/>
      <c r="H124" s="108"/>
    </row>
    <row r="125" spans="1:13" x14ac:dyDescent="0.35">
      <c r="A125" s="105" t="s">
        <v>166</v>
      </c>
      <c r="B125" s="105"/>
      <c r="C125" s="105"/>
      <c r="D125" s="105"/>
      <c r="E125" s="105"/>
      <c r="F125" s="92">
        <v>3700</v>
      </c>
      <c r="G125" s="92"/>
      <c r="H125" s="92"/>
      <c r="J125" s="63" t="s">
        <v>229</v>
      </c>
      <c r="K125" s="64">
        <v>45104</v>
      </c>
      <c r="L125" s="63" t="s">
        <v>227</v>
      </c>
      <c r="M125" s="63" t="s">
        <v>230</v>
      </c>
    </row>
    <row r="126" spans="1:13" x14ac:dyDescent="0.35">
      <c r="A126" s="105" t="s">
        <v>165</v>
      </c>
      <c r="B126" s="105"/>
      <c r="C126" s="105"/>
      <c r="D126" s="105"/>
      <c r="E126" s="105"/>
      <c r="F126" s="116">
        <v>6500</v>
      </c>
      <c r="G126" s="116"/>
      <c r="H126" s="116"/>
      <c r="I126" s="63" t="s">
        <v>236</v>
      </c>
      <c r="J126" s="64">
        <v>45429</v>
      </c>
      <c r="K126" s="63" t="s">
        <v>237</v>
      </c>
      <c r="L126" s="63" t="s">
        <v>238</v>
      </c>
    </row>
    <row r="127" spans="1:13" hidden="1" x14ac:dyDescent="0.35">
      <c r="A127" s="105" t="s">
        <v>167</v>
      </c>
      <c r="B127" s="105"/>
      <c r="C127" s="105"/>
      <c r="D127" s="105"/>
      <c r="E127" s="105"/>
      <c r="F127" s="116"/>
      <c r="G127" s="116"/>
      <c r="H127" s="116"/>
    </row>
    <row r="128" spans="1:13" s="32" customFormat="1" hidden="1" x14ac:dyDescent="0.3">
      <c r="A128" s="105" t="s">
        <v>164</v>
      </c>
      <c r="B128" s="105"/>
      <c r="C128" s="105"/>
      <c r="D128" s="105"/>
      <c r="E128" s="105"/>
      <c r="F128" s="116"/>
      <c r="G128" s="116"/>
      <c r="H128" s="116"/>
    </row>
    <row r="129" spans="1:11" s="32" customFormat="1" x14ac:dyDescent="0.3">
      <c r="A129" s="105" t="s">
        <v>100</v>
      </c>
      <c r="B129" s="105"/>
      <c r="C129" s="105"/>
      <c r="D129" s="105"/>
      <c r="E129" s="105"/>
      <c r="F129" s="116">
        <v>150000</v>
      </c>
      <c r="G129" s="116"/>
      <c r="H129" s="116"/>
    </row>
    <row r="130" spans="1:11" s="32" customFormat="1" hidden="1" x14ac:dyDescent="0.3">
      <c r="A130" s="105" t="s">
        <v>101</v>
      </c>
      <c r="B130" s="105"/>
      <c r="C130" s="105"/>
      <c r="D130" s="105"/>
      <c r="E130" s="105"/>
      <c r="F130" s="116"/>
      <c r="G130" s="116"/>
      <c r="H130" s="116"/>
    </row>
    <row r="131" spans="1:11" s="32" customFormat="1" hidden="1" x14ac:dyDescent="0.3">
      <c r="A131" s="105" t="s">
        <v>169</v>
      </c>
      <c r="B131" s="105"/>
      <c r="C131" s="105"/>
      <c r="D131" s="105"/>
      <c r="E131" s="105"/>
      <c r="F131" s="116"/>
      <c r="G131" s="116"/>
      <c r="H131" s="116"/>
    </row>
    <row r="132" spans="1:11" s="32" customFormat="1" hidden="1" x14ac:dyDescent="0.3">
      <c r="A132" s="105" t="s">
        <v>102</v>
      </c>
      <c r="B132" s="105"/>
      <c r="C132" s="105"/>
      <c r="D132" s="105"/>
      <c r="E132" s="105"/>
      <c r="F132" s="116"/>
      <c r="G132" s="116"/>
      <c r="H132" s="116"/>
    </row>
    <row r="133" spans="1:11" s="32" customFormat="1" hidden="1" x14ac:dyDescent="0.3">
      <c r="A133" s="105" t="s">
        <v>103</v>
      </c>
      <c r="B133" s="105"/>
      <c r="C133" s="105"/>
      <c r="D133" s="105"/>
      <c r="E133" s="105"/>
      <c r="F133" s="116"/>
      <c r="G133" s="116"/>
      <c r="H133" s="116"/>
    </row>
    <row r="134" spans="1:11" s="32" customFormat="1" x14ac:dyDescent="0.3">
      <c r="A134" s="105" t="s">
        <v>228</v>
      </c>
      <c r="B134" s="105"/>
      <c r="C134" s="105"/>
      <c r="D134" s="105"/>
      <c r="E134" s="105"/>
      <c r="F134" s="116">
        <v>80000</v>
      </c>
      <c r="G134" s="116"/>
      <c r="H134" s="116"/>
    </row>
    <row r="135" spans="1:11" s="32" customFormat="1" hidden="1" x14ac:dyDescent="0.3">
      <c r="A135" s="105" t="s">
        <v>104</v>
      </c>
      <c r="B135" s="105"/>
      <c r="C135" s="105"/>
      <c r="D135" s="105"/>
      <c r="E135" s="105"/>
      <c r="F135" s="116"/>
      <c r="G135" s="116"/>
      <c r="H135" s="116"/>
    </row>
    <row r="136" spans="1:11" x14ac:dyDescent="0.35">
      <c r="A136" s="105" t="s">
        <v>54</v>
      </c>
      <c r="B136" s="105"/>
      <c r="C136" s="105"/>
      <c r="D136" s="105"/>
      <c r="E136" s="105"/>
      <c r="F136" s="116">
        <v>200000</v>
      </c>
      <c r="G136" s="116"/>
      <c r="H136" s="116"/>
      <c r="I136" s="63" t="s">
        <v>239</v>
      </c>
      <c r="J136" s="63"/>
    </row>
    <row r="137" spans="1:11" s="33" customFormat="1" x14ac:dyDescent="0.35">
      <c r="A137" s="169" t="s">
        <v>55</v>
      </c>
      <c r="B137" s="169"/>
      <c r="C137" s="169"/>
      <c r="D137" s="169"/>
      <c r="E137" s="169"/>
      <c r="F137" s="116">
        <f>F125*0.8</f>
        <v>2960</v>
      </c>
      <c r="G137" s="116"/>
      <c r="H137" s="116"/>
    </row>
    <row r="138" spans="1:11" s="34" customFormat="1" ht="15.75" customHeight="1" x14ac:dyDescent="0.35">
      <c r="A138" s="152" t="s">
        <v>80</v>
      </c>
      <c r="B138" s="152"/>
      <c r="C138" s="152"/>
      <c r="D138" s="152"/>
      <c r="E138" s="152"/>
      <c r="F138" s="152"/>
      <c r="G138" s="152"/>
      <c r="H138" s="152"/>
    </row>
    <row r="139" spans="1:11" s="34" customFormat="1" ht="15.75" customHeight="1" x14ac:dyDescent="0.35">
      <c r="A139" s="109" t="s">
        <v>56</v>
      </c>
      <c r="B139" s="109"/>
      <c r="C139" s="115" t="s">
        <v>83</v>
      </c>
      <c r="D139" s="115"/>
      <c r="E139" s="193" t="s">
        <v>57</v>
      </c>
      <c r="F139" s="193"/>
      <c r="G139" s="109" t="s">
        <v>58</v>
      </c>
      <c r="H139" s="109"/>
    </row>
    <row r="140" spans="1:11" s="34" customFormat="1" x14ac:dyDescent="0.35">
      <c r="A140" s="52" t="s">
        <v>215</v>
      </c>
      <c r="B140" s="52" t="s">
        <v>216</v>
      </c>
      <c r="C140" s="110">
        <f>COUNT(D157:D159)</f>
        <v>3</v>
      </c>
      <c r="D140" s="111"/>
      <c r="E140" s="93">
        <f>SUM(D157:D159)</f>
        <v>792.33803999999998</v>
      </c>
      <c r="F140" s="94"/>
      <c r="G140" s="93">
        <f>SUM(F157:F159)</f>
        <v>1228.1239620000001</v>
      </c>
      <c r="H140" s="94"/>
    </row>
    <row r="141" spans="1:11" s="34" customFormat="1" x14ac:dyDescent="0.35">
      <c r="A141" s="152" t="s">
        <v>156</v>
      </c>
      <c r="B141" s="152"/>
      <c r="C141" s="114">
        <f>SUM(C140)</f>
        <v>3</v>
      </c>
      <c r="D141" s="115"/>
      <c r="E141" s="114">
        <f t="shared" ref="E141" si="0">SUM(E140)</f>
        <v>792.33803999999998</v>
      </c>
      <c r="F141" s="115"/>
      <c r="G141" s="114">
        <f t="shared" ref="G141" si="1">SUM(G140)</f>
        <v>1228.1239620000001</v>
      </c>
      <c r="H141" s="115"/>
    </row>
    <row r="142" spans="1:11" s="34" customFormat="1" x14ac:dyDescent="0.35">
      <c r="A142" s="152" t="s">
        <v>74</v>
      </c>
      <c r="B142" s="152"/>
      <c r="C142" s="152"/>
      <c r="D142" s="152"/>
      <c r="E142" s="152"/>
      <c r="F142" s="152"/>
      <c r="G142" s="152"/>
      <c r="H142" s="152"/>
    </row>
    <row r="143" spans="1:11" s="34" customFormat="1" ht="15.75" customHeight="1" x14ac:dyDescent="0.35">
      <c r="A143" s="109" t="s">
        <v>56</v>
      </c>
      <c r="B143" s="109"/>
      <c r="C143" s="115" t="s">
        <v>83</v>
      </c>
      <c r="D143" s="115"/>
      <c r="E143" s="193" t="s">
        <v>57</v>
      </c>
      <c r="F143" s="193"/>
      <c r="G143" s="109" t="s">
        <v>58</v>
      </c>
      <c r="H143" s="109"/>
      <c r="J143" s="34" t="s">
        <v>225</v>
      </c>
      <c r="K143" s="34" t="s">
        <v>196</v>
      </c>
    </row>
    <row r="144" spans="1:11" s="34" customFormat="1" x14ac:dyDescent="0.35">
      <c r="A144" s="52" t="s">
        <v>215</v>
      </c>
      <c r="B144" s="52" t="s">
        <v>216</v>
      </c>
      <c r="C144" s="110">
        <f>COUNT(D166:D167)+COUNT(D169:D177)*7</f>
        <v>65</v>
      </c>
      <c r="D144" s="110"/>
      <c r="E144" s="93">
        <f>SUM(D166:D167)+SUM(D169:D177)*7</f>
        <v>23473.162440000007</v>
      </c>
      <c r="F144" s="93"/>
      <c r="G144" s="93">
        <f>SUM(F166:F167)+SUM(F169:F177)*7</f>
        <v>34036.085538000007</v>
      </c>
      <c r="H144" s="93"/>
      <c r="J144" s="34">
        <v>3500</v>
      </c>
      <c r="K144" s="35">
        <f>3174000/F159</f>
        <v>9266.4329108242819</v>
      </c>
    </row>
    <row r="145" spans="1:14" s="34" customFormat="1" x14ac:dyDescent="0.35">
      <c r="A145" s="191" t="s">
        <v>217</v>
      </c>
      <c r="B145" s="52" t="s">
        <v>216</v>
      </c>
      <c r="C145" s="110">
        <f>COUNT(D181:D184)+COUNT(D188:D193)*5</f>
        <v>34</v>
      </c>
      <c r="D145" s="110"/>
      <c r="E145" s="93">
        <f>SUM(D181:D184)+SUM(D188:D193)*5</f>
        <v>10639.998719999998</v>
      </c>
      <c r="F145" s="93"/>
      <c r="G145" s="93">
        <f>SUM(F181:F184)+SUM(F188:F193)*5</f>
        <v>15427.998143999997</v>
      </c>
      <c r="H145" s="93"/>
      <c r="K145" s="35">
        <f>4435200/F158</f>
        <v>8890.7138586528054</v>
      </c>
    </row>
    <row r="146" spans="1:14" s="34" customFormat="1" x14ac:dyDescent="0.35">
      <c r="A146" s="192"/>
      <c r="B146" s="52" t="s">
        <v>219</v>
      </c>
      <c r="C146" s="110">
        <f>COUNT(D197:D199)+COUNT(D201:D204)*5</f>
        <v>23</v>
      </c>
      <c r="D146" s="110"/>
      <c r="E146" s="93">
        <f>SUM(D197:D199)+SUM(D201:D204)*5</f>
        <v>5979.1867200000006</v>
      </c>
      <c r="F146" s="93"/>
      <c r="G146" s="93">
        <f>SUM(F197:F199)+SUM(F201:F204)*5</f>
        <v>8669.8207439999987</v>
      </c>
      <c r="H146" s="93"/>
    </row>
    <row r="147" spans="1:14" s="34" customFormat="1" x14ac:dyDescent="0.35">
      <c r="A147" s="191" t="s">
        <v>218</v>
      </c>
      <c r="B147" s="52" t="s">
        <v>216</v>
      </c>
      <c r="C147" s="110">
        <f>COUNT(D208:D210)+COUNT(D213:D216)*5</f>
        <v>23</v>
      </c>
      <c r="D147" s="110"/>
      <c r="E147" s="93">
        <f>SUM(D208:D210)+SUM(D213:D216)*5</f>
        <v>7194.4423200000001</v>
      </c>
      <c r="F147" s="93"/>
      <c r="G147" s="93">
        <f>SUM(F208:F210)+SUM(F213:F216)*5</f>
        <v>10431.941363999998</v>
      </c>
      <c r="H147" s="93"/>
    </row>
    <row r="148" spans="1:14" s="34" customFormat="1" x14ac:dyDescent="0.35">
      <c r="A148" s="192"/>
      <c r="B148" s="52" t="s">
        <v>219</v>
      </c>
      <c r="C148" s="110">
        <f>COUNT(D219:D221)+COUNT(D223:D226)*5</f>
        <v>23</v>
      </c>
      <c r="D148" s="110"/>
      <c r="E148" s="93">
        <f>SUM(D219:D221)+SUM(D223:D226)*5</f>
        <v>5347.5551999999998</v>
      </c>
      <c r="F148" s="93"/>
      <c r="G148" s="93">
        <f>SUM(F219:F221)+SUM(F223:F226)*5</f>
        <v>7753.9550399999989</v>
      </c>
      <c r="H148" s="93"/>
      <c r="J148" s="34" t="s">
        <v>226</v>
      </c>
      <c r="K148" s="34">
        <v>3200</v>
      </c>
    </row>
    <row r="149" spans="1:14" s="34" customFormat="1" x14ac:dyDescent="0.35">
      <c r="A149" s="152" t="s">
        <v>156</v>
      </c>
      <c r="B149" s="152"/>
      <c r="C149" s="114">
        <f>SUM(C144:C148)</f>
        <v>168</v>
      </c>
      <c r="D149" s="115"/>
      <c r="E149" s="114">
        <f t="shared" ref="E149" si="2">SUM(E144:E148)</f>
        <v>52634.345400000006</v>
      </c>
      <c r="F149" s="115"/>
      <c r="G149" s="114">
        <f t="shared" ref="G149" si="3">SUM(G144:G148)</f>
        <v>76319.800829999993</v>
      </c>
      <c r="H149" s="115"/>
    </row>
    <row r="150" spans="1:14" s="33" customFormat="1" x14ac:dyDescent="0.35">
      <c r="A150" s="108" t="s">
        <v>59</v>
      </c>
      <c r="B150" s="108"/>
      <c r="C150" s="108"/>
      <c r="D150" s="108"/>
      <c r="E150" s="108"/>
      <c r="F150" s="108"/>
      <c r="G150" s="108"/>
      <c r="H150" s="108"/>
    </row>
    <row r="151" spans="1:14" x14ac:dyDescent="0.35">
      <c r="A151" s="108" t="s">
        <v>60</v>
      </c>
      <c r="B151" s="108"/>
      <c r="C151" s="108"/>
      <c r="D151" s="108"/>
      <c r="E151" s="108"/>
      <c r="F151" s="108"/>
      <c r="G151" s="108"/>
      <c r="H151" s="108"/>
    </row>
    <row r="152" spans="1:14" ht="47.25" customHeight="1" x14ac:dyDescent="0.35">
      <c r="A152" s="112" t="s">
        <v>125</v>
      </c>
      <c r="B152" s="112" t="s">
        <v>124</v>
      </c>
      <c r="C152" s="112" t="s">
        <v>61</v>
      </c>
      <c r="D152" s="112" t="s">
        <v>62</v>
      </c>
      <c r="E152" s="154" t="s">
        <v>162</v>
      </c>
      <c r="F152" s="42" t="s">
        <v>155</v>
      </c>
      <c r="G152" s="156" t="s">
        <v>64</v>
      </c>
      <c r="H152" s="157"/>
    </row>
    <row r="153" spans="1:14" s="36" customFormat="1" x14ac:dyDescent="0.35">
      <c r="A153" s="113"/>
      <c r="B153" s="113"/>
      <c r="C153" s="113"/>
      <c r="D153" s="113"/>
      <c r="E153" s="155"/>
      <c r="F153" s="13">
        <v>0.55000000000000004</v>
      </c>
      <c r="G153" s="158"/>
      <c r="H153" s="159"/>
    </row>
    <row r="154" spans="1:14" s="53" customFormat="1" x14ac:dyDescent="0.35">
      <c r="A154" s="146" t="s">
        <v>200</v>
      </c>
      <c r="B154" s="147"/>
      <c r="C154" s="147"/>
      <c r="D154" s="147"/>
      <c r="E154" s="147"/>
      <c r="F154" s="147"/>
      <c r="G154" s="147"/>
      <c r="H154" s="148"/>
      <c r="J154" s="35"/>
    </row>
    <row r="155" spans="1:14" s="53" customFormat="1" x14ac:dyDescent="0.35">
      <c r="A155" s="146" t="s">
        <v>201</v>
      </c>
      <c r="B155" s="147"/>
      <c r="C155" s="147"/>
      <c r="D155" s="147"/>
      <c r="E155" s="147"/>
      <c r="F155" s="147"/>
      <c r="G155" s="147"/>
      <c r="H155" s="148"/>
      <c r="J155" s="35"/>
    </row>
    <row r="156" spans="1:14" s="36" customFormat="1" ht="32.25" customHeight="1" x14ac:dyDescent="0.35">
      <c r="A156" s="146" t="s">
        <v>233</v>
      </c>
      <c r="B156" s="147"/>
      <c r="C156" s="147"/>
      <c r="D156" s="147"/>
      <c r="E156" s="147"/>
      <c r="F156" s="147"/>
      <c r="G156" s="147"/>
      <c r="H156" s="148"/>
      <c r="J156" s="35"/>
      <c r="L156" s="58"/>
      <c r="M156" s="58"/>
    </row>
    <row r="157" spans="1:14" s="36" customFormat="1" ht="15.75" customHeight="1" x14ac:dyDescent="0.35">
      <c r="A157" s="101">
        <v>1</v>
      </c>
      <c r="B157" s="102"/>
      <c r="C157" s="41" t="s">
        <v>196</v>
      </c>
      <c r="D157" s="56">
        <f>(23.18)*(10.764)</f>
        <v>249.50951999999998</v>
      </c>
      <c r="E157" s="41">
        <v>0</v>
      </c>
      <c r="F157" s="41">
        <f>(D157+E157)*(($F$153)+1)</f>
        <v>386.739756</v>
      </c>
      <c r="G157" s="140" t="str">
        <f>A156</f>
        <v>Ground/Stilt Floor For Part Commercial, Society Office, 
Driver Room, Entrance Lobby &amp; Parking</v>
      </c>
      <c r="H157" s="141"/>
      <c r="I157" s="35">
        <f>7.9*2.9</f>
        <v>22.91</v>
      </c>
      <c r="J157" s="36">
        <v>270</v>
      </c>
      <c r="K157" s="36">
        <f>J157/D157</f>
        <v>1.082123038832346</v>
      </c>
      <c r="M157" s="58"/>
      <c r="N157" s="35"/>
    </row>
    <row r="158" spans="1:14" s="36" customFormat="1" ht="15.75" customHeight="1" x14ac:dyDescent="0.35">
      <c r="A158" s="101">
        <f t="shared" ref="A158:A159" si="4">A157+1</f>
        <v>2</v>
      </c>
      <c r="B158" s="102"/>
      <c r="C158" s="51" t="s">
        <v>196</v>
      </c>
      <c r="D158" s="56">
        <f>(29.9)*(10.764)</f>
        <v>321.84359999999998</v>
      </c>
      <c r="E158" s="41">
        <v>0</v>
      </c>
      <c r="F158" s="41">
        <f t="shared" ref="F158:F159" si="5">(D158+E158)*(($F$153)+1)</f>
        <v>498.85757999999998</v>
      </c>
      <c r="G158" s="142"/>
      <c r="H158" s="143"/>
      <c r="I158" s="35">
        <f>7.9*3.75</f>
        <v>29.625</v>
      </c>
      <c r="J158" s="36">
        <v>385</v>
      </c>
      <c r="K158" s="53">
        <f t="shared" ref="K158:K159" si="6">J158/D158</f>
        <v>1.1962332014680424</v>
      </c>
      <c r="M158" s="58"/>
      <c r="N158" s="35"/>
    </row>
    <row r="159" spans="1:14" s="36" customFormat="1" ht="15.75" customHeight="1" x14ac:dyDescent="0.35">
      <c r="A159" s="101">
        <f t="shared" si="4"/>
        <v>3</v>
      </c>
      <c r="B159" s="102"/>
      <c r="C159" s="51" t="s">
        <v>196</v>
      </c>
      <c r="D159" s="56">
        <f>(20.53)*(10.764)</f>
        <v>220.98491999999999</v>
      </c>
      <c r="E159" s="41">
        <v>0</v>
      </c>
      <c r="F159" s="41">
        <f t="shared" si="5"/>
        <v>342.52662599999996</v>
      </c>
      <c r="G159" s="144"/>
      <c r="H159" s="145"/>
      <c r="I159" s="35">
        <f>6.95*2.9</f>
        <v>20.155000000000001</v>
      </c>
      <c r="J159" s="36">
        <v>270</v>
      </c>
      <c r="K159" s="53">
        <f t="shared" si="6"/>
        <v>1.2218028270888348</v>
      </c>
      <c r="L159" s="58"/>
      <c r="M159" s="58"/>
      <c r="N159" s="35"/>
    </row>
    <row r="160" spans="1:14" s="36" customFormat="1" x14ac:dyDescent="0.35">
      <c r="A160" s="101"/>
      <c r="B160" s="139"/>
      <c r="C160" s="139"/>
      <c r="D160" s="139"/>
      <c r="E160" s="139"/>
      <c r="F160" s="139"/>
      <c r="G160" s="139"/>
      <c r="H160" s="102"/>
      <c r="I160" s="35"/>
      <c r="K160" s="61">
        <f>7500*F159</f>
        <v>2568949.6949999998</v>
      </c>
      <c r="N160" s="35"/>
    </row>
    <row r="161" spans="1:14" ht="47.25" customHeight="1" x14ac:dyDescent="0.35">
      <c r="A161" s="156" t="s">
        <v>126</v>
      </c>
      <c r="B161" s="156" t="s">
        <v>127</v>
      </c>
      <c r="C161" s="112" t="s">
        <v>61</v>
      </c>
      <c r="D161" s="112" t="s">
        <v>62</v>
      </c>
      <c r="E161" s="154" t="s">
        <v>63</v>
      </c>
      <c r="F161" s="42" t="s">
        <v>155</v>
      </c>
      <c r="G161" s="156" t="s">
        <v>64</v>
      </c>
      <c r="H161" s="157"/>
      <c r="I161" s="35"/>
    </row>
    <row r="162" spans="1:14" s="36" customFormat="1" x14ac:dyDescent="0.35">
      <c r="A162" s="158"/>
      <c r="B162" s="158"/>
      <c r="C162" s="113"/>
      <c r="D162" s="113"/>
      <c r="E162" s="155"/>
      <c r="F162" s="13">
        <v>0.45</v>
      </c>
      <c r="G162" s="158"/>
      <c r="H162" s="159"/>
      <c r="I162" s="35"/>
    </row>
    <row r="163" spans="1:14" s="53" customFormat="1" x14ac:dyDescent="0.35">
      <c r="A163" s="103" t="s">
        <v>200</v>
      </c>
      <c r="B163" s="103"/>
      <c r="C163" s="103"/>
      <c r="D163" s="103"/>
      <c r="E163" s="103"/>
      <c r="F163" s="103"/>
      <c r="G163" s="103"/>
      <c r="H163" s="103"/>
      <c r="J163" s="35"/>
    </row>
    <row r="164" spans="1:14" s="53" customFormat="1" x14ac:dyDescent="0.35">
      <c r="A164" s="103" t="s">
        <v>201</v>
      </c>
      <c r="B164" s="103"/>
      <c r="C164" s="103"/>
      <c r="D164" s="103"/>
      <c r="E164" s="103"/>
      <c r="F164" s="103"/>
      <c r="G164" s="103"/>
      <c r="H164" s="103"/>
      <c r="J164" s="35"/>
    </row>
    <row r="165" spans="1:14" s="36" customFormat="1" x14ac:dyDescent="0.35">
      <c r="A165" s="103" t="s">
        <v>198</v>
      </c>
      <c r="B165" s="103"/>
      <c r="C165" s="103"/>
      <c r="D165" s="103"/>
      <c r="E165" s="103"/>
      <c r="F165" s="103"/>
      <c r="G165" s="103"/>
      <c r="H165" s="103"/>
      <c r="J165" s="35"/>
    </row>
    <row r="166" spans="1:14" s="36" customFormat="1" ht="15.75" customHeight="1" x14ac:dyDescent="0.35">
      <c r="A166" s="104">
        <v>1</v>
      </c>
      <c r="B166" s="104"/>
      <c r="C166" s="68" t="s">
        <v>197</v>
      </c>
      <c r="D166" s="56">
        <f>(31.25)*(10.764)</f>
        <v>336.375</v>
      </c>
      <c r="E166" s="68">
        <v>0</v>
      </c>
      <c r="F166" s="68">
        <f>D166*(($F$162)+1)+(IF(E166&lt;101,E166,IF(E166&lt;201,E166/2,IF(E166&lt;=301,E166/3,E166/4))))</f>
        <v>487.74374999999998</v>
      </c>
      <c r="G166" s="104" t="str">
        <f>A165</f>
        <v>Ground/Stilt Floor For Part Residential</v>
      </c>
      <c r="H166" s="104"/>
      <c r="I166" s="35">
        <f>2.75*3.85+2.15*2.9+2.75*2.9+1.65*1.1+1.2*1.85+1.95*0.45</f>
        <v>29.71</v>
      </c>
      <c r="L166" s="185"/>
      <c r="M166" s="185"/>
      <c r="N166" s="35">
        <f>3800*F166</f>
        <v>1853426.25</v>
      </c>
    </row>
    <row r="167" spans="1:14" s="36" customFormat="1" ht="15.75" customHeight="1" x14ac:dyDescent="0.35">
      <c r="A167" s="104">
        <f t="shared" ref="A167" si="7">A166+1</f>
        <v>2</v>
      </c>
      <c r="B167" s="104"/>
      <c r="C167" s="68" t="s">
        <v>197</v>
      </c>
      <c r="D167" s="56">
        <f>(29.58)*(10.764)</f>
        <v>318.39911999999998</v>
      </c>
      <c r="E167" s="68">
        <v>0</v>
      </c>
      <c r="F167" s="68">
        <f>D167*(($F$162)+1)+(IF(E167&lt;101,E167,IF(E167&lt;201,E167/2,IF(E167&lt;=301,E167/3,E167/4))))</f>
        <v>461.67872399999999</v>
      </c>
      <c r="G167" s="104"/>
      <c r="H167" s="104"/>
      <c r="I167" s="35"/>
      <c r="L167" s="185"/>
      <c r="M167" s="185"/>
      <c r="N167" s="35">
        <f t="shared" ref="N167:N226" si="8">3800*F167</f>
        <v>1754379.1512</v>
      </c>
    </row>
    <row r="168" spans="1:14" s="36" customFormat="1" x14ac:dyDescent="0.35">
      <c r="A168" s="103" t="s">
        <v>202</v>
      </c>
      <c r="B168" s="103"/>
      <c r="C168" s="103"/>
      <c r="D168" s="103"/>
      <c r="E168" s="103"/>
      <c r="F168" s="103"/>
      <c r="G168" s="103"/>
      <c r="H168" s="103"/>
      <c r="I168" s="35"/>
      <c r="L168" s="185"/>
      <c r="M168" s="185"/>
      <c r="N168" s="35">
        <f t="shared" si="8"/>
        <v>0</v>
      </c>
    </row>
    <row r="169" spans="1:14" s="36" customFormat="1" ht="15.75" customHeight="1" x14ac:dyDescent="0.35">
      <c r="A169" s="104">
        <v>1</v>
      </c>
      <c r="B169" s="104"/>
      <c r="C169" s="68" t="s">
        <v>197</v>
      </c>
      <c r="D169" s="56">
        <f>(34.5)*(10.764)</f>
        <v>371.358</v>
      </c>
      <c r="E169" s="68">
        <v>0</v>
      </c>
      <c r="F169" s="68">
        <f t="shared" ref="F169:F170" si="9">D169*(($F$162)+1)+(IF(E169&lt;101,E169,IF(E169&lt;201,E169/2,IF(E169&lt;=301,E169/3,E169/4))))</f>
        <v>538.46910000000003</v>
      </c>
      <c r="G169" s="104" t="str">
        <f>A168</f>
        <v>1st to 7th Floor For Residential</v>
      </c>
      <c r="H169" s="104"/>
      <c r="I169" s="35">
        <f>2.75*3.85+2.15*2.9+2.75*2.9+1.65*1.1+1.2*1.85+1.95*0.45</f>
        <v>29.71</v>
      </c>
      <c r="J169" s="36">
        <f>1*2.75</f>
        <v>2.75</v>
      </c>
      <c r="K169" s="36">
        <f>30+2.75</f>
        <v>32.75</v>
      </c>
      <c r="L169" s="36">
        <f>31.8+2.7</f>
        <v>34.5</v>
      </c>
      <c r="M169" s="36">
        <f>F169/D169</f>
        <v>1.45</v>
      </c>
      <c r="N169" s="35">
        <f t="shared" si="8"/>
        <v>2046182.58</v>
      </c>
    </row>
    <row r="170" spans="1:14" s="36" customFormat="1" ht="15.75" customHeight="1" x14ac:dyDescent="0.35">
      <c r="A170" s="104">
        <f t="shared" ref="A170:A177" si="10">A169+1</f>
        <v>2</v>
      </c>
      <c r="B170" s="104"/>
      <c r="C170" s="68" t="s">
        <v>197</v>
      </c>
      <c r="D170" s="56">
        <f>(34.5)*(10.764)</f>
        <v>371.358</v>
      </c>
      <c r="E170" s="68">
        <v>0</v>
      </c>
      <c r="F170" s="68">
        <f t="shared" si="9"/>
        <v>538.46910000000003</v>
      </c>
      <c r="G170" s="104"/>
      <c r="H170" s="104"/>
      <c r="I170" s="35"/>
      <c r="J170" s="36">
        <f>1700000/F170</f>
        <v>3157.0985224593201</v>
      </c>
      <c r="M170" s="53">
        <f t="shared" ref="M170:M177" si="11">F170/D170</f>
        <v>1.45</v>
      </c>
      <c r="N170" s="35">
        <f t="shared" si="8"/>
        <v>2046182.58</v>
      </c>
    </row>
    <row r="171" spans="1:14" s="36" customFormat="1" ht="15.75" customHeight="1" x14ac:dyDescent="0.35">
      <c r="A171" s="104">
        <f t="shared" si="10"/>
        <v>3</v>
      </c>
      <c r="B171" s="104"/>
      <c r="C171" s="68" t="s">
        <v>197</v>
      </c>
      <c r="D171" s="56">
        <f>(34.5)*(10.764)</f>
        <v>371.358</v>
      </c>
      <c r="E171" s="68">
        <v>0</v>
      </c>
      <c r="F171" s="68">
        <f>D171*(($F$162)+1)+(IF(E171&lt;101,E171,IF(E171&lt;201,E171/2,IF(E171&lt;=301,E171/3,E171/4))))</f>
        <v>538.46910000000003</v>
      </c>
      <c r="G171" s="104"/>
      <c r="H171" s="104"/>
      <c r="I171" s="35"/>
      <c r="M171" s="53">
        <f t="shared" si="11"/>
        <v>1.45</v>
      </c>
      <c r="N171" s="35">
        <f t="shared" si="8"/>
        <v>2046182.58</v>
      </c>
    </row>
    <row r="172" spans="1:14" s="36" customFormat="1" ht="15.75" customHeight="1" x14ac:dyDescent="0.35">
      <c r="A172" s="104">
        <f t="shared" si="10"/>
        <v>4</v>
      </c>
      <c r="B172" s="104"/>
      <c r="C172" s="68" t="s">
        <v>197</v>
      </c>
      <c r="D172" s="56">
        <f>(34.5)*(10.764)</f>
        <v>371.358</v>
      </c>
      <c r="E172" s="68">
        <v>0</v>
      </c>
      <c r="F172" s="68">
        <f>D172*(($F$162)+1)+(IF(E172&lt;101,E172,IF(E172&lt;201,E172/2,IF(E172&lt;=301,E172/3,E172/4))))</f>
        <v>538.46910000000003</v>
      </c>
      <c r="G172" s="104"/>
      <c r="H172" s="104"/>
      <c r="I172" s="35"/>
      <c r="M172" s="53">
        <f t="shared" si="11"/>
        <v>1.45</v>
      </c>
      <c r="N172" s="35">
        <f>3800*F172</f>
        <v>2046182.58</v>
      </c>
    </row>
    <row r="173" spans="1:14" s="36" customFormat="1" ht="15.75" customHeight="1" x14ac:dyDescent="0.35">
      <c r="A173" s="104">
        <f t="shared" si="10"/>
        <v>5</v>
      </c>
      <c r="B173" s="104"/>
      <c r="C173" s="68" t="s">
        <v>197</v>
      </c>
      <c r="D173" s="56">
        <f>(32.83)*(10.764)</f>
        <v>353.38211999999999</v>
      </c>
      <c r="E173" s="68">
        <v>0</v>
      </c>
      <c r="F173" s="68">
        <f>D173*(($F$162)+1)+(IF(E173&lt;101,E173,IF(E173&lt;201,E173/2,IF(E173&lt;=301,E173/3,E173/4))))</f>
        <v>512.40407399999992</v>
      </c>
      <c r="G173" s="104"/>
      <c r="H173" s="104"/>
      <c r="I173" s="35"/>
      <c r="J173" s="36">
        <f>30.13+2.7</f>
        <v>32.83</v>
      </c>
      <c r="M173" s="53">
        <f t="shared" si="11"/>
        <v>1.4499999999999997</v>
      </c>
      <c r="N173" s="35">
        <f t="shared" si="8"/>
        <v>1947135.4811999998</v>
      </c>
    </row>
    <row r="174" spans="1:14" s="53" customFormat="1" ht="15.75" customHeight="1" x14ac:dyDescent="0.35">
      <c r="A174" s="104">
        <f t="shared" si="10"/>
        <v>6</v>
      </c>
      <c r="B174" s="104"/>
      <c r="C174" s="68" t="s">
        <v>197</v>
      </c>
      <c r="D174" s="56">
        <f>(34.5)*(10.764)</f>
        <v>371.358</v>
      </c>
      <c r="E174" s="68">
        <v>0</v>
      </c>
      <c r="F174" s="68">
        <f t="shared" ref="F174" si="12">D174*(($F$162)+1)+(IF(E174&lt;101,E174,IF(E174&lt;201,E174/2,IF(E174&lt;=301,E174/3,E174/4))))</f>
        <v>538.46910000000003</v>
      </c>
      <c r="G174" s="104"/>
      <c r="H174" s="104"/>
      <c r="I174" s="35"/>
      <c r="L174" s="53">
        <f>25.61+2.9</f>
        <v>28.509999999999998</v>
      </c>
      <c r="M174" s="53">
        <f t="shared" si="11"/>
        <v>1.45</v>
      </c>
      <c r="N174" s="35">
        <f t="shared" si="8"/>
        <v>2046182.58</v>
      </c>
    </row>
    <row r="175" spans="1:14" s="53" customFormat="1" ht="15.75" customHeight="1" x14ac:dyDescent="0.35">
      <c r="A175" s="104">
        <f t="shared" si="10"/>
        <v>7</v>
      </c>
      <c r="B175" s="104"/>
      <c r="C175" s="68" t="s">
        <v>197</v>
      </c>
      <c r="D175" s="56">
        <f>(34.5)*(10.764)</f>
        <v>371.358</v>
      </c>
      <c r="E175" s="68">
        <v>0</v>
      </c>
      <c r="F175" s="68">
        <f>D175*(($F$162)+1)+(IF(E175&lt;101,E175,IF(E175&lt;201,E175/2,IF(E175&lt;=301,E175/3,E175/4))))</f>
        <v>538.46910000000003</v>
      </c>
      <c r="G175" s="104"/>
      <c r="H175" s="104"/>
      <c r="I175" s="35"/>
      <c r="M175" s="53">
        <f t="shared" si="11"/>
        <v>1.45</v>
      </c>
      <c r="N175" s="35">
        <f t="shared" si="8"/>
        <v>2046182.58</v>
      </c>
    </row>
    <row r="176" spans="1:14" s="53" customFormat="1" ht="15.75" customHeight="1" x14ac:dyDescent="0.35">
      <c r="A176" s="104">
        <f t="shared" si="10"/>
        <v>8</v>
      </c>
      <c r="B176" s="104"/>
      <c r="C176" s="68" t="s">
        <v>197</v>
      </c>
      <c r="D176" s="56">
        <f>(34.5)*(10.764)</f>
        <v>371.358</v>
      </c>
      <c r="E176" s="68">
        <v>0</v>
      </c>
      <c r="F176" s="68">
        <f>D176*(($F$162)+1)+(IF(E176&lt;101,E176,IF(E176&lt;201,E176/2,IF(E176&lt;=301,E176/3,E176/4))))</f>
        <v>538.46910000000003</v>
      </c>
      <c r="G176" s="104"/>
      <c r="H176" s="104"/>
      <c r="I176" s="35"/>
      <c r="M176" s="53">
        <f t="shared" si="11"/>
        <v>1.45</v>
      </c>
      <c r="N176" s="35">
        <f t="shared" si="8"/>
        <v>2046182.58</v>
      </c>
    </row>
    <row r="177" spans="1:14" s="53" customFormat="1" ht="15.75" customHeight="1" x14ac:dyDescent="0.35">
      <c r="A177" s="104">
        <f t="shared" si="10"/>
        <v>9</v>
      </c>
      <c r="B177" s="104"/>
      <c r="C177" s="68" t="s">
        <v>203</v>
      </c>
      <c r="D177" s="56">
        <f>(28.51)*(10.764)</f>
        <v>306.88164</v>
      </c>
      <c r="E177" s="68">
        <v>0</v>
      </c>
      <c r="F177" s="68">
        <f>D177*(($F$162)+1)+(IF(E177&lt;101,E177,IF(E177&lt;201,E177/2,IF(E177&lt;=301,E177/3,E177/4))))</f>
        <v>444.97837800000002</v>
      </c>
      <c r="G177" s="104"/>
      <c r="H177" s="104"/>
      <c r="I177" s="35">
        <f>2.9*3.85+1.05*1.95+1.55*1.2+0.9*1.2+1.7*0.95+2.6*2.45</f>
        <v>24.137499999999996</v>
      </c>
      <c r="L177" s="53">
        <f>25.61+2.9</f>
        <v>28.509999999999998</v>
      </c>
      <c r="M177" s="53">
        <f t="shared" si="11"/>
        <v>1.45</v>
      </c>
      <c r="N177" s="35">
        <f t="shared" si="8"/>
        <v>1690917.8364000001</v>
      </c>
    </row>
    <row r="178" spans="1:14" s="53" customFormat="1" x14ac:dyDescent="0.35">
      <c r="A178" s="146" t="s">
        <v>235</v>
      </c>
      <c r="B178" s="147"/>
      <c r="C178" s="147"/>
      <c r="D178" s="147"/>
      <c r="E178" s="147"/>
      <c r="F178" s="147"/>
      <c r="G178" s="147"/>
      <c r="H178" s="148"/>
      <c r="J178" s="35"/>
      <c r="N178" s="35">
        <f t="shared" si="8"/>
        <v>0</v>
      </c>
    </row>
    <row r="179" spans="1:14" s="53" customFormat="1" x14ac:dyDescent="0.35">
      <c r="A179" s="146" t="s">
        <v>201</v>
      </c>
      <c r="B179" s="147"/>
      <c r="C179" s="147"/>
      <c r="D179" s="147"/>
      <c r="E179" s="147"/>
      <c r="F179" s="147"/>
      <c r="G179" s="147"/>
      <c r="H179" s="148"/>
      <c r="J179" s="35"/>
      <c r="N179" s="35">
        <f t="shared" si="8"/>
        <v>0</v>
      </c>
    </row>
    <row r="180" spans="1:14" s="36" customFormat="1" ht="15.75" customHeight="1" x14ac:dyDescent="0.35">
      <c r="A180" s="146" t="s">
        <v>209</v>
      </c>
      <c r="B180" s="147"/>
      <c r="C180" s="147"/>
      <c r="D180" s="147"/>
      <c r="E180" s="147"/>
      <c r="F180" s="147"/>
      <c r="G180" s="147"/>
      <c r="H180" s="148"/>
      <c r="I180" s="35"/>
      <c r="J180" s="55">
        <f>31.8+2.7</f>
        <v>34.5</v>
      </c>
      <c r="N180" s="35">
        <f t="shared" si="8"/>
        <v>0</v>
      </c>
    </row>
    <row r="181" spans="1:14" s="36" customFormat="1" ht="15.75" customHeight="1" x14ac:dyDescent="0.35">
      <c r="A181" s="101">
        <v>1</v>
      </c>
      <c r="B181" s="102"/>
      <c r="C181" s="51" t="s">
        <v>197</v>
      </c>
      <c r="D181" s="56">
        <f>(29.06)*(10.764)</f>
        <v>312.80183999999997</v>
      </c>
      <c r="E181" s="41">
        <v>0</v>
      </c>
      <c r="F181" s="41">
        <f>D181*(($F$162)+1)+(IF(E181&lt;101,E181,IF(E181&lt;201,E181/2,IF(E181&lt;=301,E181/3,E181/4))))</f>
        <v>453.56266799999992</v>
      </c>
      <c r="G181" s="140" t="str">
        <f>A180</f>
        <v>Ground/Stilt Floor For Residential, Society Office, Entrance Lobby &amp; Parking</v>
      </c>
      <c r="H181" s="141"/>
      <c r="I181" s="35">
        <f>2.75*3.85+2.1*2.9+2.75*2.9+1.2*0.9+1.2*1.5</f>
        <v>27.532500000000002</v>
      </c>
      <c r="N181" s="35">
        <f t="shared" si="8"/>
        <v>1723538.1383999996</v>
      </c>
    </row>
    <row r="182" spans="1:14" s="36" customFormat="1" ht="15.75" customHeight="1" x14ac:dyDescent="0.35">
      <c r="A182" s="101">
        <v>2</v>
      </c>
      <c r="B182" s="102"/>
      <c r="C182" s="51" t="s">
        <v>197</v>
      </c>
      <c r="D182" s="56">
        <f>(29.06)*(10.764)</f>
        <v>312.80183999999997</v>
      </c>
      <c r="E182" s="41">
        <v>0</v>
      </c>
      <c r="F182" s="41">
        <f>D182*(($F$162)+1)+(IF(E182&lt;101,E182,IF(E182&lt;201,E182/2,IF(E182&lt;=301,E182/3,E182/4))))</f>
        <v>453.56266799999992</v>
      </c>
      <c r="G182" s="142"/>
      <c r="H182" s="143"/>
      <c r="I182" s="35"/>
      <c r="N182" s="35">
        <f t="shared" si="8"/>
        <v>1723538.1383999996</v>
      </c>
    </row>
    <row r="183" spans="1:14" s="36" customFormat="1" ht="15.75" customHeight="1" x14ac:dyDescent="0.35">
      <c r="A183" s="101">
        <v>3</v>
      </c>
      <c r="B183" s="102"/>
      <c r="C183" s="51" t="s">
        <v>197</v>
      </c>
      <c r="D183" s="56">
        <f>(29.1)*(10.764)</f>
        <v>313.23239999999998</v>
      </c>
      <c r="E183" s="41">
        <v>0</v>
      </c>
      <c r="F183" s="41">
        <f>D183*(($F$162)+1)+(IF(E183&lt;101,E183,IF(E183&lt;201,E183/2,IF(E183&lt;=301,E183/3,E183/4))))</f>
        <v>454.18697999999995</v>
      </c>
      <c r="G183" s="142"/>
      <c r="H183" s="143"/>
      <c r="I183" s="35"/>
      <c r="N183" s="35">
        <f t="shared" si="8"/>
        <v>1725910.5239999997</v>
      </c>
    </row>
    <row r="184" spans="1:14" s="36" customFormat="1" ht="15.75" customHeight="1" x14ac:dyDescent="0.35">
      <c r="A184" s="101">
        <v>4</v>
      </c>
      <c r="B184" s="102"/>
      <c r="C184" s="51" t="s">
        <v>197</v>
      </c>
      <c r="D184" s="56">
        <f>(29.06)*(10.764)</f>
        <v>312.80183999999997</v>
      </c>
      <c r="E184" s="41">
        <v>0</v>
      </c>
      <c r="F184" s="41">
        <f>D184*(($F$162)+1)+(IF(E184&lt;101,E184,IF(E184&lt;201,E184/2,IF(E184&lt;=301,E184/3,E184/4))))</f>
        <v>453.56266799999992</v>
      </c>
      <c r="G184" s="142"/>
      <c r="H184" s="143"/>
      <c r="I184" s="35"/>
      <c r="N184" s="35">
        <f t="shared" si="8"/>
        <v>1723538.1383999996</v>
      </c>
    </row>
    <row r="185" spans="1:14" s="36" customFormat="1" ht="15.75" customHeight="1" x14ac:dyDescent="0.35">
      <c r="A185" s="101">
        <v>5</v>
      </c>
      <c r="B185" s="102"/>
      <c r="C185" s="41" t="s">
        <v>204</v>
      </c>
      <c r="D185" s="101" t="s">
        <v>205</v>
      </c>
      <c r="E185" s="139"/>
      <c r="F185" s="102"/>
      <c r="G185" s="142"/>
      <c r="H185" s="143"/>
      <c r="I185" s="35"/>
      <c r="N185" s="35">
        <f t="shared" si="8"/>
        <v>0</v>
      </c>
    </row>
    <row r="186" spans="1:14" s="53" customFormat="1" ht="15.75" customHeight="1" x14ac:dyDescent="0.35">
      <c r="A186" s="101">
        <v>5</v>
      </c>
      <c r="B186" s="102"/>
      <c r="C186" s="51" t="s">
        <v>204</v>
      </c>
      <c r="D186" s="101" t="s">
        <v>206</v>
      </c>
      <c r="E186" s="139"/>
      <c r="F186" s="102"/>
      <c r="G186" s="144"/>
      <c r="H186" s="145"/>
      <c r="I186" s="35"/>
      <c r="N186" s="35">
        <f t="shared" si="8"/>
        <v>0</v>
      </c>
    </row>
    <row r="187" spans="1:14" s="36" customFormat="1" x14ac:dyDescent="0.35">
      <c r="A187" s="146" t="s">
        <v>207</v>
      </c>
      <c r="B187" s="147"/>
      <c r="C187" s="147"/>
      <c r="D187" s="147"/>
      <c r="E187" s="147"/>
      <c r="F187" s="147"/>
      <c r="G187" s="147"/>
      <c r="H187" s="148"/>
      <c r="I187" s="35"/>
      <c r="N187" s="35">
        <f t="shared" si="8"/>
        <v>0</v>
      </c>
    </row>
    <row r="188" spans="1:14" s="36" customFormat="1" ht="15.75" customHeight="1" x14ac:dyDescent="0.35">
      <c r="A188" s="101">
        <v>1</v>
      </c>
      <c r="B188" s="102"/>
      <c r="C188" s="51" t="s">
        <v>197</v>
      </c>
      <c r="D188" s="56">
        <f>(29.06)*(10.764)</f>
        <v>312.80183999999997</v>
      </c>
      <c r="E188" s="41">
        <v>0</v>
      </c>
      <c r="F188" s="41">
        <f t="shared" ref="F188:F193" si="13">D188*(($F$162)+1)+(IF(E188&lt;101,E188,IF(E188&lt;201,E188/2,IF(E188&lt;=301,E188/3,E188/4))))</f>
        <v>453.56266799999992</v>
      </c>
      <c r="G188" s="140" t="str">
        <f>A187</f>
        <v>1st to 5th Floor For Residential</v>
      </c>
      <c r="H188" s="141"/>
      <c r="I188" s="35"/>
      <c r="K188" s="36">
        <f>3500*F188</f>
        <v>1587469.3379999998</v>
      </c>
      <c r="L188" s="36">
        <f>1600000/F188</f>
        <v>3527.6271899873386</v>
      </c>
      <c r="N188" s="35">
        <f t="shared" si="8"/>
        <v>1723538.1383999996</v>
      </c>
    </row>
    <row r="189" spans="1:14" s="36" customFormat="1" ht="15.75" customHeight="1" x14ac:dyDescent="0.35">
      <c r="A189" s="101">
        <v>2</v>
      </c>
      <c r="B189" s="102"/>
      <c r="C189" s="51" t="s">
        <v>197</v>
      </c>
      <c r="D189" s="56">
        <f>(29.06)*(10.764)</f>
        <v>312.80183999999997</v>
      </c>
      <c r="E189" s="41">
        <v>0</v>
      </c>
      <c r="F189" s="41">
        <f t="shared" si="13"/>
        <v>453.56266799999992</v>
      </c>
      <c r="G189" s="142"/>
      <c r="H189" s="143"/>
      <c r="I189" s="35"/>
      <c r="J189" s="36">
        <f>3800*F188</f>
        <v>1723538.1383999996</v>
      </c>
      <c r="K189" s="62">
        <f t="shared" ref="K189:K194" si="14">3500*F189</f>
        <v>1587469.3379999998</v>
      </c>
      <c r="N189" s="35">
        <f t="shared" si="8"/>
        <v>1723538.1383999996</v>
      </c>
    </row>
    <row r="190" spans="1:14" s="36" customFormat="1" ht="15.75" customHeight="1" x14ac:dyDescent="0.35">
      <c r="A190" s="101">
        <v>3</v>
      </c>
      <c r="B190" s="102"/>
      <c r="C190" s="51" t="s">
        <v>197</v>
      </c>
      <c r="D190" s="56">
        <f>(29.1)*(10.764)</f>
        <v>313.23239999999998</v>
      </c>
      <c r="E190" s="41">
        <v>0</v>
      </c>
      <c r="F190" s="41">
        <f t="shared" si="13"/>
        <v>454.18697999999995</v>
      </c>
      <c r="G190" s="142"/>
      <c r="H190" s="143"/>
      <c r="I190" s="35"/>
      <c r="K190" s="62">
        <f t="shared" si="14"/>
        <v>1589654.43</v>
      </c>
      <c r="N190" s="35">
        <f t="shared" si="8"/>
        <v>1725910.5239999997</v>
      </c>
    </row>
    <row r="191" spans="1:14" s="36" customFormat="1" ht="15.75" customHeight="1" x14ac:dyDescent="0.35">
      <c r="A191" s="101">
        <v>4</v>
      </c>
      <c r="B191" s="102"/>
      <c r="C191" s="51" t="s">
        <v>197</v>
      </c>
      <c r="D191" s="56">
        <f>(29.06)*(10.764)</f>
        <v>312.80183999999997</v>
      </c>
      <c r="E191" s="41">
        <v>0</v>
      </c>
      <c r="F191" s="41">
        <f t="shared" si="13"/>
        <v>453.56266799999992</v>
      </c>
      <c r="G191" s="142"/>
      <c r="H191" s="143"/>
      <c r="I191" s="35"/>
      <c r="K191" s="62">
        <f t="shared" si="14"/>
        <v>1587469.3379999998</v>
      </c>
      <c r="N191" s="35">
        <f t="shared" si="8"/>
        <v>1723538.1383999996</v>
      </c>
    </row>
    <row r="192" spans="1:14" s="36" customFormat="1" ht="15.75" customHeight="1" x14ac:dyDescent="0.35">
      <c r="A192" s="101">
        <v>5</v>
      </c>
      <c r="B192" s="102"/>
      <c r="C192" s="51" t="s">
        <v>197</v>
      </c>
      <c r="D192" s="56">
        <f>(29.06)*(10.764)</f>
        <v>312.80183999999997</v>
      </c>
      <c r="E192" s="41">
        <v>0</v>
      </c>
      <c r="F192" s="41">
        <f t="shared" si="13"/>
        <v>453.56266799999992</v>
      </c>
      <c r="G192" s="142"/>
      <c r="H192" s="143"/>
      <c r="I192" s="35"/>
      <c r="K192" s="62">
        <f t="shared" si="14"/>
        <v>1587469.3379999998</v>
      </c>
      <c r="N192" s="35">
        <f t="shared" si="8"/>
        <v>1723538.1383999996</v>
      </c>
    </row>
    <row r="193" spans="1:14" s="53" customFormat="1" ht="15.75" customHeight="1" x14ac:dyDescent="0.35">
      <c r="A193" s="101">
        <v>6</v>
      </c>
      <c r="B193" s="102"/>
      <c r="C193" s="51" t="s">
        <v>197</v>
      </c>
      <c r="D193" s="56">
        <f>(29.1)*(10.764)</f>
        <v>313.23239999999998</v>
      </c>
      <c r="E193" s="51">
        <v>0</v>
      </c>
      <c r="F193" s="51">
        <f t="shared" si="13"/>
        <v>454.18697999999995</v>
      </c>
      <c r="G193" s="144"/>
      <c r="H193" s="145"/>
      <c r="I193" s="35"/>
      <c r="K193" s="62">
        <f t="shared" si="14"/>
        <v>1589654.43</v>
      </c>
      <c r="N193" s="35">
        <f t="shared" si="8"/>
        <v>1725910.5239999997</v>
      </c>
    </row>
    <row r="194" spans="1:14" s="53" customFormat="1" x14ac:dyDescent="0.35">
      <c r="A194" s="146" t="s">
        <v>208</v>
      </c>
      <c r="B194" s="147"/>
      <c r="C194" s="147"/>
      <c r="D194" s="147"/>
      <c r="E194" s="147"/>
      <c r="F194" s="147"/>
      <c r="G194" s="147"/>
      <c r="H194" s="148"/>
      <c r="J194" s="35"/>
      <c r="K194" s="62">
        <f t="shared" si="14"/>
        <v>0</v>
      </c>
      <c r="N194" s="35">
        <f t="shared" si="8"/>
        <v>0</v>
      </c>
    </row>
    <row r="195" spans="1:14" s="53" customFormat="1" x14ac:dyDescent="0.35">
      <c r="A195" s="146" t="s">
        <v>210</v>
      </c>
      <c r="B195" s="147"/>
      <c r="C195" s="147"/>
      <c r="D195" s="147"/>
      <c r="E195" s="147"/>
      <c r="F195" s="147"/>
      <c r="G195" s="147"/>
      <c r="H195" s="148"/>
      <c r="I195" s="35"/>
      <c r="N195" s="35">
        <f t="shared" si="8"/>
        <v>0</v>
      </c>
    </row>
    <row r="196" spans="1:14" s="53" customFormat="1" ht="15.75" customHeight="1" x14ac:dyDescent="0.35">
      <c r="A196" s="101">
        <v>1</v>
      </c>
      <c r="B196" s="102"/>
      <c r="C196" s="51" t="s">
        <v>204</v>
      </c>
      <c r="D196" s="101" t="s">
        <v>211</v>
      </c>
      <c r="E196" s="139"/>
      <c r="F196" s="102"/>
      <c r="G196" s="140" t="str">
        <f>A195</f>
        <v>Ground/Stilt Floor For Residential, Entrance Lobby &amp; Parking</v>
      </c>
      <c r="H196" s="141"/>
      <c r="I196" s="35"/>
      <c r="N196" s="35">
        <f t="shared" si="8"/>
        <v>0</v>
      </c>
    </row>
    <row r="197" spans="1:14" s="53" customFormat="1" ht="15.75" customHeight="1" x14ac:dyDescent="0.35">
      <c r="A197" s="101">
        <v>2</v>
      </c>
      <c r="B197" s="102"/>
      <c r="C197" s="51" t="s">
        <v>203</v>
      </c>
      <c r="D197" s="56">
        <f>(21.6)*(10.764)</f>
        <v>232.50239999999999</v>
      </c>
      <c r="E197" s="51">
        <v>0</v>
      </c>
      <c r="F197" s="51">
        <f>D197*(($F$162)+1)+(IF(E197&lt;101,E197,IF(E197&lt;201,E197/2,IF(E197&lt;=301,E197/3,E197/4))))</f>
        <v>337.12847999999997</v>
      </c>
      <c r="G197" s="142"/>
      <c r="H197" s="143"/>
      <c r="I197" s="35">
        <f>2.75*3.85+2.6*2.25+1.2*0.9+1.5*1.2+1.35*0.9</f>
        <v>20.532499999999999</v>
      </c>
      <c r="J197" s="53">
        <f>3200*F197</f>
        <v>1078811.1359999999</v>
      </c>
      <c r="N197" s="35">
        <f t="shared" si="8"/>
        <v>1281088.2239999999</v>
      </c>
    </row>
    <row r="198" spans="1:14" s="53" customFormat="1" ht="15.75" customHeight="1" x14ac:dyDescent="0.35">
      <c r="A198" s="101">
        <v>3</v>
      </c>
      <c r="B198" s="102"/>
      <c r="C198" s="51" t="s">
        <v>197</v>
      </c>
      <c r="D198" s="56">
        <f>(26.49)*(10.764)</f>
        <v>285.13835999999998</v>
      </c>
      <c r="E198" s="51">
        <v>0</v>
      </c>
      <c r="F198" s="51">
        <f>D198*(($F$162)+1)+(IF(E198&lt;101,E198,IF(E198&lt;201,E198/2,IF(E198&lt;=301,E198/3,E198/4))))</f>
        <v>413.45062199999995</v>
      </c>
      <c r="G198" s="142"/>
      <c r="H198" s="143"/>
      <c r="I198" s="35">
        <f>2.75*3.85+1.35*1.8+2.75*2.8+1.95*1.75+0.9*1.4</f>
        <v>25.390000000000004</v>
      </c>
      <c r="N198" s="35">
        <f t="shared" si="8"/>
        <v>1571112.3635999998</v>
      </c>
    </row>
    <row r="199" spans="1:14" s="53" customFormat="1" ht="15.75" customHeight="1" x14ac:dyDescent="0.35">
      <c r="A199" s="101">
        <v>4</v>
      </c>
      <c r="B199" s="102"/>
      <c r="C199" s="51" t="s">
        <v>197</v>
      </c>
      <c r="D199" s="56">
        <f>(26.49)*(10.764)</f>
        <v>285.13835999999998</v>
      </c>
      <c r="E199" s="51">
        <v>0</v>
      </c>
      <c r="F199" s="51">
        <f>D199*(($F$162)+1)+(IF(E199&lt;101,E199,IF(E199&lt;201,E199/2,IF(E199&lt;=301,E199/3,E199/4))))</f>
        <v>413.45062199999995</v>
      </c>
      <c r="G199" s="142"/>
      <c r="H199" s="143"/>
      <c r="I199" s="35"/>
      <c r="N199" s="35">
        <f t="shared" si="8"/>
        <v>1571112.3635999998</v>
      </c>
    </row>
    <row r="200" spans="1:14" s="53" customFormat="1" x14ac:dyDescent="0.35">
      <c r="A200" s="146" t="s">
        <v>207</v>
      </c>
      <c r="B200" s="147"/>
      <c r="C200" s="147"/>
      <c r="D200" s="147"/>
      <c r="E200" s="147"/>
      <c r="F200" s="147"/>
      <c r="G200" s="147"/>
      <c r="H200" s="148"/>
      <c r="I200" s="35"/>
      <c r="N200" s="35">
        <f t="shared" si="8"/>
        <v>0</v>
      </c>
    </row>
    <row r="201" spans="1:14" s="53" customFormat="1" ht="15.75" customHeight="1" x14ac:dyDescent="0.35">
      <c r="A201" s="101">
        <v>1</v>
      </c>
      <c r="B201" s="102"/>
      <c r="C201" s="51" t="s">
        <v>203</v>
      </c>
      <c r="D201" s="56">
        <f>(21.6)*(10.764)</f>
        <v>232.50239999999999</v>
      </c>
      <c r="E201" s="51">
        <v>0</v>
      </c>
      <c r="F201" s="51">
        <f>D201*(($F$162)+1)+(IF(E201&lt;101,E201,IF(E201&lt;201,E201/2,IF(E201&lt;=301,E201/3,E201/4))))</f>
        <v>337.12847999999997</v>
      </c>
      <c r="G201" s="140" t="str">
        <f>A200</f>
        <v>1st to 5th Floor For Residential</v>
      </c>
      <c r="H201" s="141"/>
      <c r="I201" s="35"/>
      <c r="J201" s="59">
        <f>1057500/F201</f>
        <v>3136.7863077008506</v>
      </c>
      <c r="K201" s="60">
        <f>1035000/230</f>
        <v>4500</v>
      </c>
      <c r="N201" s="35">
        <f t="shared" si="8"/>
        <v>1281088.2239999999</v>
      </c>
    </row>
    <row r="202" spans="1:14" s="53" customFormat="1" ht="15.75" customHeight="1" x14ac:dyDescent="0.35">
      <c r="A202" s="101">
        <v>2</v>
      </c>
      <c r="B202" s="102"/>
      <c r="C202" s="51" t="s">
        <v>197</v>
      </c>
      <c r="D202" s="56">
        <f>(26.49)*(10.764)</f>
        <v>285.13835999999998</v>
      </c>
      <c r="E202" s="51">
        <v>0</v>
      </c>
      <c r="F202" s="51">
        <f>D202*(($F$162)+1)+(IF(E202&lt;101,E202,IF(E202&lt;201,E202/2,IF(E202&lt;=301,E202/3,E202/4))))</f>
        <v>413.45062199999995</v>
      </c>
      <c r="G202" s="142"/>
      <c r="H202" s="143"/>
      <c r="I202" s="35"/>
      <c r="N202" s="35">
        <f t="shared" si="8"/>
        <v>1571112.3635999998</v>
      </c>
    </row>
    <row r="203" spans="1:14" s="53" customFormat="1" ht="15.75" customHeight="1" x14ac:dyDescent="0.35">
      <c r="A203" s="101">
        <v>3</v>
      </c>
      <c r="B203" s="102"/>
      <c r="C203" s="51" t="s">
        <v>197</v>
      </c>
      <c r="D203" s="56">
        <f>(26.49)*(10.764)</f>
        <v>285.13835999999998</v>
      </c>
      <c r="E203" s="51">
        <v>0</v>
      </c>
      <c r="F203" s="51">
        <f>D203*(($F$162)+1)+(IF(E203&lt;101,E203,IF(E203&lt;201,E203/2,IF(E203&lt;=301,E203/3,E203/4))))</f>
        <v>413.45062199999995</v>
      </c>
      <c r="G203" s="142"/>
      <c r="H203" s="143"/>
      <c r="I203" s="35"/>
      <c r="N203" s="35">
        <f t="shared" si="8"/>
        <v>1571112.3635999998</v>
      </c>
    </row>
    <row r="204" spans="1:14" s="53" customFormat="1" ht="15.75" customHeight="1" x14ac:dyDescent="0.35">
      <c r="A204" s="101">
        <v>4</v>
      </c>
      <c r="B204" s="102"/>
      <c r="C204" s="51" t="s">
        <v>203</v>
      </c>
      <c r="D204" s="56">
        <f>(21.6)*(10.764)</f>
        <v>232.50239999999999</v>
      </c>
      <c r="E204" s="51">
        <v>0</v>
      </c>
      <c r="F204" s="51">
        <f>D204*(($F$162)+1)+(IF(E204&lt;101,E204,IF(E204&lt;201,E204/2,IF(E204&lt;=301,E204/3,E204/4))))</f>
        <v>337.12847999999997</v>
      </c>
      <c r="G204" s="142"/>
      <c r="H204" s="143"/>
      <c r="I204" s="35"/>
      <c r="N204" s="35">
        <f t="shared" si="8"/>
        <v>1281088.2239999999</v>
      </c>
    </row>
    <row r="205" spans="1:14" s="53" customFormat="1" x14ac:dyDescent="0.35">
      <c r="A205" s="146" t="s">
        <v>212</v>
      </c>
      <c r="B205" s="147"/>
      <c r="C205" s="147"/>
      <c r="D205" s="147"/>
      <c r="E205" s="147"/>
      <c r="F205" s="147"/>
      <c r="G205" s="147"/>
      <c r="H205" s="148"/>
      <c r="J205" s="35"/>
      <c r="N205" s="35">
        <f t="shared" si="8"/>
        <v>0</v>
      </c>
    </row>
    <row r="206" spans="1:14" s="53" customFormat="1" x14ac:dyDescent="0.35">
      <c r="A206" s="103" t="s">
        <v>201</v>
      </c>
      <c r="B206" s="103"/>
      <c r="C206" s="103"/>
      <c r="D206" s="103"/>
      <c r="E206" s="103"/>
      <c r="F206" s="103"/>
      <c r="G206" s="103"/>
      <c r="H206" s="103"/>
      <c r="J206" s="35"/>
      <c r="N206" s="35">
        <f t="shared" si="8"/>
        <v>0</v>
      </c>
    </row>
    <row r="207" spans="1:14" s="53" customFormat="1" x14ac:dyDescent="0.35">
      <c r="A207" s="103" t="s">
        <v>210</v>
      </c>
      <c r="B207" s="103"/>
      <c r="C207" s="103"/>
      <c r="D207" s="103"/>
      <c r="E207" s="103"/>
      <c r="F207" s="103"/>
      <c r="G207" s="103"/>
      <c r="H207" s="103"/>
      <c r="I207" s="35"/>
      <c r="N207" s="35">
        <f t="shared" si="8"/>
        <v>0</v>
      </c>
    </row>
    <row r="208" spans="1:14" s="53" customFormat="1" ht="15.75" customHeight="1" x14ac:dyDescent="0.35">
      <c r="A208" s="104">
        <v>1</v>
      </c>
      <c r="B208" s="104"/>
      <c r="C208" s="68" t="s">
        <v>197</v>
      </c>
      <c r="D208" s="56">
        <f>(29.06)*(10.764)</f>
        <v>312.80183999999997</v>
      </c>
      <c r="E208" s="68">
        <v>0</v>
      </c>
      <c r="F208" s="68">
        <f>D208*(($F$162)+1)+(IF(E208&lt;101,E208,IF(E208&lt;201,E208/2,IF(E208&lt;=301,E208/3,E208/4))))</f>
        <v>453.56266799999992</v>
      </c>
      <c r="G208" s="104" t="str">
        <f>A207</f>
        <v>Ground/Stilt Floor For Residential, Entrance Lobby &amp; Parking</v>
      </c>
      <c r="H208" s="104"/>
      <c r="I208" s="35">
        <f>2.75*3.85+2.1*2+2.75*2.9+1.2*0.9+1.2*1.5+0.9*2.2</f>
        <v>27.622500000000002</v>
      </c>
      <c r="N208" s="35">
        <f t="shared" si="8"/>
        <v>1723538.1383999996</v>
      </c>
    </row>
    <row r="209" spans="1:14" s="53" customFormat="1" ht="15.75" customHeight="1" x14ac:dyDescent="0.35">
      <c r="A209" s="104">
        <v>2</v>
      </c>
      <c r="B209" s="104"/>
      <c r="C209" s="68" t="s">
        <v>197</v>
      </c>
      <c r="D209" s="56">
        <f>(29.06)*(10.764)</f>
        <v>312.80183999999997</v>
      </c>
      <c r="E209" s="68">
        <v>0</v>
      </c>
      <c r="F209" s="68">
        <f>D209*(($F$162)+1)+(IF(E209&lt;101,E209,IF(E209&lt;201,E209/2,IF(E209&lt;=301,E209/3,E209/4))))</f>
        <v>453.56266799999992</v>
      </c>
      <c r="G209" s="104"/>
      <c r="H209" s="104"/>
      <c r="I209" s="35"/>
      <c r="N209" s="35">
        <f t="shared" si="8"/>
        <v>1723538.1383999996</v>
      </c>
    </row>
    <row r="210" spans="1:14" s="53" customFormat="1" ht="15.75" customHeight="1" x14ac:dyDescent="0.35">
      <c r="A210" s="104">
        <v>3</v>
      </c>
      <c r="B210" s="104"/>
      <c r="C210" s="68" t="s">
        <v>197</v>
      </c>
      <c r="D210" s="56">
        <f>(29.06)*(10.764)</f>
        <v>312.80183999999997</v>
      </c>
      <c r="E210" s="68">
        <v>0</v>
      </c>
      <c r="F210" s="68">
        <f>D210*(($F$162)+1)+(IF(E210&lt;101,E210,IF(E210&lt;201,E210/2,IF(E210&lt;=301,E210/3,E210/4))))</f>
        <v>453.56266799999992</v>
      </c>
      <c r="G210" s="104"/>
      <c r="H210" s="104"/>
      <c r="I210" s="35"/>
      <c r="N210" s="35">
        <f t="shared" si="8"/>
        <v>1723538.1383999996</v>
      </c>
    </row>
    <row r="211" spans="1:14" s="53" customFormat="1" ht="15.75" customHeight="1" x14ac:dyDescent="0.35">
      <c r="A211" s="104">
        <v>4</v>
      </c>
      <c r="B211" s="104"/>
      <c r="C211" s="68" t="s">
        <v>204</v>
      </c>
      <c r="D211" s="104" t="s">
        <v>211</v>
      </c>
      <c r="E211" s="104"/>
      <c r="F211" s="104"/>
      <c r="G211" s="104"/>
      <c r="H211" s="104"/>
      <c r="I211" s="35"/>
      <c r="N211" s="35">
        <f t="shared" si="8"/>
        <v>0</v>
      </c>
    </row>
    <row r="212" spans="1:14" s="53" customFormat="1" x14ac:dyDescent="0.35">
      <c r="A212" s="103" t="s">
        <v>207</v>
      </c>
      <c r="B212" s="103"/>
      <c r="C212" s="103"/>
      <c r="D212" s="103"/>
      <c r="E212" s="103"/>
      <c r="F212" s="103"/>
      <c r="G212" s="103"/>
      <c r="H212" s="103"/>
      <c r="I212" s="35"/>
      <c r="N212" s="35">
        <f t="shared" si="8"/>
        <v>0</v>
      </c>
    </row>
    <row r="213" spans="1:14" s="53" customFormat="1" ht="15.75" customHeight="1" x14ac:dyDescent="0.35">
      <c r="A213" s="104">
        <v>1</v>
      </c>
      <c r="B213" s="104"/>
      <c r="C213" s="68" t="s">
        <v>197</v>
      </c>
      <c r="D213" s="56">
        <f>(29.06)*(10.764)</f>
        <v>312.80183999999997</v>
      </c>
      <c r="E213" s="68">
        <v>0</v>
      </c>
      <c r="F213" s="68">
        <f>D213*(($F$162)+1)+(IF(E213&lt;101,E213,IF(E213&lt;201,E213/2,IF(E213&lt;=301,E213/3,E213/4))))</f>
        <v>453.56266799999992</v>
      </c>
      <c r="G213" s="104" t="str">
        <f>A212</f>
        <v>1st to 5th Floor For Residential</v>
      </c>
      <c r="H213" s="104"/>
      <c r="I213" s="35"/>
      <c r="N213" s="35">
        <f t="shared" si="8"/>
        <v>1723538.1383999996</v>
      </c>
    </row>
    <row r="214" spans="1:14" s="53" customFormat="1" ht="15.75" customHeight="1" x14ac:dyDescent="0.35">
      <c r="A214" s="104">
        <v>2</v>
      </c>
      <c r="B214" s="104"/>
      <c r="C214" s="68" t="s">
        <v>197</v>
      </c>
      <c r="D214" s="56">
        <f>(29.06)*(10.764)</f>
        <v>312.80183999999997</v>
      </c>
      <c r="E214" s="68">
        <v>0</v>
      </c>
      <c r="F214" s="68">
        <f>D214*(($F$162)+1)+(IF(E214&lt;101,E214,IF(E214&lt;201,E214/2,IF(E214&lt;=301,E214/3,E214/4))))</f>
        <v>453.56266799999992</v>
      </c>
      <c r="G214" s="104"/>
      <c r="H214" s="104"/>
      <c r="I214" s="35"/>
      <c r="N214" s="35">
        <f t="shared" si="8"/>
        <v>1723538.1383999996</v>
      </c>
    </row>
    <row r="215" spans="1:14" s="53" customFormat="1" ht="15.75" customHeight="1" x14ac:dyDescent="0.35">
      <c r="A215" s="104">
        <v>3</v>
      </c>
      <c r="B215" s="104"/>
      <c r="C215" s="68" t="s">
        <v>197</v>
      </c>
      <c r="D215" s="56">
        <f>(29.06)*(10.764)</f>
        <v>312.80183999999997</v>
      </c>
      <c r="E215" s="68">
        <v>0</v>
      </c>
      <c r="F215" s="68">
        <f>D215*(($F$162)+1)+(IF(E215&lt;101,E215,IF(E215&lt;201,E215/2,IF(E215&lt;=301,E215/3,E215/4))))</f>
        <v>453.56266799999992</v>
      </c>
      <c r="G215" s="104"/>
      <c r="H215" s="104"/>
      <c r="I215" s="35"/>
      <c r="N215" s="35">
        <f t="shared" si="8"/>
        <v>1723538.1383999996</v>
      </c>
    </row>
    <row r="216" spans="1:14" s="53" customFormat="1" ht="15.75" customHeight="1" x14ac:dyDescent="0.35">
      <c r="A216" s="104">
        <v>4</v>
      </c>
      <c r="B216" s="104"/>
      <c r="C216" s="68" t="s">
        <v>197</v>
      </c>
      <c r="D216" s="56">
        <f>(29.06)*(10.764)</f>
        <v>312.80183999999997</v>
      </c>
      <c r="E216" s="68">
        <v>0</v>
      </c>
      <c r="F216" s="68">
        <f>D216*(($F$162)+1)+(IF(E216&lt;101,E216,IF(E216&lt;201,E216/2,IF(E216&lt;=301,E216/3,E216/4))))</f>
        <v>453.56266799999992</v>
      </c>
      <c r="G216" s="104"/>
      <c r="H216" s="104"/>
      <c r="I216" s="35"/>
      <c r="N216" s="35">
        <f t="shared" si="8"/>
        <v>1723538.1383999996</v>
      </c>
    </row>
    <row r="217" spans="1:14" s="53" customFormat="1" x14ac:dyDescent="0.35">
      <c r="A217" s="146" t="s">
        <v>208</v>
      </c>
      <c r="B217" s="147"/>
      <c r="C217" s="147"/>
      <c r="D217" s="147"/>
      <c r="E217" s="147"/>
      <c r="F217" s="147"/>
      <c r="G217" s="147"/>
      <c r="H217" s="148"/>
      <c r="J217" s="35"/>
      <c r="N217" s="35">
        <f t="shared" si="8"/>
        <v>0</v>
      </c>
    </row>
    <row r="218" spans="1:14" s="53" customFormat="1" x14ac:dyDescent="0.35">
      <c r="A218" s="146" t="s">
        <v>210</v>
      </c>
      <c r="B218" s="147"/>
      <c r="C218" s="147"/>
      <c r="D218" s="147"/>
      <c r="E218" s="147"/>
      <c r="F218" s="147"/>
      <c r="G218" s="147"/>
      <c r="H218" s="148"/>
      <c r="I218" s="35"/>
      <c r="N218" s="35">
        <f t="shared" si="8"/>
        <v>0</v>
      </c>
    </row>
    <row r="219" spans="1:14" s="53" customFormat="1" ht="15.75" customHeight="1" x14ac:dyDescent="0.35">
      <c r="A219" s="101">
        <v>1</v>
      </c>
      <c r="B219" s="102"/>
      <c r="C219" s="51" t="s">
        <v>203</v>
      </c>
      <c r="D219" s="56">
        <f>(21.6)*(10.764)</f>
        <v>232.50239999999999</v>
      </c>
      <c r="E219" s="51">
        <v>0</v>
      </c>
      <c r="F219" s="51">
        <f>D219*(($F$162)+1)+(IF(E219&lt;101,E219,IF(E219&lt;201,E219/2,IF(E219&lt;=301,E219/3,E219/4))))</f>
        <v>337.12847999999997</v>
      </c>
      <c r="G219" s="140" t="str">
        <f>A218</f>
        <v>Ground/Stilt Floor For Residential, Entrance Lobby &amp; Parking</v>
      </c>
      <c r="H219" s="141"/>
      <c r="I219" s="35">
        <f>2.75*3.85+2.6*2.25+1.2*0.9+1.5*1.2+1.35*0.9</f>
        <v>20.532499999999999</v>
      </c>
      <c r="N219" s="35">
        <f t="shared" si="8"/>
        <v>1281088.2239999999</v>
      </c>
    </row>
    <row r="220" spans="1:14" s="53" customFormat="1" ht="15.75" customHeight="1" x14ac:dyDescent="0.35">
      <c r="A220" s="101">
        <v>2</v>
      </c>
      <c r="B220" s="102"/>
      <c r="C220" s="51" t="s">
        <v>203</v>
      </c>
      <c r="D220" s="56">
        <f>(21.6)*(10.764)</f>
        <v>232.50239999999999</v>
      </c>
      <c r="E220" s="51">
        <v>0</v>
      </c>
      <c r="F220" s="51">
        <f>D220*(($F$162)+1)+(IF(E220&lt;101,E220,IF(E220&lt;201,E220/2,IF(E220&lt;=301,E220/3,E220/4))))</f>
        <v>337.12847999999997</v>
      </c>
      <c r="G220" s="142"/>
      <c r="H220" s="143"/>
      <c r="I220" s="35"/>
      <c r="N220" s="35">
        <f t="shared" si="8"/>
        <v>1281088.2239999999</v>
      </c>
    </row>
    <row r="221" spans="1:14" s="53" customFormat="1" ht="15.75" customHeight="1" x14ac:dyDescent="0.35">
      <c r="A221" s="101">
        <v>3</v>
      </c>
      <c r="B221" s="102"/>
      <c r="C221" s="51" t="s">
        <v>203</v>
      </c>
      <c r="D221" s="56">
        <f>(21.6)*(10.764)</f>
        <v>232.50239999999999</v>
      </c>
      <c r="E221" s="51">
        <v>0</v>
      </c>
      <c r="F221" s="51">
        <f>D221*(($F$162)+1)+(IF(E221&lt;101,E221,IF(E221&lt;201,E221/2,IF(E221&lt;=301,E221/3,E221/4))))</f>
        <v>337.12847999999997</v>
      </c>
      <c r="G221" s="142"/>
      <c r="H221" s="143"/>
      <c r="I221" s="35"/>
      <c r="N221" s="35">
        <f t="shared" si="8"/>
        <v>1281088.2239999999</v>
      </c>
    </row>
    <row r="222" spans="1:14" s="53" customFormat="1" x14ac:dyDescent="0.35">
      <c r="A222" s="146" t="s">
        <v>207</v>
      </c>
      <c r="B222" s="147"/>
      <c r="C222" s="147"/>
      <c r="D222" s="147"/>
      <c r="E222" s="147"/>
      <c r="F222" s="147"/>
      <c r="G222" s="147"/>
      <c r="H222" s="148"/>
      <c r="I222" s="35"/>
      <c r="N222" s="35">
        <f t="shared" si="8"/>
        <v>0</v>
      </c>
    </row>
    <row r="223" spans="1:14" s="53" customFormat="1" ht="15.75" customHeight="1" x14ac:dyDescent="0.35">
      <c r="A223" s="101">
        <v>1</v>
      </c>
      <c r="B223" s="102"/>
      <c r="C223" s="51" t="s">
        <v>203</v>
      </c>
      <c r="D223" s="56">
        <f>(21.6)*(10.764)</f>
        <v>232.50239999999999</v>
      </c>
      <c r="E223" s="51">
        <v>0</v>
      </c>
      <c r="F223" s="51">
        <f>D223*(($F$162)+1)+(IF(E223&lt;101,E223,IF(E223&lt;201,E223/2,IF(E223&lt;=301,E223/3,E223/4))))</f>
        <v>337.12847999999997</v>
      </c>
      <c r="G223" s="140" t="str">
        <f>A222</f>
        <v>1st to 5th Floor For Residential</v>
      </c>
      <c r="H223" s="141"/>
      <c r="I223" s="35"/>
      <c r="N223" s="35">
        <f t="shared" si="8"/>
        <v>1281088.2239999999</v>
      </c>
    </row>
    <row r="224" spans="1:14" s="53" customFormat="1" ht="15.75" customHeight="1" x14ac:dyDescent="0.35">
      <c r="A224" s="101">
        <v>2</v>
      </c>
      <c r="B224" s="102"/>
      <c r="C224" s="51" t="s">
        <v>203</v>
      </c>
      <c r="D224" s="56">
        <f>(21.6)*(10.764)</f>
        <v>232.50239999999999</v>
      </c>
      <c r="E224" s="51">
        <v>0</v>
      </c>
      <c r="F224" s="51">
        <f>D224*(($F$162)+1)+(IF(E224&lt;101,E224,IF(E224&lt;201,E224/2,IF(E224&lt;=301,E224/3,E224/4))))</f>
        <v>337.12847999999997</v>
      </c>
      <c r="G224" s="142"/>
      <c r="H224" s="143"/>
      <c r="I224" s="35"/>
      <c r="N224" s="35">
        <f t="shared" si="8"/>
        <v>1281088.2239999999</v>
      </c>
    </row>
    <row r="225" spans="1:14" s="53" customFormat="1" ht="15.75" customHeight="1" x14ac:dyDescent="0.35">
      <c r="A225" s="101">
        <v>3</v>
      </c>
      <c r="B225" s="102"/>
      <c r="C225" s="51" t="s">
        <v>203</v>
      </c>
      <c r="D225" s="56">
        <f>(21.6)*(10.764)</f>
        <v>232.50239999999999</v>
      </c>
      <c r="E225" s="51">
        <v>0</v>
      </c>
      <c r="F225" s="51">
        <f>D225*(($F$162)+1)+(IF(E225&lt;101,E225,IF(E225&lt;201,E225/2,IF(E225&lt;=301,E225/3,E225/4))))</f>
        <v>337.12847999999997</v>
      </c>
      <c r="G225" s="142"/>
      <c r="H225" s="143"/>
      <c r="I225" s="35"/>
      <c r="N225" s="35">
        <f t="shared" si="8"/>
        <v>1281088.2239999999</v>
      </c>
    </row>
    <row r="226" spans="1:14" s="53" customFormat="1" ht="15.75" customHeight="1" x14ac:dyDescent="0.35">
      <c r="A226" s="101">
        <v>4</v>
      </c>
      <c r="B226" s="102"/>
      <c r="C226" s="51" t="s">
        <v>203</v>
      </c>
      <c r="D226" s="56">
        <f>(21.6)*(10.764)</f>
        <v>232.50239999999999</v>
      </c>
      <c r="E226" s="51">
        <v>0</v>
      </c>
      <c r="F226" s="51">
        <f>D226*(($F$162)+1)+(IF(E226&lt;101,E226,IF(E226&lt;201,E226/2,IF(E226&lt;=301,E226/3,E226/4))))</f>
        <v>337.12847999999997</v>
      </c>
      <c r="G226" s="142"/>
      <c r="H226" s="143"/>
      <c r="I226" s="35"/>
      <c r="N226" s="35">
        <f t="shared" si="8"/>
        <v>1281088.2239999999</v>
      </c>
    </row>
    <row r="227" spans="1:14" s="34" customFormat="1" x14ac:dyDescent="0.35">
      <c r="A227" s="153" t="s">
        <v>72</v>
      </c>
      <c r="B227" s="153"/>
      <c r="C227" s="153"/>
      <c r="D227" s="153"/>
      <c r="E227" s="153"/>
      <c r="F227" s="153"/>
      <c r="G227" s="153"/>
      <c r="H227" s="153"/>
      <c r="I227" s="65"/>
    </row>
    <row r="228" spans="1:14" s="34" customFormat="1" ht="49.5" customHeight="1" x14ac:dyDescent="0.35">
      <c r="A228" s="45" t="s">
        <v>159</v>
      </c>
      <c r="B228" s="98" t="s">
        <v>247</v>
      </c>
      <c r="C228" s="99"/>
      <c r="D228" s="99"/>
      <c r="E228" s="99"/>
      <c r="F228" s="99"/>
      <c r="G228" s="99"/>
      <c r="H228" s="100"/>
      <c r="I228" s="66" t="s">
        <v>234</v>
      </c>
    </row>
    <row r="229" spans="1:14" s="34" customFormat="1" x14ac:dyDescent="0.35">
      <c r="A229" s="45" t="s">
        <v>159</v>
      </c>
      <c r="B229" s="98" t="str">
        <f>(IF(F161="Saleable area Loading :","We have considered Saleable area of Flats as per our Calculation.","We considered Saleable area of Flat as per Builder area Sheet."))</f>
        <v>We have considered Saleable area of Flats as per our Calculation.</v>
      </c>
      <c r="C229" s="99"/>
      <c r="D229" s="99"/>
      <c r="E229" s="99"/>
      <c r="F229" s="99"/>
      <c r="G229" s="99"/>
      <c r="H229" s="100"/>
    </row>
    <row r="230" spans="1:14" s="34" customFormat="1" x14ac:dyDescent="0.35">
      <c r="A230" s="45" t="s">
        <v>159</v>
      </c>
      <c r="B230" s="98" t="str">
        <f>(IF(F152="Saleable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0" s="99"/>
      <c r="D230" s="99"/>
      <c r="E230" s="99"/>
      <c r="F230" s="99"/>
      <c r="G230" s="99"/>
      <c r="H230" s="100"/>
    </row>
    <row r="231" spans="1:14" s="34" customFormat="1" x14ac:dyDescent="0.35">
      <c r="A231" s="45" t="s">
        <v>159</v>
      </c>
      <c r="B231" s="95" t="s">
        <v>129</v>
      </c>
      <c r="C231" s="96"/>
      <c r="D231" s="96"/>
      <c r="E231" s="96"/>
      <c r="F231" s="96"/>
      <c r="G231" s="96"/>
      <c r="H231" s="97"/>
    </row>
    <row r="232" spans="1:14" s="34" customFormat="1" x14ac:dyDescent="0.35">
      <c r="A232" s="45" t="s">
        <v>159</v>
      </c>
      <c r="B232" s="95" t="s">
        <v>213</v>
      </c>
      <c r="C232" s="96"/>
      <c r="D232" s="96"/>
      <c r="E232" s="96"/>
      <c r="F232" s="96"/>
      <c r="G232" s="96"/>
      <c r="H232" s="97"/>
    </row>
    <row r="233" spans="1:14" s="34" customFormat="1" x14ac:dyDescent="0.35">
      <c r="A233" s="45" t="s">
        <v>159</v>
      </c>
      <c r="B233" s="95" t="s">
        <v>158</v>
      </c>
      <c r="C233" s="96"/>
      <c r="D233" s="96"/>
      <c r="E233" s="96"/>
      <c r="F233" s="96"/>
      <c r="G233" s="96"/>
      <c r="H233" s="97"/>
    </row>
    <row r="234" spans="1:14" s="34" customFormat="1" x14ac:dyDescent="0.35">
      <c r="A234" s="45" t="s">
        <v>159</v>
      </c>
      <c r="B234" s="95" t="s">
        <v>130</v>
      </c>
      <c r="C234" s="96"/>
      <c r="D234" s="96"/>
      <c r="E234" s="96"/>
      <c r="F234" s="96"/>
      <c r="G234" s="96"/>
      <c r="H234" s="97"/>
    </row>
    <row r="235" spans="1:14" s="34" customFormat="1" ht="34.5" customHeight="1" x14ac:dyDescent="0.35">
      <c r="A235" s="45" t="s">
        <v>159</v>
      </c>
      <c r="B235" s="95" t="s">
        <v>160</v>
      </c>
      <c r="C235" s="96"/>
      <c r="D235" s="96"/>
      <c r="E235" s="96"/>
      <c r="F235" s="96"/>
      <c r="G235" s="96"/>
      <c r="H235" s="97"/>
    </row>
    <row r="236" spans="1:14" s="34" customFormat="1" x14ac:dyDescent="0.35">
      <c r="A236" s="45" t="s">
        <v>159</v>
      </c>
      <c r="B236" s="95" t="s">
        <v>131</v>
      </c>
      <c r="C236" s="96"/>
      <c r="D236" s="96"/>
      <c r="E236" s="96"/>
      <c r="F236" s="96"/>
      <c r="G236" s="96"/>
      <c r="H236" s="97"/>
    </row>
    <row r="237" spans="1:14" s="34" customFormat="1" ht="33" customHeight="1" x14ac:dyDescent="0.35">
      <c r="A237" s="67" t="s">
        <v>159</v>
      </c>
      <c r="B237" s="84" t="s">
        <v>240</v>
      </c>
      <c r="C237" s="85"/>
      <c r="D237" s="85"/>
      <c r="E237" s="85"/>
      <c r="F237" s="85"/>
      <c r="G237" s="85"/>
      <c r="H237" s="86"/>
    </row>
    <row r="238" spans="1:14" x14ac:dyDescent="0.35">
      <c r="A238" s="133" t="s">
        <v>65</v>
      </c>
      <c r="B238" s="133"/>
      <c r="C238" s="133"/>
      <c r="D238" s="133"/>
      <c r="E238" s="133"/>
      <c r="F238" s="133"/>
      <c r="G238" s="133"/>
      <c r="H238" s="133"/>
    </row>
    <row r="239" spans="1:14" x14ac:dyDescent="0.35">
      <c r="A239" s="105" t="s">
        <v>66</v>
      </c>
      <c r="B239" s="105"/>
      <c r="C239" s="105"/>
      <c r="D239" s="105"/>
      <c r="E239" s="105"/>
      <c r="F239" s="105"/>
      <c r="G239" s="105"/>
      <c r="H239" s="105"/>
    </row>
    <row r="240" spans="1:14" ht="15.75" customHeight="1" x14ac:dyDescent="0.35">
      <c r="A240" s="151" t="s">
        <v>67</v>
      </c>
      <c r="B240" s="151"/>
      <c r="C240" s="151"/>
      <c r="D240" s="151"/>
      <c r="E240" s="151"/>
      <c r="F240" s="151"/>
      <c r="G240" s="151"/>
      <c r="H240" s="151"/>
    </row>
    <row r="241" spans="1:8" x14ac:dyDescent="0.35">
      <c r="A241" s="105" t="s">
        <v>68</v>
      </c>
      <c r="B241" s="105"/>
      <c r="C241" s="105"/>
      <c r="D241" s="105"/>
      <c r="E241" s="105"/>
      <c r="F241" s="105"/>
      <c r="G241" s="105"/>
      <c r="H241" s="105"/>
    </row>
    <row r="242" spans="1:8" x14ac:dyDescent="0.35">
      <c r="A242" s="105" t="s">
        <v>69</v>
      </c>
      <c r="B242" s="105"/>
      <c r="C242" s="105"/>
      <c r="D242" s="105"/>
      <c r="E242" s="105"/>
      <c r="F242" s="105"/>
      <c r="G242" s="105"/>
      <c r="H242" s="105"/>
    </row>
    <row r="243" spans="1:8" x14ac:dyDescent="0.35">
      <c r="A243" s="105" t="s">
        <v>132</v>
      </c>
      <c r="B243" s="105"/>
      <c r="C243" s="105"/>
      <c r="D243" s="105"/>
      <c r="E243" s="105"/>
      <c r="F243" s="105"/>
      <c r="G243" s="105"/>
      <c r="H243" s="105"/>
    </row>
    <row r="244" spans="1:8" x14ac:dyDescent="0.35">
      <c r="A244" s="107" t="s">
        <v>133</v>
      </c>
      <c r="B244" s="107"/>
      <c r="C244" s="107"/>
      <c r="D244" s="107"/>
      <c r="E244" s="107"/>
      <c r="F244" s="107"/>
      <c r="G244" s="107"/>
      <c r="H244" s="107"/>
    </row>
    <row r="245" spans="1:8" x14ac:dyDescent="0.35">
      <c r="A245" s="150" t="s">
        <v>82</v>
      </c>
      <c r="B245" s="150"/>
      <c r="C245" s="150" t="s">
        <v>245</v>
      </c>
      <c r="D245" s="150"/>
      <c r="E245" s="150" t="s">
        <v>111</v>
      </c>
      <c r="F245" s="150"/>
      <c r="G245" s="150" t="s">
        <v>244</v>
      </c>
      <c r="H245" s="150"/>
    </row>
    <row r="246" spans="1:8" x14ac:dyDescent="0.35">
      <c r="A246" s="149" t="s">
        <v>84</v>
      </c>
      <c r="B246" s="149"/>
      <c r="C246" s="149"/>
      <c r="D246" s="149"/>
      <c r="E246" s="149"/>
      <c r="F246" s="149"/>
      <c r="G246" s="149"/>
      <c r="H246" s="149"/>
    </row>
    <row r="247" spans="1:8" x14ac:dyDescent="0.35">
      <c r="A247" s="149"/>
      <c r="B247" s="149"/>
      <c r="C247" s="149"/>
      <c r="D247" s="149"/>
      <c r="E247" s="149"/>
      <c r="F247" s="149"/>
      <c r="G247" s="149"/>
      <c r="H247" s="149"/>
    </row>
    <row r="248" spans="1:8" x14ac:dyDescent="0.35">
      <c r="A248" s="149"/>
      <c r="B248" s="149"/>
      <c r="C248" s="149"/>
      <c r="D248" s="149"/>
      <c r="E248" s="149"/>
      <c r="F248" s="149"/>
      <c r="G248" s="149"/>
      <c r="H248" s="149"/>
    </row>
    <row r="249" spans="1:8" x14ac:dyDescent="0.35">
      <c r="A249" s="149"/>
      <c r="B249" s="149"/>
      <c r="C249" s="149"/>
      <c r="D249" s="149"/>
      <c r="E249" s="149"/>
      <c r="F249" s="149"/>
      <c r="G249" s="149"/>
      <c r="H249" s="149"/>
    </row>
    <row r="250" spans="1:8" x14ac:dyDescent="0.35">
      <c r="A250" s="37" t="s">
        <v>70</v>
      </c>
      <c r="B250" s="38"/>
      <c r="C250" s="38"/>
      <c r="D250" s="37" t="str">
        <f>E8</f>
        <v>Shreeram Complex</v>
      </c>
      <c r="F250" s="38"/>
      <c r="G250" s="38"/>
      <c r="H250" s="38"/>
    </row>
    <row r="251" spans="1:8" x14ac:dyDescent="0.35">
      <c r="A251" s="38"/>
      <c r="B251" s="38"/>
      <c r="C251" s="38"/>
      <c r="D251" s="38"/>
      <c r="E251" s="38"/>
      <c r="F251" s="38"/>
      <c r="G251" s="38"/>
      <c r="H251" s="38"/>
    </row>
    <row r="252" spans="1:8" x14ac:dyDescent="0.35">
      <c r="A252" s="38"/>
      <c r="B252" s="38"/>
      <c r="C252" s="38"/>
      <c r="D252" s="38"/>
      <c r="E252" s="38"/>
      <c r="F252" s="38"/>
      <c r="G252" s="38"/>
      <c r="H252" s="38"/>
    </row>
    <row r="253" spans="1:8" ht="15" customHeight="1" x14ac:dyDescent="0.35"/>
    <row r="259" spans="9:12" x14ac:dyDescent="0.35">
      <c r="I259" s="21" t="s">
        <v>241</v>
      </c>
      <c r="J259" s="21"/>
      <c r="K259" s="21"/>
      <c r="L259" s="21"/>
    </row>
    <row r="293" spans="1:1" x14ac:dyDescent="0.35">
      <c r="A293" s="40"/>
    </row>
    <row r="296" spans="1:1" x14ac:dyDescent="0.35">
      <c r="A296" s="40"/>
    </row>
    <row r="311" hidden="1" x14ac:dyDescent="0.35"/>
    <row r="312" hidden="1" x14ac:dyDescent="0.35"/>
    <row r="313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1" spans="1:1" hidden="1" x14ac:dyDescent="0.35"/>
    <row r="322" spans="1:1" x14ac:dyDescent="0.35">
      <c r="A322" s="40"/>
    </row>
    <row r="325" spans="1:1" x14ac:dyDescent="0.35">
      <c r="A325" s="40" t="s">
        <v>174</v>
      </c>
    </row>
    <row r="351" hidden="1" x14ac:dyDescent="0.35"/>
    <row r="352" hidden="1" x14ac:dyDescent="0.35"/>
    <row r="353" spans="1:1" hidden="1" x14ac:dyDescent="0.35"/>
    <row r="354" spans="1:1" hidden="1" x14ac:dyDescent="0.35"/>
    <row r="355" spans="1:1" hidden="1" x14ac:dyDescent="0.35"/>
    <row r="356" spans="1:1" hidden="1" x14ac:dyDescent="0.35"/>
    <row r="357" spans="1:1" hidden="1" x14ac:dyDescent="0.35"/>
    <row r="358" spans="1:1" hidden="1" x14ac:dyDescent="0.35"/>
    <row r="359" spans="1:1" hidden="1" x14ac:dyDescent="0.35"/>
    <row r="360" spans="1:1" hidden="1" x14ac:dyDescent="0.35"/>
    <row r="361" spans="1:1" hidden="1" x14ac:dyDescent="0.35"/>
    <row r="362" spans="1:1" hidden="1" x14ac:dyDescent="0.35"/>
    <row r="363" spans="1:1" hidden="1" x14ac:dyDescent="0.35"/>
    <row r="364" spans="1:1" hidden="1" x14ac:dyDescent="0.35"/>
    <row r="365" spans="1:1" hidden="1" x14ac:dyDescent="0.35"/>
    <row r="366" spans="1:1" x14ac:dyDescent="0.35">
      <c r="A366" s="40" t="s">
        <v>71</v>
      </c>
    </row>
    <row r="401" hidden="1" x14ac:dyDescent="0.35"/>
    <row r="402" hidden="1" x14ac:dyDescent="0.35"/>
    <row r="403" hidden="1" x14ac:dyDescent="0.35"/>
    <row r="404" hidden="1" x14ac:dyDescent="0.35"/>
    <row r="405" hidden="1" x14ac:dyDescent="0.35"/>
    <row r="406" hidden="1" x14ac:dyDescent="0.35"/>
    <row r="407" hidden="1" x14ac:dyDescent="0.35"/>
    <row r="408" hidden="1" x14ac:dyDescent="0.35"/>
    <row r="409" hidden="1" x14ac:dyDescent="0.35"/>
    <row r="410" hidden="1" x14ac:dyDescent="0.35"/>
    <row r="411" hidden="1" x14ac:dyDescent="0.35"/>
    <row r="412" hidden="1" x14ac:dyDescent="0.35"/>
  </sheetData>
  <mergeCells count="412">
    <mergeCell ref="A221:B221"/>
    <mergeCell ref="A222:H222"/>
    <mergeCell ref="A95:B95"/>
    <mergeCell ref="C95:H95"/>
    <mergeCell ref="A97:B97"/>
    <mergeCell ref="C97:H97"/>
    <mergeCell ref="A98:B98"/>
    <mergeCell ref="E98:F98"/>
    <mergeCell ref="G98:H98"/>
    <mergeCell ref="A99:B99"/>
    <mergeCell ref="E99:F108"/>
    <mergeCell ref="G99:H108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205:H205"/>
    <mergeCell ref="A206:H206"/>
    <mergeCell ref="A201:B201"/>
    <mergeCell ref="A207:H207"/>
    <mergeCell ref="A208:B208"/>
    <mergeCell ref="G208:H211"/>
    <mergeCell ref="A215:B215"/>
    <mergeCell ref="D211:F211"/>
    <mergeCell ref="A109:B109"/>
    <mergeCell ref="A129:E129"/>
    <mergeCell ref="A135:E135"/>
    <mergeCell ref="G149:H149"/>
    <mergeCell ref="E141:F141"/>
    <mergeCell ref="A175:B175"/>
    <mergeCell ref="A176:B176"/>
    <mergeCell ref="A177:B177"/>
    <mergeCell ref="G181:H186"/>
    <mergeCell ref="C152:C153"/>
    <mergeCell ref="G157:H159"/>
    <mergeCell ref="A164:H164"/>
    <mergeCell ref="A163:H163"/>
    <mergeCell ref="A157:B157"/>
    <mergeCell ref="A158:B158"/>
    <mergeCell ref="E139:F139"/>
    <mergeCell ref="C147:D147"/>
    <mergeCell ref="A83:B83"/>
    <mergeCell ref="C83:H83"/>
    <mergeCell ref="A84:B84"/>
    <mergeCell ref="E84:F84"/>
    <mergeCell ref="G84:H84"/>
    <mergeCell ref="A130:E130"/>
    <mergeCell ref="F130:H130"/>
    <mergeCell ref="A131:E131"/>
    <mergeCell ref="A133:E133"/>
    <mergeCell ref="F127:H127"/>
    <mergeCell ref="A132:E132"/>
    <mergeCell ref="A117:B117"/>
    <mergeCell ref="A118:B118"/>
    <mergeCell ref="A119:B119"/>
    <mergeCell ref="A121:B121"/>
    <mergeCell ref="A122:B122"/>
    <mergeCell ref="A127:E127"/>
    <mergeCell ref="A128:E128"/>
    <mergeCell ref="F133:H133"/>
    <mergeCell ref="D161:D162"/>
    <mergeCell ref="E161:E162"/>
    <mergeCell ref="G161:H162"/>
    <mergeCell ref="C161:C162"/>
    <mergeCell ref="A149:B149"/>
    <mergeCell ref="E149:F149"/>
    <mergeCell ref="A145:A146"/>
    <mergeCell ref="C144:D144"/>
    <mergeCell ref="E144:F144"/>
    <mergeCell ref="G144:H144"/>
    <mergeCell ref="E147:F147"/>
    <mergeCell ref="G147:H147"/>
    <mergeCell ref="C148:D148"/>
    <mergeCell ref="E148:F148"/>
    <mergeCell ref="G148:H148"/>
    <mergeCell ref="A147:A148"/>
    <mergeCell ref="C146:D146"/>
    <mergeCell ref="E146:F146"/>
    <mergeCell ref="G146:H146"/>
    <mergeCell ref="L166:M166"/>
    <mergeCell ref="A167:B167"/>
    <mergeCell ref="L167:M167"/>
    <mergeCell ref="A185:B185"/>
    <mergeCell ref="A187:H187"/>
    <mergeCell ref="A180:H180"/>
    <mergeCell ref="A166:B166"/>
    <mergeCell ref="G169:H177"/>
    <mergeCell ref="A178:H178"/>
    <mergeCell ref="A179:H179"/>
    <mergeCell ref="D185:F185"/>
    <mergeCell ref="A186:B186"/>
    <mergeCell ref="D186:F186"/>
    <mergeCell ref="A168:H168"/>
    <mergeCell ref="A183:B183"/>
    <mergeCell ref="A169:B169"/>
    <mergeCell ref="L168:M168"/>
    <mergeCell ref="G85:H94"/>
    <mergeCell ref="A86:B86"/>
    <mergeCell ref="A87:B87"/>
    <mergeCell ref="A88:B88"/>
    <mergeCell ref="F126:H126"/>
    <mergeCell ref="A126:E126"/>
    <mergeCell ref="A173:B173"/>
    <mergeCell ref="A170:B170"/>
    <mergeCell ref="A171:B171"/>
    <mergeCell ref="A172:B172"/>
    <mergeCell ref="A124:E124"/>
    <mergeCell ref="F128:H128"/>
    <mergeCell ref="G113:H113"/>
    <mergeCell ref="A111:B111"/>
    <mergeCell ref="C111:H111"/>
    <mergeCell ref="A113:B113"/>
    <mergeCell ref="E113:F113"/>
    <mergeCell ref="A160:H160"/>
    <mergeCell ref="A161:A162"/>
    <mergeCell ref="B161:B162"/>
    <mergeCell ref="A138:H138"/>
    <mergeCell ref="A136:E136"/>
    <mergeCell ref="F136:H136"/>
    <mergeCell ref="A137:E137"/>
    <mergeCell ref="F129:H129"/>
    <mergeCell ref="G114:H123"/>
    <mergeCell ref="A150:H150"/>
    <mergeCell ref="F132:H132"/>
    <mergeCell ref="C139:D139"/>
    <mergeCell ref="G141:H141"/>
    <mergeCell ref="A141:B141"/>
    <mergeCell ref="C141:D141"/>
    <mergeCell ref="F135:H135"/>
    <mergeCell ref="A125:E125"/>
    <mergeCell ref="A115:B115"/>
    <mergeCell ref="A116:B116"/>
    <mergeCell ref="F137:H137"/>
    <mergeCell ref="A143:B143"/>
    <mergeCell ref="E143:F143"/>
    <mergeCell ref="C143:D143"/>
    <mergeCell ref="G143:H143"/>
    <mergeCell ref="E44:H44"/>
    <mergeCell ref="E45:H45"/>
    <mergeCell ref="A43:D43"/>
    <mergeCell ref="A57:C59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D59:H59"/>
    <mergeCell ref="A64:C64"/>
    <mergeCell ref="D64:H64"/>
    <mergeCell ref="A65:C65"/>
    <mergeCell ref="A61:C61"/>
    <mergeCell ref="D60:H60"/>
    <mergeCell ref="E71:F80"/>
    <mergeCell ref="G71:H80"/>
    <mergeCell ref="D65:H65"/>
    <mergeCell ref="A71:B71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1:D22"/>
    <mergeCell ref="E21:H22"/>
    <mergeCell ref="A23:D23"/>
    <mergeCell ref="E23:H23"/>
    <mergeCell ref="E10:H10"/>
    <mergeCell ref="E13:H13"/>
    <mergeCell ref="A14:B14"/>
    <mergeCell ref="C14:H14"/>
    <mergeCell ref="C15:H15"/>
    <mergeCell ref="E17:F17"/>
    <mergeCell ref="G17:H17"/>
    <mergeCell ref="A18:B18"/>
    <mergeCell ref="C18:D18"/>
    <mergeCell ref="E18:F18"/>
    <mergeCell ref="G18:H18"/>
    <mergeCell ref="C17:D17"/>
    <mergeCell ref="A16:B16"/>
    <mergeCell ref="C16:H16"/>
    <mergeCell ref="A17:B17"/>
    <mergeCell ref="A11:D11"/>
    <mergeCell ref="E11:H11"/>
    <mergeCell ref="A15:B15"/>
    <mergeCell ref="A12:D12"/>
    <mergeCell ref="E12:H12"/>
    <mergeCell ref="A13:D13"/>
    <mergeCell ref="A10:D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241:H241"/>
    <mergeCell ref="A142:H142"/>
    <mergeCell ref="A238:H238"/>
    <mergeCell ref="C145:D145"/>
    <mergeCell ref="E145:F145"/>
    <mergeCell ref="G145:H145"/>
    <mergeCell ref="A227:H227"/>
    <mergeCell ref="A159:B159"/>
    <mergeCell ref="G196:H199"/>
    <mergeCell ref="A197:B197"/>
    <mergeCell ref="A156:H156"/>
    <mergeCell ref="E152:E153"/>
    <mergeCell ref="G152:H153"/>
    <mergeCell ref="A154:H154"/>
    <mergeCell ref="A155:H155"/>
    <mergeCell ref="D152:D153"/>
    <mergeCell ref="A217:H217"/>
    <mergeCell ref="A209:B209"/>
    <mergeCell ref="A210:B210"/>
    <mergeCell ref="A211:B211"/>
    <mergeCell ref="A212:H212"/>
    <mergeCell ref="A213:B213"/>
    <mergeCell ref="G213:H216"/>
    <mergeCell ref="A214:B214"/>
    <mergeCell ref="A246:H249"/>
    <mergeCell ref="A245:B245"/>
    <mergeCell ref="E245:F245"/>
    <mergeCell ref="C245:D245"/>
    <mergeCell ref="G245:H245"/>
    <mergeCell ref="A244:H244"/>
    <mergeCell ref="A242:H242"/>
    <mergeCell ref="A218:H218"/>
    <mergeCell ref="A216:B216"/>
    <mergeCell ref="A223:B223"/>
    <mergeCell ref="G223:H226"/>
    <mergeCell ref="A224:B224"/>
    <mergeCell ref="A225:B225"/>
    <mergeCell ref="A226:B226"/>
    <mergeCell ref="A219:B219"/>
    <mergeCell ref="G219:H221"/>
    <mergeCell ref="A220:B220"/>
    <mergeCell ref="A243:H243"/>
    <mergeCell ref="A240:H240"/>
    <mergeCell ref="A239:H239"/>
    <mergeCell ref="B231:H231"/>
    <mergeCell ref="B236:H236"/>
    <mergeCell ref="B232:H232"/>
    <mergeCell ref="B233:H233"/>
    <mergeCell ref="A204:B204"/>
    <mergeCell ref="D196:F196"/>
    <mergeCell ref="A193:B193"/>
    <mergeCell ref="G188:H193"/>
    <mergeCell ref="A195:H195"/>
    <mergeCell ref="A196:B196"/>
    <mergeCell ref="A198:B198"/>
    <mergeCell ref="A199:B199"/>
    <mergeCell ref="A194:H194"/>
    <mergeCell ref="A203:B203"/>
    <mergeCell ref="A191:B191"/>
    <mergeCell ref="A192:B192"/>
    <mergeCell ref="A200:H200"/>
    <mergeCell ref="A188:B188"/>
    <mergeCell ref="A189:B189"/>
    <mergeCell ref="A190:B190"/>
    <mergeCell ref="G201:H204"/>
    <mergeCell ref="A202:B202"/>
    <mergeCell ref="E41:H41"/>
    <mergeCell ref="A41:D41"/>
    <mergeCell ref="G50:H50"/>
    <mergeCell ref="D54:H54"/>
    <mergeCell ref="C50:E50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A47:B47"/>
    <mergeCell ref="C47:H47"/>
    <mergeCell ref="A48:B48"/>
    <mergeCell ref="C48:E48"/>
    <mergeCell ref="C51:H51"/>
    <mergeCell ref="A42:D42"/>
    <mergeCell ref="E42:H42"/>
    <mergeCell ref="E43:H43"/>
    <mergeCell ref="A89:B89"/>
    <mergeCell ref="A90:B90"/>
    <mergeCell ref="A91:B91"/>
    <mergeCell ref="A151:H151"/>
    <mergeCell ref="G139:H139"/>
    <mergeCell ref="A134:E134"/>
    <mergeCell ref="C140:D140"/>
    <mergeCell ref="E140:F140"/>
    <mergeCell ref="B152:B153"/>
    <mergeCell ref="A152:A153"/>
    <mergeCell ref="C149:D149"/>
    <mergeCell ref="F134:H134"/>
    <mergeCell ref="A139:B139"/>
    <mergeCell ref="A112:B112"/>
    <mergeCell ref="C112:D112"/>
    <mergeCell ref="E112:F112"/>
    <mergeCell ref="G112:H112"/>
    <mergeCell ref="F131:H131"/>
    <mergeCell ref="A92:B92"/>
    <mergeCell ref="A93:B93"/>
    <mergeCell ref="A94:B94"/>
    <mergeCell ref="A114:B114"/>
    <mergeCell ref="E114:F123"/>
    <mergeCell ref="F124:H124"/>
    <mergeCell ref="G70:H70"/>
    <mergeCell ref="A72:B72"/>
    <mergeCell ref="A74:B74"/>
    <mergeCell ref="E70:F70"/>
    <mergeCell ref="A63:C63"/>
    <mergeCell ref="D63:H63"/>
    <mergeCell ref="A66:C66"/>
    <mergeCell ref="D66:H66"/>
    <mergeCell ref="A79:B79"/>
    <mergeCell ref="A78:B78"/>
    <mergeCell ref="A80:B80"/>
    <mergeCell ref="D61:H61"/>
    <mergeCell ref="C109:H109"/>
    <mergeCell ref="A85:B85"/>
    <mergeCell ref="E85:F94"/>
    <mergeCell ref="B237:H237"/>
    <mergeCell ref="A81:B81"/>
    <mergeCell ref="C81:H81"/>
    <mergeCell ref="A120:B120"/>
    <mergeCell ref="A76:B76"/>
    <mergeCell ref="F125:H125"/>
    <mergeCell ref="G140:H140"/>
    <mergeCell ref="A123:B123"/>
    <mergeCell ref="B234:H234"/>
    <mergeCell ref="B230:H230"/>
    <mergeCell ref="B228:H228"/>
    <mergeCell ref="B229:H229"/>
    <mergeCell ref="A182:B182"/>
    <mergeCell ref="A165:H165"/>
    <mergeCell ref="A184:B184"/>
    <mergeCell ref="A181:B181"/>
    <mergeCell ref="G166:H167"/>
    <mergeCell ref="A174:B174"/>
    <mergeCell ref="B235:H23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249" max="16383" man="1"/>
    <brk id="292" max="16383" man="1"/>
    <brk id="321" max="16383" man="1"/>
    <brk id="36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9" t="s">
        <v>112</v>
      </c>
      <c r="C3" s="199"/>
      <c r="D3" s="199"/>
      <c r="E3" s="199"/>
      <c r="F3" s="199"/>
      <c r="G3" s="199"/>
      <c r="H3" s="199"/>
    </row>
    <row r="4" spans="1:9" x14ac:dyDescent="0.35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3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2025-08-04T04:37:14Z</cp:lastPrinted>
  <dcterms:created xsi:type="dcterms:W3CDTF">2019-07-16T09:29:46Z</dcterms:created>
  <dcterms:modified xsi:type="dcterms:W3CDTF">2025-08-04T04:37:25Z</dcterms:modified>
</cp:coreProperties>
</file>