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2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D140" i="1" l="1"/>
  <c r="D121" i="1"/>
  <c r="D119" i="1"/>
  <c r="D118" i="1"/>
  <c r="D113" i="1"/>
  <c r="D112" i="1"/>
  <c r="D125" i="1"/>
  <c r="D195" i="1" l="1"/>
  <c r="D194" i="1"/>
  <c r="D193" i="1"/>
  <c r="D192" i="1"/>
  <c r="D191" i="1"/>
  <c r="D190" i="1"/>
  <c r="D189" i="1"/>
  <c r="D188" i="1"/>
  <c r="D187" i="1"/>
  <c r="D186" i="1"/>
  <c r="D185" i="1"/>
  <c r="D213" i="1"/>
  <c r="F213" i="1" s="1"/>
  <c r="I212" i="1"/>
  <c r="D212" i="1"/>
  <c r="F212" i="1" s="1"/>
  <c r="J211" i="1"/>
  <c r="I211" i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L205" i="1" s="1"/>
  <c r="F204" i="1"/>
  <c r="R204" i="1" s="1"/>
  <c r="D204" i="1"/>
  <c r="D203" i="1"/>
  <c r="F203" i="1" s="1"/>
  <c r="J203" i="1" s="1"/>
  <c r="D202" i="1"/>
  <c r="F202" i="1" s="1"/>
  <c r="D201" i="1"/>
  <c r="F201" i="1" s="1"/>
  <c r="O200" i="1"/>
  <c r="O201" i="1" s="1"/>
  <c r="D200" i="1"/>
  <c r="F200" i="1" s="1"/>
  <c r="K200" i="1" s="1"/>
  <c r="L200" i="1" s="1"/>
  <c r="L199" i="1"/>
  <c r="G199" i="1"/>
  <c r="D199" i="1"/>
  <c r="F199" i="1" s="1"/>
  <c r="I199" i="1" s="1"/>
  <c r="D171" i="1"/>
  <c r="D107" i="1"/>
  <c r="G47" i="1"/>
  <c r="P199" i="1"/>
  <c r="I213" i="1" l="1"/>
  <c r="P200" i="1"/>
  <c r="N199" i="1"/>
  <c r="O202" i="1"/>
  <c r="J204" i="1"/>
  <c r="L204" i="1"/>
  <c r="E3" i="1"/>
  <c r="O203" i="1" l="1"/>
  <c r="P201" i="1"/>
  <c r="N200" i="1"/>
  <c r="L153" i="1"/>
  <c r="C59" i="1"/>
  <c r="J70" i="1"/>
  <c r="J69" i="1"/>
  <c r="J68" i="1"/>
  <c r="J67" i="1"/>
  <c r="P202" i="1" l="1"/>
  <c r="N201" i="1"/>
  <c r="O204" i="1"/>
  <c r="E127" i="1"/>
  <c r="E128" i="1"/>
  <c r="E129" i="1"/>
  <c r="E130" i="1"/>
  <c r="D165" i="1"/>
  <c r="F165" i="1" s="1"/>
  <c r="I165" i="1"/>
  <c r="I166" i="1"/>
  <c r="D197" i="1"/>
  <c r="F197" i="1" s="1"/>
  <c r="D196" i="1"/>
  <c r="F196" i="1" s="1"/>
  <c r="F195" i="1"/>
  <c r="F194" i="1"/>
  <c r="F193" i="1"/>
  <c r="F192" i="1"/>
  <c r="F190" i="1"/>
  <c r="F189" i="1"/>
  <c r="J189" i="1" s="1"/>
  <c r="F188" i="1"/>
  <c r="J188" i="1" s="1"/>
  <c r="F187" i="1"/>
  <c r="F186" i="1"/>
  <c r="F185" i="1"/>
  <c r="J165" i="1"/>
  <c r="D167" i="1"/>
  <c r="F167" i="1" s="1"/>
  <c r="D166" i="1"/>
  <c r="F166" i="1" s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1" i="1"/>
  <c r="F151" i="1" s="1"/>
  <c r="D150" i="1"/>
  <c r="F150" i="1" s="1"/>
  <c r="F191" i="1"/>
  <c r="O185" i="1"/>
  <c r="G184" i="1"/>
  <c r="D182" i="1"/>
  <c r="F182" i="1" s="1"/>
  <c r="D181" i="1"/>
  <c r="F181" i="1" s="1"/>
  <c r="P184" i="1"/>
  <c r="O205" i="1" l="1"/>
  <c r="P203" i="1"/>
  <c r="N202" i="1"/>
  <c r="I167" i="1"/>
  <c r="N184" i="1"/>
  <c r="P185" i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O186" i="1"/>
  <c r="F154" i="1"/>
  <c r="K154" i="1" s="1"/>
  <c r="L154" i="1" s="1"/>
  <c r="F153" i="1"/>
  <c r="I153" i="1" s="1"/>
  <c r="F155" i="1"/>
  <c r="F156" i="1"/>
  <c r="F160" i="1"/>
  <c r="F162" i="1"/>
  <c r="F163" i="1"/>
  <c r="F164" i="1"/>
  <c r="F161" i="1"/>
  <c r="F159" i="1"/>
  <c r="L159" i="1" s="1"/>
  <c r="F158" i="1"/>
  <c r="R158" i="1" s="1"/>
  <c r="F157" i="1"/>
  <c r="J157" i="1" s="1"/>
  <c r="O154" i="1"/>
  <c r="O155" i="1" s="1"/>
  <c r="O156" i="1" s="1"/>
  <c r="O157" i="1" s="1"/>
  <c r="O158" i="1" s="1"/>
  <c r="G153" i="1"/>
  <c r="D138" i="1"/>
  <c r="D104" i="1"/>
  <c r="D102" i="1"/>
  <c r="C46" i="1"/>
  <c r="P153" i="1"/>
  <c r="P204" i="1" l="1"/>
  <c r="N203" i="1"/>
  <c r="O206" i="1"/>
  <c r="J158" i="1"/>
  <c r="L158" i="1"/>
  <c r="N185" i="1"/>
  <c r="N186" i="1"/>
  <c r="O187" i="1"/>
  <c r="P154" i="1"/>
  <c r="N153" i="1"/>
  <c r="O159" i="1"/>
  <c r="I125" i="1"/>
  <c r="J125" i="1"/>
  <c r="P205" i="1" l="1"/>
  <c r="N204" i="1"/>
  <c r="O207" i="1"/>
  <c r="O188" i="1"/>
  <c r="N187" i="1"/>
  <c r="O160" i="1"/>
  <c r="P155" i="1"/>
  <c r="N154" i="1"/>
  <c r="D123" i="1"/>
  <c r="D122" i="1"/>
  <c r="D136" i="1"/>
  <c r="D135" i="1"/>
  <c r="D134" i="1"/>
  <c r="D149" i="1"/>
  <c r="D148" i="1"/>
  <c r="D147" i="1"/>
  <c r="D180" i="1"/>
  <c r="D179" i="1"/>
  <c r="D178" i="1"/>
  <c r="E107" i="1"/>
  <c r="P206" i="1" l="1"/>
  <c r="N205" i="1"/>
  <c r="O208" i="1"/>
  <c r="O189" i="1"/>
  <c r="N188" i="1"/>
  <c r="N155" i="1"/>
  <c r="P156" i="1"/>
  <c r="O161" i="1"/>
  <c r="F180" i="1"/>
  <c r="F179" i="1"/>
  <c r="F178" i="1"/>
  <c r="D177" i="1"/>
  <c r="F177" i="1" s="1"/>
  <c r="D176" i="1"/>
  <c r="F176" i="1" s="1"/>
  <c r="D175" i="1"/>
  <c r="F175" i="1" s="1"/>
  <c r="D174" i="1"/>
  <c r="D173" i="1"/>
  <c r="D172" i="1"/>
  <c r="G169" i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F136" i="1"/>
  <c r="F135" i="1"/>
  <c r="F134" i="1"/>
  <c r="D133" i="1"/>
  <c r="F133" i="1" s="1"/>
  <c r="D132" i="1"/>
  <c r="F132" i="1" s="1"/>
  <c r="D131" i="1"/>
  <c r="F131" i="1" s="1"/>
  <c r="D130" i="1"/>
  <c r="F130" i="1" s="1"/>
  <c r="D129" i="1"/>
  <c r="D128" i="1"/>
  <c r="F128" i="1" s="1"/>
  <c r="D127" i="1"/>
  <c r="F127" i="1" s="1"/>
  <c r="D126" i="1"/>
  <c r="F126" i="1" s="1"/>
  <c r="F125" i="1"/>
  <c r="G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D143" i="1"/>
  <c r="F143" i="1" s="1"/>
  <c r="D141" i="1"/>
  <c r="D142" i="1"/>
  <c r="F140" i="1"/>
  <c r="F149" i="1"/>
  <c r="F148" i="1"/>
  <c r="D146" i="1"/>
  <c r="F146" i="1" s="1"/>
  <c r="D145" i="1"/>
  <c r="F145" i="1" s="1"/>
  <c r="D144" i="1"/>
  <c r="F144" i="1" s="1"/>
  <c r="D139" i="1"/>
  <c r="F147" i="1"/>
  <c r="I147" i="1" s="1"/>
  <c r="F123" i="1"/>
  <c r="F121" i="1"/>
  <c r="D120" i="1"/>
  <c r="F120" i="1" s="1"/>
  <c r="F118" i="1"/>
  <c r="F122" i="1"/>
  <c r="D106" i="1"/>
  <c r="E106" i="1" s="1"/>
  <c r="D105" i="1"/>
  <c r="E105" i="1" s="1"/>
  <c r="E104" i="1"/>
  <c r="D103" i="1"/>
  <c r="E103" i="1" s="1"/>
  <c r="E102" i="1"/>
  <c r="D101" i="1"/>
  <c r="E101" i="1" s="1"/>
  <c r="E92" i="1" l="1"/>
  <c r="F119" i="1"/>
  <c r="J119" i="1" s="1"/>
  <c r="C95" i="1"/>
  <c r="E95" i="1"/>
  <c r="O209" i="1"/>
  <c r="P207" i="1"/>
  <c r="N206" i="1"/>
  <c r="K144" i="1"/>
  <c r="I144" i="1"/>
  <c r="J143" i="1"/>
  <c r="K143" i="1"/>
  <c r="N189" i="1"/>
  <c r="O190" i="1"/>
  <c r="O162" i="1"/>
  <c r="P157" i="1"/>
  <c r="N156" i="1"/>
  <c r="F171" i="1"/>
  <c r="F129" i="1"/>
  <c r="F174" i="1"/>
  <c r="C92" i="1"/>
  <c r="F172" i="1"/>
  <c r="F173" i="1"/>
  <c r="O210" i="1" l="1"/>
  <c r="P208" i="1"/>
  <c r="N207" i="1"/>
  <c r="N190" i="1"/>
  <c r="O191" i="1"/>
  <c r="P158" i="1"/>
  <c r="N157" i="1"/>
  <c r="O163" i="1"/>
  <c r="P209" i="1" l="1"/>
  <c r="N208" i="1"/>
  <c r="O192" i="1"/>
  <c r="N191" i="1"/>
  <c r="O164" i="1"/>
  <c r="P159" i="1"/>
  <c r="N158" i="1"/>
  <c r="G46" i="1"/>
  <c r="H60" i="1"/>
  <c r="P210" i="1" l="1"/>
  <c r="N210" i="1" s="1"/>
  <c r="N209" i="1"/>
  <c r="D71" i="1"/>
  <c r="D67" i="1"/>
  <c r="J63" i="1"/>
  <c r="D70" i="1"/>
  <c r="J65" i="1"/>
  <c r="J66" i="1" s="1"/>
  <c r="J71" i="1" s="1"/>
  <c r="J72" i="1" s="1"/>
  <c r="C64" i="1" s="1"/>
  <c r="D69" i="1"/>
  <c r="D65" i="1"/>
  <c r="D72" i="1"/>
  <c r="D68" i="1"/>
  <c r="J64" i="1"/>
  <c r="C63" i="1" s="1"/>
  <c r="J62" i="1"/>
  <c r="D66" i="1"/>
  <c r="N192" i="1"/>
  <c r="O193" i="1"/>
  <c r="P160" i="1"/>
  <c r="N159" i="1"/>
  <c r="A216" i="1"/>
  <c r="A217" i="1" s="1"/>
  <c r="A218" i="1" s="1"/>
  <c r="A219" i="1" s="1"/>
  <c r="A220" i="1" s="1"/>
  <c r="A221" i="1" l="1"/>
  <c r="A223" i="1" s="1"/>
  <c r="A222" i="1"/>
  <c r="E63" i="1"/>
  <c r="I59" i="1" s="1"/>
  <c r="D64" i="1"/>
  <c r="G63" i="1"/>
  <c r="D63" i="1"/>
  <c r="N193" i="1"/>
  <c r="O194" i="1"/>
  <c r="P161" i="1"/>
  <c r="N160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P138" i="1"/>
  <c r="N194" i="1" l="1"/>
  <c r="O195" i="1"/>
  <c r="N195" i="1" s="1"/>
  <c r="P162" i="1"/>
  <c r="N161" i="1"/>
  <c r="N138" i="1"/>
  <c r="P163" i="1" l="1"/>
  <c r="N162" i="1"/>
  <c r="P164" i="1" l="1"/>
  <c r="N164" i="1" s="1"/>
  <c r="N163" i="1"/>
  <c r="C13" i="1" l="1"/>
  <c r="E40" i="1" l="1"/>
  <c r="E41" i="1" s="1"/>
  <c r="F141" i="1" l="1"/>
  <c r="F142" i="1"/>
  <c r="J142" i="1" s="1"/>
  <c r="F139" i="1"/>
  <c r="F138" i="1"/>
  <c r="K138" i="1" s="1"/>
  <c r="F113" i="1"/>
  <c r="F112" i="1"/>
  <c r="G101" i="1"/>
  <c r="A102" i="1"/>
  <c r="A103" i="1" s="1"/>
  <c r="A104" i="1" s="1"/>
  <c r="A105" i="1" s="1"/>
  <c r="A106" i="1" s="1"/>
  <c r="A107" i="1" s="1"/>
  <c r="G95" i="1" l="1"/>
  <c r="G92" i="1"/>
  <c r="G138" i="1"/>
  <c r="O139" i="1" l="1"/>
  <c r="G112" i="1"/>
  <c r="E24" i="1"/>
  <c r="E22" i="1"/>
  <c r="P139" i="1" l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O140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39" i="1" l="1"/>
  <c r="N140" i="1"/>
  <c r="O141" i="1"/>
  <c r="N141" i="1" s="1"/>
  <c r="G12" i="5"/>
  <c r="O142" i="1" l="1"/>
  <c r="N142" i="1" s="1"/>
  <c r="O143" i="1" l="1"/>
  <c r="N143" i="1" l="1"/>
  <c r="O144" i="1"/>
  <c r="E7" i="1"/>
  <c r="N144" i="1" l="1"/>
  <c r="O145" i="1"/>
  <c r="D237" i="1"/>
  <c r="F89" i="1"/>
  <c r="D51" i="1"/>
  <c r="N145" i="1" l="1"/>
  <c r="O146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N146" i="1" l="1"/>
  <c r="O147" i="1"/>
  <c r="L34" i="3"/>
  <c r="K34" i="3" s="1"/>
  <c r="E34" i="3"/>
  <c r="I34" i="3"/>
  <c r="H34" i="3" s="1"/>
  <c r="N147" i="1" l="1"/>
  <c r="O148" i="1"/>
  <c r="D34" i="3"/>
  <c r="D36" i="3" s="1"/>
  <c r="E36" i="3"/>
  <c r="N148" i="1" l="1"/>
  <c r="O149" i="1"/>
  <c r="N149" i="1" l="1"/>
  <c r="O150" i="1"/>
  <c r="N150" i="1" l="1"/>
  <c r="O151" i="1"/>
  <c r="N151" i="1" s="1"/>
</calcChain>
</file>

<file path=xl/sharedStrings.xml><?xml version="1.0" encoding="utf-8"?>
<sst xmlns="http://schemas.openxmlformats.org/spreadsheetml/2006/main" count="457" uniqueCount="278">
  <si>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</si>
  <si>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</si>
  <si>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</si>
  <si>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</si>
  <si>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</si>
  <si>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</si>
  <si>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</si>
  <si>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</si>
  <si>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</si>
  <si>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</si>
  <si>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</si>
  <si>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</si>
  <si>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</si>
  <si>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</si>
  <si>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</si>
  <si>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</si>
  <si>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</si>
  <si>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</si>
  <si>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</si>
  <si>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</si>
  <si>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</si>
  <si>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</si>
  <si>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</si>
  <si>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</si>
  <si>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</si>
  <si>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</si>
  <si>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</si>
  <si>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</si>
  <si>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</si>
  <si>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</si>
  <si>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</si>
  <si>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</si>
  <si>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</si>
  <si>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</si>
  <si>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</si>
  <si>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</si>
  <si>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</si>
  <si>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</si>
  <si>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</si>
  <si>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</si>
  <si>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</si>
  <si>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</si>
  <si>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</si>
  <si>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</si>
  <si>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</si>
  <si>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</si>
  <si>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</si>
  <si>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</si>
  <si>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</si>
  <si>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</si>
  <si>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</si>
  <si>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</si>
  <si>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</si>
  <si>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</si>
  <si>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</si>
  <si>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</si>
  <si>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</si>
  <si>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</si>
  <si>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</si>
  <si>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</si>
  <si>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</si>
  <si>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</si>
  <si>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</si>
  <si>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</si>
  <si>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</si>
  <si>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</si>
  <si>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</si>
  <si>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</si>
  <si>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</si>
  <si>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</si>
  <si>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</si>
  <si>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</si>
  <si>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</si>
  <si>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</si>
  <si>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</si>
  <si>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</si>
  <si>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</si>
  <si>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</si>
  <si>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</si>
  <si>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</si>
  <si>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</si>
  <si>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</si>
  <si>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</si>
  <si>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</si>
  <si>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</si>
  <si>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</si>
  <si>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</si>
  <si>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</si>
  <si>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</si>
  <si>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</si>
  <si>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</si>
  <si>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</si>
  <si>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</si>
  <si>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</si>
  <si>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</si>
  <si>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</si>
  <si>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</si>
  <si>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</si>
  <si>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</si>
  <si>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</si>
  <si>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</si>
  <si>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</si>
  <si>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</si>
  <si>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</si>
  <si>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</si>
  <si>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</si>
  <si>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</si>
  <si>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</si>
  <si>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</si>
  <si>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</si>
  <si>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</si>
  <si>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</si>
  <si>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</si>
  <si>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</si>
  <si>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</si>
  <si>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</si>
  <si>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</si>
  <si>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</si>
  <si>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</si>
  <si>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</si>
  <si>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</si>
  <si>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</si>
  <si>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</si>
  <si>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</si>
  <si>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</si>
  <si>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</si>
  <si>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</si>
  <si>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</si>
  <si>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</si>
  <si>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</si>
  <si>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</si>
  <si>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</si>
  <si>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</si>
  <si>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</si>
  <si>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</si>
  <si>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</si>
  <si>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</si>
  <si>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</si>
  <si>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</si>
  <si>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</si>
  <si>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</si>
  <si>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</si>
  <si>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</si>
  <si>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</si>
  <si>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</si>
  <si>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</si>
  <si>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</si>
  <si>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</si>
  <si>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</si>
  <si>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</si>
  <si>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</si>
  <si>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</si>
  <si>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</si>
  <si>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</si>
  <si>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</si>
  <si>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</si>
  <si>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</si>
  <si>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</si>
  <si>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</si>
  <si>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</si>
  <si>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</si>
  <si>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</si>
  <si>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</si>
  <si>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</si>
  <si>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</si>
  <si>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</si>
  <si>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</si>
  <si>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</si>
  <si>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</si>
  <si>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</si>
  <si>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</si>
  <si>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</si>
  <si>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</si>
  <si>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</si>
  <si>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</si>
  <si>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</si>
  <si>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</si>
  <si>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</si>
  <si>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</si>
  <si>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</si>
  <si>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</si>
  <si>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</si>
  <si>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</si>
  <si>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</si>
  <si>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</si>
  <si>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</si>
  <si>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</si>
  <si>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M/s.Patil Developers</t>
  </si>
  <si>
    <t>Divine Heights</t>
  </si>
  <si>
    <t>P51700019573</t>
  </si>
  <si>
    <t>Dawale</t>
  </si>
  <si>
    <t>Thane</t>
  </si>
  <si>
    <t>Diva Shil Road</t>
  </si>
  <si>
    <t>Ovi Hospital</t>
  </si>
  <si>
    <t>Open Land</t>
  </si>
  <si>
    <t>Internal Road</t>
  </si>
  <si>
    <t>V.P.S11/0051/19/TMC/TD-DP/TPS/2951/29</t>
  </si>
  <si>
    <t>Ground Floor for Commercial &amp; Parking</t>
  </si>
  <si>
    <t>Office</t>
  </si>
  <si>
    <t>Attached Loft area</t>
  </si>
  <si>
    <t>2 BHK</t>
  </si>
  <si>
    <t>1 BHK</t>
  </si>
  <si>
    <t xml:space="preserve">Refuge Area </t>
  </si>
  <si>
    <t>We considered Gross carpet area = Net carpet + Enclose balcony + C.B Area + E.P Area.</t>
  </si>
  <si>
    <t>Approved Plans, CC, Sale Plans, Cost Sheet</t>
  </si>
  <si>
    <t xml:space="preserve"> 20.5 Km from Thane Railway Station</t>
  </si>
  <si>
    <t>Survey No</t>
  </si>
  <si>
    <t>167/2A/1,167/2A/2 &amp; 167/3, Plot - A</t>
  </si>
  <si>
    <t>Builder Saleable area</t>
  </si>
  <si>
    <t>We considered  Saleable area of Flats as per our calculation &amp; Office's area as per builder area sheet.</t>
  </si>
  <si>
    <t>Infrastructure Cost</t>
  </si>
  <si>
    <t>PLC</t>
  </si>
  <si>
    <t>3,00,000/-</t>
  </si>
  <si>
    <t>35/- from 2nd Floor</t>
  </si>
  <si>
    <t>Building No.C1</t>
  </si>
  <si>
    <r>
      <t xml:space="preserve">Office </t>
    </r>
    <r>
      <rPr>
        <sz val="11"/>
        <color indexed="8"/>
        <rFont val="Times New Roman"/>
        <family val="1"/>
      </rPr>
      <t>with 50% Loft</t>
    </r>
  </si>
  <si>
    <t>1,20,000/-</t>
  </si>
  <si>
    <t>25,000/-</t>
  </si>
  <si>
    <t>11th to 12th, 14th &amp; 15th Floor</t>
  </si>
  <si>
    <t>1101,…,1501</t>
  </si>
  <si>
    <t>1102,…,1502</t>
  </si>
  <si>
    <t>1103,…,1503</t>
  </si>
  <si>
    <t>1104,…,1504</t>
  </si>
  <si>
    <t>1105,…,1505</t>
  </si>
  <si>
    <t>1106,…,1506</t>
  </si>
  <si>
    <t>1107,…,1507</t>
  </si>
  <si>
    <t>1108,…,1508</t>
  </si>
  <si>
    <t>1109,…,1509</t>
  </si>
  <si>
    <t>1110,…,1510</t>
  </si>
  <si>
    <t>1111,…,1511</t>
  </si>
  <si>
    <t>1112,…,1512</t>
  </si>
  <si>
    <t>1RK</t>
  </si>
  <si>
    <t>1BHK</t>
  </si>
  <si>
    <t>2BHK</t>
  </si>
  <si>
    <t>1101,…,1502</t>
  </si>
  <si>
    <t>1102,…,1503</t>
  </si>
  <si>
    <t>1101,…,1503</t>
  </si>
  <si>
    <t>1102,…,1504</t>
  </si>
  <si>
    <t>1101,…,1504</t>
  </si>
  <si>
    <t>1102,…,1505</t>
  </si>
  <si>
    <t>1101,…,1505</t>
  </si>
  <si>
    <t>1102,…,1506</t>
  </si>
  <si>
    <t>1101,…,1506</t>
  </si>
  <si>
    <t>1102,…,1507</t>
  </si>
  <si>
    <t>1101,…,1507</t>
  </si>
  <si>
    <t>1102,…,1508</t>
  </si>
  <si>
    <t xml:space="preserve">Recommended rate should be considered as all inclusive rate if other charges are not mentioned. (Excluding GST &amp; other government Taxes).
</t>
  </si>
  <si>
    <t>Slab/Floor</t>
  </si>
  <si>
    <t>Development Charges</t>
  </si>
  <si>
    <t>Society &amp; Clubhouse Charges</t>
  </si>
  <si>
    <t>1,50,000/-</t>
  </si>
  <si>
    <t>Latitude, Longitude</t>
  </si>
  <si>
    <t>Location Link</t>
  </si>
  <si>
    <t>https://goo.gl/maps/obmFQBBeZYK4GMBS7</t>
  </si>
  <si>
    <t>Valid Up to: Sub Plot 'A' = Building No.C1 = G/st(Pt) + 1st to 24th Floor</t>
  </si>
  <si>
    <t>Building No.C1 = G/st(Pt) + 1st to 24th Floor</t>
  </si>
  <si>
    <t>13th, 18th &amp; 23rd Floor (Part Refuge Area)</t>
  </si>
  <si>
    <t>8th Floor (Part Refuge Area)</t>
  </si>
  <si>
    <t>16th to 17th, 19th to 22nd &amp; 24th Floor</t>
  </si>
  <si>
    <t>1101,…,1508</t>
  </si>
  <si>
    <t>Commercial Area</t>
  </si>
  <si>
    <t>Flats - 334, Offices - 7</t>
  </si>
  <si>
    <t>S11/0051/12/TMC/TDD/4368/23</t>
  </si>
  <si>
    <t>1st Floor For Residential and Fitness Center</t>
  </si>
  <si>
    <t>3rd to 7th &amp; 9th &amp; 10th Floor</t>
  </si>
  <si>
    <t>We have updated latest approved floor plans &amp; CC (On 26/04/2023).</t>
  </si>
  <si>
    <t>Office No. 1031, Wing J, Akshar Business Park, Plot No. 03 Sector 25, Near APMC Market,
Vashi, Navi Mumbai, Maharashtra 400703 TEL: 022-46090378/79/80
E mail : vsjcapf@gmail.com. Web site : www.vsjadon.com</t>
  </si>
  <si>
    <t>19.169124,73.046929</t>
  </si>
  <si>
    <t>Gangaram parshuram Lambore</t>
  </si>
  <si>
    <t>Completed</t>
  </si>
  <si>
    <t>Nothing</t>
  </si>
  <si>
    <t>5700 to 5850 by smith on 07/11/2024</t>
  </si>
  <si>
    <t>Recommended Rates/Other Charges of the Property have been revised on 07/11/2024.</t>
  </si>
  <si>
    <t>TMCB/PO/2024/APL/00116
Approved upto : Building C1 = Gr/St + 1st to 24th Floor</t>
  </si>
  <si>
    <t>59 Years</t>
  </si>
  <si>
    <t>All work completed. OC Received.</t>
  </si>
  <si>
    <t>We have updated OC from Rera (On 02/08/2025).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</si>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</sst>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0" xfId="1" applyFont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4" fillId="0" borderId="8" xfId="9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246528</xdr:colOff>
      <xdr:row>281</xdr:row>
      <xdr:rowOff>168088</xdr:rowOff>
    </xdr:from>
    <xdr:to>
      <xdr:col>6</xdr:col>
      <xdr:colOff>358588</xdr:colOff>
      <xdr:row>296</xdr:row>
      <xdr:rowOff>22499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4557" y="56152676"/>
          <a:ext cx="458320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257733</xdr:colOff>
      <xdr:row>297</xdr:row>
      <xdr:rowOff>8373</xdr:rowOff>
    </xdr:from>
    <xdr:to>
      <xdr:col>6</xdr:col>
      <xdr:colOff>369719</xdr:colOff>
      <xdr:row>311</xdr:row>
      <xdr:rowOff>64491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5762" y="59220255"/>
          <a:ext cx="458313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44823</xdr:colOff>
      <xdr:row>237</xdr:row>
      <xdr:rowOff>67235</xdr:rowOff>
    </xdr:from>
    <xdr:to>
      <xdr:col>22</xdr:col>
      <xdr:colOff>573671</xdr:colOff>
      <xdr:row>278</xdr:row>
      <xdr:rowOff>76114</xdr:rowOff>
    </xdr:to>
    <xdr:grpSp>
      <xdr:nvGrpSpPr>
        <xdr:cNvPr id="4" name="Group 3"/>
        <xdr:cNvGrpSpPr/>
      </xdr:nvGrpSpPr>
      <xdr:grpSpPr>
        <a:xfrm>
          <a:off x="8109323" y="49959185"/>
          <a:ext cx="6008898" cy="8073379"/>
          <a:chOff x="437028" y="50303206"/>
          <a:chExt cx="5728378" cy="8267614"/>
        </a:xfrm>
      </xdr:grpSpPr>
      <xdr:pic>
        <xdr:nvPicPr>
          <xdr:cNvPr id="12" name="Picture 11" descr="https://vsjcllp.vsjadon.com/upload/insp-19732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0532" y="55978820"/>
            <a:ext cx="1829916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19732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09340" y="50303206"/>
            <a:ext cx="1799100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19732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6332" y="55978820"/>
            <a:ext cx="1815604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197322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08000" y="53141013"/>
            <a:ext cx="177052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197322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5491" y="50303206"/>
            <a:ext cx="182991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19732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1374" y="53141013"/>
            <a:ext cx="1818711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19732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5491" y="53141013"/>
            <a:ext cx="182991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197322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028" y="50303206"/>
            <a:ext cx="1818711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177800</xdr:colOff>
      <xdr:row>237</xdr:row>
      <xdr:rowOff>82550</xdr:rowOff>
    </xdr:from>
    <xdr:to>
      <xdr:col>7</xdr:col>
      <xdr:colOff>764010</xdr:colOff>
      <xdr:row>276</xdr:row>
      <xdr:rowOff>161746</xdr:rowOff>
    </xdr:to>
    <xdr:grpSp>
      <xdr:nvGrpSpPr>
        <xdr:cNvPr id="6" name="Group 5"/>
        <xdr:cNvGrpSpPr/>
      </xdr:nvGrpSpPr>
      <xdr:grpSpPr>
        <a:xfrm>
          <a:off x="177800" y="49974500"/>
          <a:ext cx="6561560" cy="7749996"/>
          <a:chOff x="177800" y="49974500"/>
          <a:chExt cx="6561560" cy="7749996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1963" y="556724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378" y="49974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2966" y="55672496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556724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0383" y="556724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344" y="49974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310" y="52810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378" y="52810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599" y="52810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310" y="49974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bmFQBBeZYK4GMBS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280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57" customWidth="1"/>
    <col min="2" max="2" width="12" style="57" customWidth="1"/>
    <col min="3" max="3" width="12.7265625" style="57" customWidth="1"/>
    <col min="4" max="4" width="14.1796875" style="57" customWidth="1"/>
    <col min="5" max="7" width="11.7265625" style="57" customWidth="1"/>
    <col min="8" max="8" width="12.453125" style="57" customWidth="1"/>
    <col min="9" max="9" width="17.453125" style="32" customWidth="1"/>
    <col min="10" max="10" width="11.453125" style="32" customWidth="1"/>
    <col min="11" max="11" width="10.54296875" style="32" bestFit="1" customWidth="1"/>
    <col min="12" max="12" width="10.54296875" style="32" customWidth="1"/>
    <col min="13" max="13" width="11.81640625" style="32" hidden="1" customWidth="1"/>
    <col min="14" max="14" width="12.54296875" style="32" hidden="1" customWidth="1"/>
    <col min="15" max="15" width="9.81640625" style="32" hidden="1" customWidth="1"/>
    <col min="16" max="16" width="10.453125" style="32" hidden="1" customWidth="1"/>
    <col min="17" max="17" width="0" style="32" hidden="1" customWidth="1"/>
    <col min="18" max="247" width="9.1796875" style="32"/>
    <col min="248" max="248" width="8.7265625" style="32" customWidth="1"/>
    <col min="249" max="249" width="9.81640625" style="32" customWidth="1"/>
    <col min="250" max="250" width="14.453125" style="32" customWidth="1"/>
    <col min="251" max="251" width="7.26953125" style="32" customWidth="1"/>
    <col min="252" max="252" width="5.54296875" style="32" customWidth="1"/>
    <col min="253" max="253" width="9" style="32" customWidth="1"/>
    <col min="254" max="255" width="9.81640625" style="32" customWidth="1"/>
    <col min="256" max="256" width="11.1796875" style="32" customWidth="1"/>
    <col min="257" max="257" width="2.81640625" style="32" customWidth="1"/>
    <col min="258" max="258" width="3.54296875" style="32" customWidth="1"/>
    <col min="259" max="503" width="9.1796875" style="32"/>
    <col min="504" max="504" width="8.7265625" style="32" customWidth="1"/>
    <col min="505" max="505" width="9.81640625" style="32" customWidth="1"/>
    <col min="506" max="506" width="14.453125" style="32" customWidth="1"/>
    <col min="507" max="507" width="7.26953125" style="32" customWidth="1"/>
    <col min="508" max="508" width="5.54296875" style="32" customWidth="1"/>
    <col min="509" max="509" width="9" style="32" customWidth="1"/>
    <col min="510" max="511" width="9.81640625" style="32" customWidth="1"/>
    <col min="512" max="512" width="11.1796875" style="32" customWidth="1"/>
    <col min="513" max="513" width="2.81640625" style="32" customWidth="1"/>
    <col min="514" max="514" width="3.54296875" style="32" customWidth="1"/>
    <col min="515" max="759" width="9.1796875" style="32"/>
    <col min="760" max="760" width="8.7265625" style="32" customWidth="1"/>
    <col min="761" max="761" width="9.81640625" style="32" customWidth="1"/>
    <col min="762" max="762" width="14.453125" style="32" customWidth="1"/>
    <col min="763" max="763" width="7.26953125" style="32" customWidth="1"/>
    <col min="764" max="764" width="5.54296875" style="32" customWidth="1"/>
    <col min="765" max="765" width="9" style="32" customWidth="1"/>
    <col min="766" max="767" width="9.81640625" style="32" customWidth="1"/>
    <col min="768" max="768" width="11.1796875" style="32" customWidth="1"/>
    <col min="769" max="769" width="2.81640625" style="32" customWidth="1"/>
    <col min="770" max="770" width="3.54296875" style="32" customWidth="1"/>
    <col min="771" max="1015" width="9.1796875" style="32"/>
    <col min="1016" max="1016" width="8.7265625" style="32" customWidth="1"/>
    <col min="1017" max="1017" width="9.81640625" style="32" customWidth="1"/>
    <col min="1018" max="1018" width="14.453125" style="32" customWidth="1"/>
    <col min="1019" max="1019" width="7.26953125" style="32" customWidth="1"/>
    <col min="1020" max="1020" width="5.54296875" style="32" customWidth="1"/>
    <col min="1021" max="1021" width="9" style="32" customWidth="1"/>
    <col min="1022" max="1023" width="9.81640625" style="32" customWidth="1"/>
    <col min="1024" max="1024" width="11.1796875" style="32" customWidth="1"/>
    <col min="1025" max="1025" width="2.81640625" style="32" customWidth="1"/>
    <col min="1026" max="1026" width="3.54296875" style="32" customWidth="1"/>
    <col min="1027" max="1271" width="9.1796875" style="32"/>
    <col min="1272" max="1272" width="8.7265625" style="32" customWidth="1"/>
    <col min="1273" max="1273" width="9.81640625" style="32" customWidth="1"/>
    <col min="1274" max="1274" width="14.453125" style="32" customWidth="1"/>
    <col min="1275" max="1275" width="7.26953125" style="32" customWidth="1"/>
    <col min="1276" max="1276" width="5.54296875" style="32" customWidth="1"/>
    <col min="1277" max="1277" width="9" style="32" customWidth="1"/>
    <col min="1278" max="1279" width="9.81640625" style="32" customWidth="1"/>
    <col min="1280" max="1280" width="11.1796875" style="32" customWidth="1"/>
    <col min="1281" max="1281" width="2.81640625" style="32" customWidth="1"/>
    <col min="1282" max="1282" width="3.54296875" style="32" customWidth="1"/>
    <col min="1283" max="1527" width="9.1796875" style="32"/>
    <col min="1528" max="1528" width="8.7265625" style="32" customWidth="1"/>
    <col min="1529" max="1529" width="9.81640625" style="32" customWidth="1"/>
    <col min="1530" max="1530" width="14.453125" style="32" customWidth="1"/>
    <col min="1531" max="1531" width="7.26953125" style="32" customWidth="1"/>
    <col min="1532" max="1532" width="5.54296875" style="32" customWidth="1"/>
    <col min="1533" max="1533" width="9" style="32" customWidth="1"/>
    <col min="1534" max="1535" width="9.81640625" style="32" customWidth="1"/>
    <col min="1536" max="1536" width="11.1796875" style="32" customWidth="1"/>
    <col min="1537" max="1537" width="2.81640625" style="32" customWidth="1"/>
    <col min="1538" max="1538" width="3.54296875" style="32" customWidth="1"/>
    <col min="1539" max="1783" width="9.1796875" style="32"/>
    <col min="1784" max="1784" width="8.7265625" style="32" customWidth="1"/>
    <col min="1785" max="1785" width="9.81640625" style="32" customWidth="1"/>
    <col min="1786" max="1786" width="14.453125" style="32" customWidth="1"/>
    <col min="1787" max="1787" width="7.26953125" style="32" customWidth="1"/>
    <col min="1788" max="1788" width="5.54296875" style="32" customWidth="1"/>
    <col min="1789" max="1789" width="9" style="32" customWidth="1"/>
    <col min="1790" max="1791" width="9.81640625" style="32" customWidth="1"/>
    <col min="1792" max="1792" width="11.1796875" style="32" customWidth="1"/>
    <col min="1793" max="1793" width="2.81640625" style="32" customWidth="1"/>
    <col min="1794" max="1794" width="3.54296875" style="32" customWidth="1"/>
    <col min="1795" max="2039" width="9.1796875" style="32"/>
    <col min="2040" max="2040" width="8.7265625" style="32" customWidth="1"/>
    <col min="2041" max="2041" width="9.81640625" style="32" customWidth="1"/>
    <col min="2042" max="2042" width="14.453125" style="32" customWidth="1"/>
    <col min="2043" max="2043" width="7.26953125" style="32" customWidth="1"/>
    <col min="2044" max="2044" width="5.54296875" style="32" customWidth="1"/>
    <col min="2045" max="2045" width="9" style="32" customWidth="1"/>
    <col min="2046" max="2047" width="9.81640625" style="32" customWidth="1"/>
    <col min="2048" max="2048" width="11.1796875" style="32" customWidth="1"/>
    <col min="2049" max="2049" width="2.81640625" style="32" customWidth="1"/>
    <col min="2050" max="2050" width="3.54296875" style="32" customWidth="1"/>
    <col min="2051" max="2295" width="9.1796875" style="32"/>
    <col min="2296" max="2296" width="8.7265625" style="32" customWidth="1"/>
    <col min="2297" max="2297" width="9.81640625" style="32" customWidth="1"/>
    <col min="2298" max="2298" width="14.453125" style="32" customWidth="1"/>
    <col min="2299" max="2299" width="7.26953125" style="32" customWidth="1"/>
    <col min="2300" max="2300" width="5.54296875" style="32" customWidth="1"/>
    <col min="2301" max="2301" width="9" style="32" customWidth="1"/>
    <col min="2302" max="2303" width="9.81640625" style="32" customWidth="1"/>
    <col min="2304" max="2304" width="11.1796875" style="32" customWidth="1"/>
    <col min="2305" max="2305" width="2.81640625" style="32" customWidth="1"/>
    <col min="2306" max="2306" width="3.54296875" style="32" customWidth="1"/>
    <col min="2307" max="2551" width="9.1796875" style="32"/>
    <col min="2552" max="2552" width="8.7265625" style="32" customWidth="1"/>
    <col min="2553" max="2553" width="9.81640625" style="32" customWidth="1"/>
    <col min="2554" max="2554" width="14.453125" style="32" customWidth="1"/>
    <col min="2555" max="2555" width="7.26953125" style="32" customWidth="1"/>
    <col min="2556" max="2556" width="5.54296875" style="32" customWidth="1"/>
    <col min="2557" max="2557" width="9" style="32" customWidth="1"/>
    <col min="2558" max="2559" width="9.81640625" style="32" customWidth="1"/>
    <col min="2560" max="2560" width="11.1796875" style="32" customWidth="1"/>
    <col min="2561" max="2561" width="2.81640625" style="32" customWidth="1"/>
    <col min="2562" max="2562" width="3.54296875" style="32" customWidth="1"/>
    <col min="2563" max="2807" width="9.1796875" style="32"/>
    <col min="2808" max="2808" width="8.7265625" style="32" customWidth="1"/>
    <col min="2809" max="2809" width="9.81640625" style="32" customWidth="1"/>
    <col min="2810" max="2810" width="14.453125" style="32" customWidth="1"/>
    <col min="2811" max="2811" width="7.26953125" style="32" customWidth="1"/>
    <col min="2812" max="2812" width="5.54296875" style="32" customWidth="1"/>
    <col min="2813" max="2813" width="9" style="32" customWidth="1"/>
    <col min="2814" max="2815" width="9.81640625" style="32" customWidth="1"/>
    <col min="2816" max="2816" width="11.1796875" style="32" customWidth="1"/>
    <col min="2817" max="2817" width="2.81640625" style="32" customWidth="1"/>
    <col min="2818" max="2818" width="3.54296875" style="32" customWidth="1"/>
    <col min="2819" max="3063" width="9.1796875" style="32"/>
    <col min="3064" max="3064" width="8.7265625" style="32" customWidth="1"/>
    <col min="3065" max="3065" width="9.81640625" style="32" customWidth="1"/>
    <col min="3066" max="3066" width="14.453125" style="32" customWidth="1"/>
    <col min="3067" max="3067" width="7.26953125" style="32" customWidth="1"/>
    <col min="3068" max="3068" width="5.54296875" style="32" customWidth="1"/>
    <col min="3069" max="3069" width="9" style="32" customWidth="1"/>
    <col min="3070" max="3071" width="9.81640625" style="32" customWidth="1"/>
    <col min="3072" max="3072" width="11.1796875" style="32" customWidth="1"/>
    <col min="3073" max="3073" width="2.81640625" style="32" customWidth="1"/>
    <col min="3074" max="3074" width="3.54296875" style="32" customWidth="1"/>
    <col min="3075" max="3319" width="9.1796875" style="32"/>
    <col min="3320" max="3320" width="8.7265625" style="32" customWidth="1"/>
    <col min="3321" max="3321" width="9.81640625" style="32" customWidth="1"/>
    <col min="3322" max="3322" width="14.453125" style="32" customWidth="1"/>
    <col min="3323" max="3323" width="7.26953125" style="32" customWidth="1"/>
    <col min="3324" max="3324" width="5.54296875" style="32" customWidth="1"/>
    <col min="3325" max="3325" width="9" style="32" customWidth="1"/>
    <col min="3326" max="3327" width="9.81640625" style="32" customWidth="1"/>
    <col min="3328" max="3328" width="11.1796875" style="32" customWidth="1"/>
    <col min="3329" max="3329" width="2.81640625" style="32" customWidth="1"/>
    <col min="3330" max="3330" width="3.54296875" style="32" customWidth="1"/>
    <col min="3331" max="3575" width="9.1796875" style="32"/>
    <col min="3576" max="3576" width="8.7265625" style="32" customWidth="1"/>
    <col min="3577" max="3577" width="9.81640625" style="32" customWidth="1"/>
    <col min="3578" max="3578" width="14.453125" style="32" customWidth="1"/>
    <col min="3579" max="3579" width="7.26953125" style="32" customWidth="1"/>
    <col min="3580" max="3580" width="5.54296875" style="32" customWidth="1"/>
    <col min="3581" max="3581" width="9" style="32" customWidth="1"/>
    <col min="3582" max="3583" width="9.81640625" style="32" customWidth="1"/>
    <col min="3584" max="3584" width="11.1796875" style="32" customWidth="1"/>
    <col min="3585" max="3585" width="2.81640625" style="32" customWidth="1"/>
    <col min="3586" max="3586" width="3.54296875" style="32" customWidth="1"/>
    <col min="3587" max="3831" width="9.1796875" style="32"/>
    <col min="3832" max="3832" width="8.7265625" style="32" customWidth="1"/>
    <col min="3833" max="3833" width="9.81640625" style="32" customWidth="1"/>
    <col min="3834" max="3834" width="14.453125" style="32" customWidth="1"/>
    <col min="3835" max="3835" width="7.26953125" style="32" customWidth="1"/>
    <col min="3836" max="3836" width="5.54296875" style="32" customWidth="1"/>
    <col min="3837" max="3837" width="9" style="32" customWidth="1"/>
    <col min="3838" max="3839" width="9.81640625" style="32" customWidth="1"/>
    <col min="3840" max="3840" width="11.1796875" style="32" customWidth="1"/>
    <col min="3841" max="3841" width="2.81640625" style="32" customWidth="1"/>
    <col min="3842" max="3842" width="3.54296875" style="32" customWidth="1"/>
    <col min="3843" max="4087" width="9.1796875" style="32"/>
    <col min="4088" max="4088" width="8.7265625" style="32" customWidth="1"/>
    <col min="4089" max="4089" width="9.81640625" style="32" customWidth="1"/>
    <col min="4090" max="4090" width="14.453125" style="32" customWidth="1"/>
    <col min="4091" max="4091" width="7.26953125" style="32" customWidth="1"/>
    <col min="4092" max="4092" width="5.54296875" style="32" customWidth="1"/>
    <col min="4093" max="4093" width="9" style="32" customWidth="1"/>
    <col min="4094" max="4095" width="9.81640625" style="32" customWidth="1"/>
    <col min="4096" max="4096" width="11.1796875" style="32" customWidth="1"/>
    <col min="4097" max="4097" width="2.81640625" style="32" customWidth="1"/>
    <col min="4098" max="4098" width="3.54296875" style="32" customWidth="1"/>
    <col min="4099" max="4343" width="9.1796875" style="32"/>
    <col min="4344" max="4344" width="8.7265625" style="32" customWidth="1"/>
    <col min="4345" max="4345" width="9.81640625" style="32" customWidth="1"/>
    <col min="4346" max="4346" width="14.453125" style="32" customWidth="1"/>
    <col min="4347" max="4347" width="7.26953125" style="32" customWidth="1"/>
    <col min="4348" max="4348" width="5.54296875" style="32" customWidth="1"/>
    <col min="4349" max="4349" width="9" style="32" customWidth="1"/>
    <col min="4350" max="4351" width="9.81640625" style="32" customWidth="1"/>
    <col min="4352" max="4352" width="11.1796875" style="32" customWidth="1"/>
    <col min="4353" max="4353" width="2.81640625" style="32" customWidth="1"/>
    <col min="4354" max="4354" width="3.54296875" style="32" customWidth="1"/>
    <col min="4355" max="4599" width="9.1796875" style="32"/>
    <col min="4600" max="4600" width="8.7265625" style="32" customWidth="1"/>
    <col min="4601" max="4601" width="9.81640625" style="32" customWidth="1"/>
    <col min="4602" max="4602" width="14.453125" style="32" customWidth="1"/>
    <col min="4603" max="4603" width="7.26953125" style="32" customWidth="1"/>
    <col min="4604" max="4604" width="5.54296875" style="32" customWidth="1"/>
    <col min="4605" max="4605" width="9" style="32" customWidth="1"/>
    <col min="4606" max="4607" width="9.81640625" style="32" customWidth="1"/>
    <col min="4608" max="4608" width="11.1796875" style="32" customWidth="1"/>
    <col min="4609" max="4609" width="2.81640625" style="32" customWidth="1"/>
    <col min="4610" max="4610" width="3.54296875" style="32" customWidth="1"/>
    <col min="4611" max="4855" width="9.1796875" style="32"/>
    <col min="4856" max="4856" width="8.7265625" style="32" customWidth="1"/>
    <col min="4857" max="4857" width="9.81640625" style="32" customWidth="1"/>
    <col min="4858" max="4858" width="14.453125" style="32" customWidth="1"/>
    <col min="4859" max="4859" width="7.26953125" style="32" customWidth="1"/>
    <col min="4860" max="4860" width="5.54296875" style="32" customWidth="1"/>
    <col min="4861" max="4861" width="9" style="32" customWidth="1"/>
    <col min="4862" max="4863" width="9.81640625" style="32" customWidth="1"/>
    <col min="4864" max="4864" width="11.1796875" style="32" customWidth="1"/>
    <col min="4865" max="4865" width="2.81640625" style="32" customWidth="1"/>
    <col min="4866" max="4866" width="3.54296875" style="32" customWidth="1"/>
    <col min="4867" max="5111" width="9.1796875" style="32"/>
    <col min="5112" max="5112" width="8.7265625" style="32" customWidth="1"/>
    <col min="5113" max="5113" width="9.81640625" style="32" customWidth="1"/>
    <col min="5114" max="5114" width="14.453125" style="32" customWidth="1"/>
    <col min="5115" max="5115" width="7.26953125" style="32" customWidth="1"/>
    <col min="5116" max="5116" width="5.54296875" style="32" customWidth="1"/>
    <col min="5117" max="5117" width="9" style="32" customWidth="1"/>
    <col min="5118" max="5119" width="9.81640625" style="32" customWidth="1"/>
    <col min="5120" max="5120" width="11.1796875" style="32" customWidth="1"/>
    <col min="5121" max="5121" width="2.81640625" style="32" customWidth="1"/>
    <col min="5122" max="5122" width="3.54296875" style="32" customWidth="1"/>
    <col min="5123" max="5367" width="9.1796875" style="32"/>
    <col min="5368" max="5368" width="8.7265625" style="32" customWidth="1"/>
    <col min="5369" max="5369" width="9.81640625" style="32" customWidth="1"/>
    <col min="5370" max="5370" width="14.453125" style="32" customWidth="1"/>
    <col min="5371" max="5371" width="7.26953125" style="32" customWidth="1"/>
    <col min="5372" max="5372" width="5.54296875" style="32" customWidth="1"/>
    <col min="5373" max="5373" width="9" style="32" customWidth="1"/>
    <col min="5374" max="5375" width="9.81640625" style="32" customWidth="1"/>
    <col min="5376" max="5376" width="11.1796875" style="32" customWidth="1"/>
    <col min="5377" max="5377" width="2.81640625" style="32" customWidth="1"/>
    <col min="5378" max="5378" width="3.54296875" style="32" customWidth="1"/>
    <col min="5379" max="5623" width="9.1796875" style="32"/>
    <col min="5624" max="5624" width="8.7265625" style="32" customWidth="1"/>
    <col min="5625" max="5625" width="9.81640625" style="32" customWidth="1"/>
    <col min="5626" max="5626" width="14.453125" style="32" customWidth="1"/>
    <col min="5627" max="5627" width="7.26953125" style="32" customWidth="1"/>
    <col min="5628" max="5628" width="5.54296875" style="32" customWidth="1"/>
    <col min="5629" max="5629" width="9" style="32" customWidth="1"/>
    <col min="5630" max="5631" width="9.81640625" style="32" customWidth="1"/>
    <col min="5632" max="5632" width="11.1796875" style="32" customWidth="1"/>
    <col min="5633" max="5633" width="2.81640625" style="32" customWidth="1"/>
    <col min="5634" max="5634" width="3.54296875" style="32" customWidth="1"/>
    <col min="5635" max="5879" width="9.1796875" style="32"/>
    <col min="5880" max="5880" width="8.7265625" style="32" customWidth="1"/>
    <col min="5881" max="5881" width="9.81640625" style="32" customWidth="1"/>
    <col min="5882" max="5882" width="14.453125" style="32" customWidth="1"/>
    <col min="5883" max="5883" width="7.26953125" style="32" customWidth="1"/>
    <col min="5884" max="5884" width="5.54296875" style="32" customWidth="1"/>
    <col min="5885" max="5885" width="9" style="32" customWidth="1"/>
    <col min="5886" max="5887" width="9.81640625" style="32" customWidth="1"/>
    <col min="5888" max="5888" width="11.1796875" style="32" customWidth="1"/>
    <col min="5889" max="5889" width="2.81640625" style="32" customWidth="1"/>
    <col min="5890" max="5890" width="3.54296875" style="32" customWidth="1"/>
    <col min="5891" max="6135" width="9.1796875" style="32"/>
    <col min="6136" max="6136" width="8.7265625" style="32" customWidth="1"/>
    <col min="6137" max="6137" width="9.81640625" style="32" customWidth="1"/>
    <col min="6138" max="6138" width="14.453125" style="32" customWidth="1"/>
    <col min="6139" max="6139" width="7.26953125" style="32" customWidth="1"/>
    <col min="6140" max="6140" width="5.54296875" style="32" customWidth="1"/>
    <col min="6141" max="6141" width="9" style="32" customWidth="1"/>
    <col min="6142" max="6143" width="9.81640625" style="32" customWidth="1"/>
    <col min="6144" max="6144" width="11.1796875" style="32" customWidth="1"/>
    <col min="6145" max="6145" width="2.81640625" style="32" customWidth="1"/>
    <col min="6146" max="6146" width="3.54296875" style="32" customWidth="1"/>
    <col min="6147" max="6391" width="9.1796875" style="32"/>
    <col min="6392" max="6392" width="8.7265625" style="32" customWidth="1"/>
    <col min="6393" max="6393" width="9.81640625" style="32" customWidth="1"/>
    <col min="6394" max="6394" width="14.453125" style="32" customWidth="1"/>
    <col min="6395" max="6395" width="7.26953125" style="32" customWidth="1"/>
    <col min="6396" max="6396" width="5.54296875" style="32" customWidth="1"/>
    <col min="6397" max="6397" width="9" style="32" customWidth="1"/>
    <col min="6398" max="6399" width="9.81640625" style="32" customWidth="1"/>
    <col min="6400" max="6400" width="11.1796875" style="32" customWidth="1"/>
    <col min="6401" max="6401" width="2.81640625" style="32" customWidth="1"/>
    <col min="6402" max="6402" width="3.54296875" style="32" customWidth="1"/>
    <col min="6403" max="6647" width="9.1796875" style="32"/>
    <col min="6648" max="6648" width="8.7265625" style="32" customWidth="1"/>
    <col min="6649" max="6649" width="9.81640625" style="32" customWidth="1"/>
    <col min="6650" max="6650" width="14.453125" style="32" customWidth="1"/>
    <col min="6651" max="6651" width="7.26953125" style="32" customWidth="1"/>
    <col min="6652" max="6652" width="5.54296875" style="32" customWidth="1"/>
    <col min="6653" max="6653" width="9" style="32" customWidth="1"/>
    <col min="6654" max="6655" width="9.81640625" style="32" customWidth="1"/>
    <col min="6656" max="6656" width="11.1796875" style="32" customWidth="1"/>
    <col min="6657" max="6657" width="2.81640625" style="32" customWidth="1"/>
    <col min="6658" max="6658" width="3.54296875" style="32" customWidth="1"/>
    <col min="6659" max="6903" width="9.1796875" style="32"/>
    <col min="6904" max="6904" width="8.7265625" style="32" customWidth="1"/>
    <col min="6905" max="6905" width="9.81640625" style="32" customWidth="1"/>
    <col min="6906" max="6906" width="14.453125" style="32" customWidth="1"/>
    <col min="6907" max="6907" width="7.26953125" style="32" customWidth="1"/>
    <col min="6908" max="6908" width="5.54296875" style="32" customWidth="1"/>
    <col min="6909" max="6909" width="9" style="32" customWidth="1"/>
    <col min="6910" max="6911" width="9.81640625" style="32" customWidth="1"/>
    <col min="6912" max="6912" width="11.1796875" style="32" customWidth="1"/>
    <col min="6913" max="6913" width="2.81640625" style="32" customWidth="1"/>
    <col min="6914" max="6914" width="3.54296875" style="32" customWidth="1"/>
    <col min="6915" max="7159" width="9.1796875" style="32"/>
    <col min="7160" max="7160" width="8.7265625" style="32" customWidth="1"/>
    <col min="7161" max="7161" width="9.81640625" style="32" customWidth="1"/>
    <col min="7162" max="7162" width="14.453125" style="32" customWidth="1"/>
    <col min="7163" max="7163" width="7.26953125" style="32" customWidth="1"/>
    <col min="7164" max="7164" width="5.54296875" style="32" customWidth="1"/>
    <col min="7165" max="7165" width="9" style="32" customWidth="1"/>
    <col min="7166" max="7167" width="9.81640625" style="32" customWidth="1"/>
    <col min="7168" max="7168" width="11.1796875" style="32" customWidth="1"/>
    <col min="7169" max="7169" width="2.81640625" style="32" customWidth="1"/>
    <col min="7170" max="7170" width="3.54296875" style="32" customWidth="1"/>
    <col min="7171" max="7415" width="9.1796875" style="32"/>
    <col min="7416" max="7416" width="8.7265625" style="32" customWidth="1"/>
    <col min="7417" max="7417" width="9.81640625" style="32" customWidth="1"/>
    <col min="7418" max="7418" width="14.453125" style="32" customWidth="1"/>
    <col min="7419" max="7419" width="7.26953125" style="32" customWidth="1"/>
    <col min="7420" max="7420" width="5.54296875" style="32" customWidth="1"/>
    <col min="7421" max="7421" width="9" style="32" customWidth="1"/>
    <col min="7422" max="7423" width="9.81640625" style="32" customWidth="1"/>
    <col min="7424" max="7424" width="11.1796875" style="32" customWidth="1"/>
    <col min="7425" max="7425" width="2.81640625" style="32" customWidth="1"/>
    <col min="7426" max="7426" width="3.54296875" style="32" customWidth="1"/>
    <col min="7427" max="7671" width="9.1796875" style="32"/>
    <col min="7672" max="7672" width="8.7265625" style="32" customWidth="1"/>
    <col min="7673" max="7673" width="9.81640625" style="32" customWidth="1"/>
    <col min="7674" max="7674" width="14.453125" style="32" customWidth="1"/>
    <col min="7675" max="7675" width="7.26953125" style="32" customWidth="1"/>
    <col min="7676" max="7676" width="5.54296875" style="32" customWidth="1"/>
    <col min="7677" max="7677" width="9" style="32" customWidth="1"/>
    <col min="7678" max="7679" width="9.81640625" style="32" customWidth="1"/>
    <col min="7680" max="7680" width="11.1796875" style="32" customWidth="1"/>
    <col min="7681" max="7681" width="2.81640625" style="32" customWidth="1"/>
    <col min="7682" max="7682" width="3.54296875" style="32" customWidth="1"/>
    <col min="7683" max="7927" width="9.1796875" style="32"/>
    <col min="7928" max="7928" width="8.7265625" style="32" customWidth="1"/>
    <col min="7929" max="7929" width="9.81640625" style="32" customWidth="1"/>
    <col min="7930" max="7930" width="14.453125" style="32" customWidth="1"/>
    <col min="7931" max="7931" width="7.26953125" style="32" customWidth="1"/>
    <col min="7932" max="7932" width="5.54296875" style="32" customWidth="1"/>
    <col min="7933" max="7933" width="9" style="32" customWidth="1"/>
    <col min="7934" max="7935" width="9.81640625" style="32" customWidth="1"/>
    <col min="7936" max="7936" width="11.1796875" style="32" customWidth="1"/>
    <col min="7937" max="7937" width="2.81640625" style="32" customWidth="1"/>
    <col min="7938" max="7938" width="3.54296875" style="32" customWidth="1"/>
    <col min="7939" max="8183" width="9.1796875" style="32"/>
    <col min="8184" max="8184" width="8.7265625" style="32" customWidth="1"/>
    <col min="8185" max="8185" width="9.81640625" style="32" customWidth="1"/>
    <col min="8186" max="8186" width="14.453125" style="32" customWidth="1"/>
    <col min="8187" max="8187" width="7.26953125" style="32" customWidth="1"/>
    <col min="8188" max="8188" width="5.54296875" style="32" customWidth="1"/>
    <col min="8189" max="8189" width="9" style="32" customWidth="1"/>
    <col min="8190" max="8191" width="9.81640625" style="32" customWidth="1"/>
    <col min="8192" max="8192" width="11.1796875" style="32" customWidth="1"/>
    <col min="8193" max="8193" width="2.81640625" style="32" customWidth="1"/>
    <col min="8194" max="8194" width="3.54296875" style="32" customWidth="1"/>
    <col min="8195" max="8439" width="9.1796875" style="32"/>
    <col min="8440" max="8440" width="8.7265625" style="32" customWidth="1"/>
    <col min="8441" max="8441" width="9.81640625" style="32" customWidth="1"/>
    <col min="8442" max="8442" width="14.453125" style="32" customWidth="1"/>
    <col min="8443" max="8443" width="7.26953125" style="32" customWidth="1"/>
    <col min="8444" max="8444" width="5.54296875" style="32" customWidth="1"/>
    <col min="8445" max="8445" width="9" style="32" customWidth="1"/>
    <col min="8446" max="8447" width="9.81640625" style="32" customWidth="1"/>
    <col min="8448" max="8448" width="11.1796875" style="32" customWidth="1"/>
    <col min="8449" max="8449" width="2.81640625" style="32" customWidth="1"/>
    <col min="8450" max="8450" width="3.54296875" style="32" customWidth="1"/>
    <col min="8451" max="8695" width="9.1796875" style="32"/>
    <col min="8696" max="8696" width="8.7265625" style="32" customWidth="1"/>
    <col min="8697" max="8697" width="9.81640625" style="32" customWidth="1"/>
    <col min="8698" max="8698" width="14.453125" style="32" customWidth="1"/>
    <col min="8699" max="8699" width="7.26953125" style="32" customWidth="1"/>
    <col min="8700" max="8700" width="5.54296875" style="32" customWidth="1"/>
    <col min="8701" max="8701" width="9" style="32" customWidth="1"/>
    <col min="8702" max="8703" width="9.81640625" style="32" customWidth="1"/>
    <col min="8704" max="8704" width="11.1796875" style="32" customWidth="1"/>
    <col min="8705" max="8705" width="2.81640625" style="32" customWidth="1"/>
    <col min="8706" max="8706" width="3.54296875" style="32" customWidth="1"/>
    <col min="8707" max="8951" width="9.1796875" style="32"/>
    <col min="8952" max="8952" width="8.7265625" style="32" customWidth="1"/>
    <col min="8953" max="8953" width="9.81640625" style="32" customWidth="1"/>
    <col min="8954" max="8954" width="14.453125" style="32" customWidth="1"/>
    <col min="8955" max="8955" width="7.26953125" style="32" customWidth="1"/>
    <col min="8956" max="8956" width="5.54296875" style="32" customWidth="1"/>
    <col min="8957" max="8957" width="9" style="32" customWidth="1"/>
    <col min="8958" max="8959" width="9.81640625" style="32" customWidth="1"/>
    <col min="8960" max="8960" width="11.1796875" style="32" customWidth="1"/>
    <col min="8961" max="8961" width="2.81640625" style="32" customWidth="1"/>
    <col min="8962" max="8962" width="3.54296875" style="32" customWidth="1"/>
    <col min="8963" max="9207" width="9.1796875" style="32"/>
    <col min="9208" max="9208" width="8.7265625" style="32" customWidth="1"/>
    <col min="9209" max="9209" width="9.81640625" style="32" customWidth="1"/>
    <col min="9210" max="9210" width="14.453125" style="32" customWidth="1"/>
    <col min="9211" max="9211" width="7.26953125" style="32" customWidth="1"/>
    <col min="9212" max="9212" width="5.54296875" style="32" customWidth="1"/>
    <col min="9213" max="9213" width="9" style="32" customWidth="1"/>
    <col min="9214" max="9215" width="9.81640625" style="32" customWidth="1"/>
    <col min="9216" max="9216" width="11.1796875" style="32" customWidth="1"/>
    <col min="9217" max="9217" width="2.81640625" style="32" customWidth="1"/>
    <col min="9218" max="9218" width="3.54296875" style="32" customWidth="1"/>
    <col min="9219" max="9463" width="9.1796875" style="32"/>
    <col min="9464" max="9464" width="8.7265625" style="32" customWidth="1"/>
    <col min="9465" max="9465" width="9.81640625" style="32" customWidth="1"/>
    <col min="9466" max="9466" width="14.453125" style="32" customWidth="1"/>
    <col min="9467" max="9467" width="7.26953125" style="32" customWidth="1"/>
    <col min="9468" max="9468" width="5.54296875" style="32" customWidth="1"/>
    <col min="9469" max="9469" width="9" style="32" customWidth="1"/>
    <col min="9470" max="9471" width="9.81640625" style="32" customWidth="1"/>
    <col min="9472" max="9472" width="11.1796875" style="32" customWidth="1"/>
    <col min="9473" max="9473" width="2.81640625" style="32" customWidth="1"/>
    <col min="9474" max="9474" width="3.54296875" style="32" customWidth="1"/>
    <col min="9475" max="9719" width="9.1796875" style="32"/>
    <col min="9720" max="9720" width="8.7265625" style="32" customWidth="1"/>
    <col min="9721" max="9721" width="9.81640625" style="32" customWidth="1"/>
    <col min="9722" max="9722" width="14.453125" style="32" customWidth="1"/>
    <col min="9723" max="9723" width="7.26953125" style="32" customWidth="1"/>
    <col min="9724" max="9724" width="5.54296875" style="32" customWidth="1"/>
    <col min="9725" max="9725" width="9" style="32" customWidth="1"/>
    <col min="9726" max="9727" width="9.81640625" style="32" customWidth="1"/>
    <col min="9728" max="9728" width="11.1796875" style="32" customWidth="1"/>
    <col min="9729" max="9729" width="2.81640625" style="32" customWidth="1"/>
    <col min="9730" max="9730" width="3.54296875" style="32" customWidth="1"/>
    <col min="9731" max="9975" width="9.1796875" style="32"/>
    <col min="9976" max="9976" width="8.7265625" style="32" customWidth="1"/>
    <col min="9977" max="9977" width="9.81640625" style="32" customWidth="1"/>
    <col min="9978" max="9978" width="14.453125" style="32" customWidth="1"/>
    <col min="9979" max="9979" width="7.26953125" style="32" customWidth="1"/>
    <col min="9980" max="9980" width="5.54296875" style="32" customWidth="1"/>
    <col min="9981" max="9981" width="9" style="32" customWidth="1"/>
    <col min="9982" max="9983" width="9.81640625" style="32" customWidth="1"/>
    <col min="9984" max="9984" width="11.1796875" style="32" customWidth="1"/>
    <col min="9985" max="9985" width="2.81640625" style="32" customWidth="1"/>
    <col min="9986" max="9986" width="3.54296875" style="32" customWidth="1"/>
    <col min="9987" max="10231" width="9.1796875" style="32"/>
    <col min="10232" max="10232" width="8.7265625" style="32" customWidth="1"/>
    <col min="10233" max="10233" width="9.81640625" style="32" customWidth="1"/>
    <col min="10234" max="10234" width="14.453125" style="32" customWidth="1"/>
    <col min="10235" max="10235" width="7.26953125" style="32" customWidth="1"/>
    <col min="10236" max="10236" width="5.54296875" style="32" customWidth="1"/>
    <col min="10237" max="10237" width="9" style="32" customWidth="1"/>
    <col min="10238" max="10239" width="9.81640625" style="32" customWidth="1"/>
    <col min="10240" max="10240" width="11.1796875" style="32" customWidth="1"/>
    <col min="10241" max="10241" width="2.81640625" style="32" customWidth="1"/>
    <col min="10242" max="10242" width="3.54296875" style="32" customWidth="1"/>
    <col min="10243" max="10487" width="9.1796875" style="32"/>
    <col min="10488" max="10488" width="8.7265625" style="32" customWidth="1"/>
    <col min="10489" max="10489" width="9.81640625" style="32" customWidth="1"/>
    <col min="10490" max="10490" width="14.453125" style="32" customWidth="1"/>
    <col min="10491" max="10491" width="7.26953125" style="32" customWidth="1"/>
    <col min="10492" max="10492" width="5.54296875" style="32" customWidth="1"/>
    <col min="10493" max="10493" width="9" style="32" customWidth="1"/>
    <col min="10494" max="10495" width="9.81640625" style="32" customWidth="1"/>
    <col min="10496" max="10496" width="11.1796875" style="32" customWidth="1"/>
    <col min="10497" max="10497" width="2.81640625" style="32" customWidth="1"/>
    <col min="10498" max="10498" width="3.54296875" style="32" customWidth="1"/>
    <col min="10499" max="10743" width="9.1796875" style="32"/>
    <col min="10744" max="10744" width="8.7265625" style="32" customWidth="1"/>
    <col min="10745" max="10745" width="9.81640625" style="32" customWidth="1"/>
    <col min="10746" max="10746" width="14.453125" style="32" customWidth="1"/>
    <col min="10747" max="10747" width="7.26953125" style="32" customWidth="1"/>
    <col min="10748" max="10748" width="5.54296875" style="32" customWidth="1"/>
    <col min="10749" max="10749" width="9" style="32" customWidth="1"/>
    <col min="10750" max="10751" width="9.81640625" style="32" customWidth="1"/>
    <col min="10752" max="10752" width="11.1796875" style="32" customWidth="1"/>
    <col min="10753" max="10753" width="2.81640625" style="32" customWidth="1"/>
    <col min="10754" max="10754" width="3.54296875" style="32" customWidth="1"/>
    <col min="10755" max="10999" width="9.1796875" style="32"/>
    <col min="11000" max="11000" width="8.7265625" style="32" customWidth="1"/>
    <col min="11001" max="11001" width="9.81640625" style="32" customWidth="1"/>
    <col min="11002" max="11002" width="14.453125" style="32" customWidth="1"/>
    <col min="11003" max="11003" width="7.26953125" style="32" customWidth="1"/>
    <col min="11004" max="11004" width="5.54296875" style="32" customWidth="1"/>
    <col min="11005" max="11005" width="9" style="32" customWidth="1"/>
    <col min="11006" max="11007" width="9.81640625" style="32" customWidth="1"/>
    <col min="11008" max="11008" width="11.1796875" style="32" customWidth="1"/>
    <col min="11009" max="11009" width="2.81640625" style="32" customWidth="1"/>
    <col min="11010" max="11010" width="3.54296875" style="32" customWidth="1"/>
    <col min="11011" max="11255" width="9.1796875" style="32"/>
    <col min="11256" max="11256" width="8.7265625" style="32" customWidth="1"/>
    <col min="11257" max="11257" width="9.81640625" style="32" customWidth="1"/>
    <col min="11258" max="11258" width="14.453125" style="32" customWidth="1"/>
    <col min="11259" max="11259" width="7.26953125" style="32" customWidth="1"/>
    <col min="11260" max="11260" width="5.54296875" style="32" customWidth="1"/>
    <col min="11261" max="11261" width="9" style="32" customWidth="1"/>
    <col min="11262" max="11263" width="9.81640625" style="32" customWidth="1"/>
    <col min="11264" max="11264" width="11.1796875" style="32" customWidth="1"/>
    <col min="11265" max="11265" width="2.81640625" style="32" customWidth="1"/>
    <col min="11266" max="11266" width="3.54296875" style="32" customWidth="1"/>
    <col min="11267" max="11511" width="9.1796875" style="32"/>
    <col min="11512" max="11512" width="8.7265625" style="32" customWidth="1"/>
    <col min="11513" max="11513" width="9.81640625" style="32" customWidth="1"/>
    <col min="11514" max="11514" width="14.453125" style="32" customWidth="1"/>
    <col min="11515" max="11515" width="7.26953125" style="32" customWidth="1"/>
    <col min="11516" max="11516" width="5.54296875" style="32" customWidth="1"/>
    <col min="11517" max="11517" width="9" style="32" customWidth="1"/>
    <col min="11518" max="11519" width="9.81640625" style="32" customWidth="1"/>
    <col min="11520" max="11520" width="11.1796875" style="32" customWidth="1"/>
    <col min="11521" max="11521" width="2.81640625" style="32" customWidth="1"/>
    <col min="11522" max="11522" width="3.54296875" style="32" customWidth="1"/>
    <col min="11523" max="11767" width="9.1796875" style="32"/>
    <col min="11768" max="11768" width="8.7265625" style="32" customWidth="1"/>
    <col min="11769" max="11769" width="9.81640625" style="32" customWidth="1"/>
    <col min="11770" max="11770" width="14.453125" style="32" customWidth="1"/>
    <col min="11771" max="11771" width="7.26953125" style="32" customWidth="1"/>
    <col min="11772" max="11772" width="5.54296875" style="32" customWidth="1"/>
    <col min="11773" max="11773" width="9" style="32" customWidth="1"/>
    <col min="11774" max="11775" width="9.81640625" style="32" customWidth="1"/>
    <col min="11776" max="11776" width="11.1796875" style="32" customWidth="1"/>
    <col min="11777" max="11777" width="2.81640625" style="32" customWidth="1"/>
    <col min="11778" max="11778" width="3.54296875" style="32" customWidth="1"/>
    <col min="11779" max="12023" width="9.1796875" style="32"/>
    <col min="12024" max="12024" width="8.7265625" style="32" customWidth="1"/>
    <col min="12025" max="12025" width="9.81640625" style="32" customWidth="1"/>
    <col min="12026" max="12026" width="14.453125" style="32" customWidth="1"/>
    <col min="12027" max="12027" width="7.26953125" style="32" customWidth="1"/>
    <col min="12028" max="12028" width="5.54296875" style="32" customWidth="1"/>
    <col min="12029" max="12029" width="9" style="32" customWidth="1"/>
    <col min="12030" max="12031" width="9.81640625" style="32" customWidth="1"/>
    <col min="12032" max="12032" width="11.1796875" style="32" customWidth="1"/>
    <col min="12033" max="12033" width="2.81640625" style="32" customWidth="1"/>
    <col min="12034" max="12034" width="3.54296875" style="32" customWidth="1"/>
    <col min="12035" max="12279" width="9.1796875" style="32"/>
    <col min="12280" max="12280" width="8.7265625" style="32" customWidth="1"/>
    <col min="12281" max="12281" width="9.81640625" style="32" customWidth="1"/>
    <col min="12282" max="12282" width="14.453125" style="32" customWidth="1"/>
    <col min="12283" max="12283" width="7.26953125" style="32" customWidth="1"/>
    <col min="12284" max="12284" width="5.54296875" style="32" customWidth="1"/>
    <col min="12285" max="12285" width="9" style="32" customWidth="1"/>
    <col min="12286" max="12287" width="9.81640625" style="32" customWidth="1"/>
    <col min="12288" max="12288" width="11.1796875" style="32" customWidth="1"/>
    <col min="12289" max="12289" width="2.81640625" style="32" customWidth="1"/>
    <col min="12290" max="12290" width="3.54296875" style="32" customWidth="1"/>
    <col min="12291" max="12535" width="9.1796875" style="32"/>
    <col min="12536" max="12536" width="8.7265625" style="32" customWidth="1"/>
    <col min="12537" max="12537" width="9.81640625" style="32" customWidth="1"/>
    <col min="12538" max="12538" width="14.453125" style="32" customWidth="1"/>
    <col min="12539" max="12539" width="7.26953125" style="32" customWidth="1"/>
    <col min="12540" max="12540" width="5.54296875" style="32" customWidth="1"/>
    <col min="12541" max="12541" width="9" style="32" customWidth="1"/>
    <col min="12542" max="12543" width="9.81640625" style="32" customWidth="1"/>
    <col min="12544" max="12544" width="11.1796875" style="32" customWidth="1"/>
    <col min="12545" max="12545" width="2.81640625" style="32" customWidth="1"/>
    <col min="12546" max="12546" width="3.54296875" style="32" customWidth="1"/>
    <col min="12547" max="12791" width="9.1796875" style="32"/>
    <col min="12792" max="12792" width="8.7265625" style="32" customWidth="1"/>
    <col min="12793" max="12793" width="9.81640625" style="32" customWidth="1"/>
    <col min="12794" max="12794" width="14.453125" style="32" customWidth="1"/>
    <col min="12795" max="12795" width="7.26953125" style="32" customWidth="1"/>
    <col min="12796" max="12796" width="5.54296875" style="32" customWidth="1"/>
    <col min="12797" max="12797" width="9" style="32" customWidth="1"/>
    <col min="12798" max="12799" width="9.81640625" style="32" customWidth="1"/>
    <col min="12800" max="12800" width="11.1796875" style="32" customWidth="1"/>
    <col min="12801" max="12801" width="2.81640625" style="32" customWidth="1"/>
    <col min="12802" max="12802" width="3.54296875" style="32" customWidth="1"/>
    <col min="12803" max="13047" width="9.1796875" style="32"/>
    <col min="13048" max="13048" width="8.7265625" style="32" customWidth="1"/>
    <col min="13049" max="13049" width="9.81640625" style="32" customWidth="1"/>
    <col min="13050" max="13050" width="14.453125" style="32" customWidth="1"/>
    <col min="13051" max="13051" width="7.26953125" style="32" customWidth="1"/>
    <col min="13052" max="13052" width="5.54296875" style="32" customWidth="1"/>
    <col min="13053" max="13053" width="9" style="32" customWidth="1"/>
    <col min="13054" max="13055" width="9.81640625" style="32" customWidth="1"/>
    <col min="13056" max="13056" width="11.1796875" style="32" customWidth="1"/>
    <col min="13057" max="13057" width="2.81640625" style="32" customWidth="1"/>
    <col min="13058" max="13058" width="3.54296875" style="32" customWidth="1"/>
    <col min="13059" max="13303" width="9.1796875" style="32"/>
    <col min="13304" max="13304" width="8.7265625" style="32" customWidth="1"/>
    <col min="13305" max="13305" width="9.81640625" style="32" customWidth="1"/>
    <col min="13306" max="13306" width="14.453125" style="32" customWidth="1"/>
    <col min="13307" max="13307" width="7.26953125" style="32" customWidth="1"/>
    <col min="13308" max="13308" width="5.54296875" style="32" customWidth="1"/>
    <col min="13309" max="13309" width="9" style="32" customWidth="1"/>
    <col min="13310" max="13311" width="9.81640625" style="32" customWidth="1"/>
    <col min="13312" max="13312" width="11.1796875" style="32" customWidth="1"/>
    <col min="13313" max="13313" width="2.81640625" style="32" customWidth="1"/>
    <col min="13314" max="13314" width="3.54296875" style="32" customWidth="1"/>
    <col min="13315" max="13559" width="9.1796875" style="32"/>
    <col min="13560" max="13560" width="8.7265625" style="32" customWidth="1"/>
    <col min="13561" max="13561" width="9.81640625" style="32" customWidth="1"/>
    <col min="13562" max="13562" width="14.453125" style="32" customWidth="1"/>
    <col min="13563" max="13563" width="7.26953125" style="32" customWidth="1"/>
    <col min="13564" max="13564" width="5.54296875" style="32" customWidth="1"/>
    <col min="13565" max="13565" width="9" style="32" customWidth="1"/>
    <col min="13566" max="13567" width="9.81640625" style="32" customWidth="1"/>
    <col min="13568" max="13568" width="11.1796875" style="32" customWidth="1"/>
    <col min="13569" max="13569" width="2.81640625" style="32" customWidth="1"/>
    <col min="13570" max="13570" width="3.54296875" style="32" customWidth="1"/>
    <col min="13571" max="13815" width="9.1796875" style="32"/>
    <col min="13816" max="13816" width="8.7265625" style="32" customWidth="1"/>
    <col min="13817" max="13817" width="9.81640625" style="32" customWidth="1"/>
    <col min="13818" max="13818" width="14.453125" style="32" customWidth="1"/>
    <col min="13819" max="13819" width="7.26953125" style="32" customWidth="1"/>
    <col min="13820" max="13820" width="5.54296875" style="32" customWidth="1"/>
    <col min="13821" max="13821" width="9" style="32" customWidth="1"/>
    <col min="13822" max="13823" width="9.81640625" style="32" customWidth="1"/>
    <col min="13824" max="13824" width="11.1796875" style="32" customWidth="1"/>
    <col min="13825" max="13825" width="2.81640625" style="32" customWidth="1"/>
    <col min="13826" max="13826" width="3.54296875" style="32" customWidth="1"/>
    <col min="13827" max="14071" width="9.1796875" style="32"/>
    <col min="14072" max="14072" width="8.7265625" style="32" customWidth="1"/>
    <col min="14073" max="14073" width="9.81640625" style="32" customWidth="1"/>
    <col min="14074" max="14074" width="14.453125" style="32" customWidth="1"/>
    <col min="14075" max="14075" width="7.26953125" style="32" customWidth="1"/>
    <col min="14076" max="14076" width="5.54296875" style="32" customWidth="1"/>
    <col min="14077" max="14077" width="9" style="32" customWidth="1"/>
    <col min="14078" max="14079" width="9.81640625" style="32" customWidth="1"/>
    <col min="14080" max="14080" width="11.1796875" style="32" customWidth="1"/>
    <col min="14081" max="14081" width="2.81640625" style="32" customWidth="1"/>
    <col min="14082" max="14082" width="3.54296875" style="32" customWidth="1"/>
    <col min="14083" max="14327" width="9.1796875" style="32"/>
    <col min="14328" max="14328" width="8.7265625" style="32" customWidth="1"/>
    <col min="14329" max="14329" width="9.81640625" style="32" customWidth="1"/>
    <col min="14330" max="14330" width="14.453125" style="32" customWidth="1"/>
    <col min="14331" max="14331" width="7.26953125" style="32" customWidth="1"/>
    <col min="14332" max="14332" width="5.54296875" style="32" customWidth="1"/>
    <col min="14333" max="14333" width="9" style="32" customWidth="1"/>
    <col min="14334" max="14335" width="9.81640625" style="32" customWidth="1"/>
    <col min="14336" max="14336" width="11.1796875" style="32" customWidth="1"/>
    <col min="14337" max="14337" width="2.81640625" style="32" customWidth="1"/>
    <col min="14338" max="14338" width="3.54296875" style="32" customWidth="1"/>
    <col min="14339" max="14583" width="9.1796875" style="32"/>
    <col min="14584" max="14584" width="8.7265625" style="32" customWidth="1"/>
    <col min="14585" max="14585" width="9.81640625" style="32" customWidth="1"/>
    <col min="14586" max="14586" width="14.453125" style="32" customWidth="1"/>
    <col min="14587" max="14587" width="7.26953125" style="32" customWidth="1"/>
    <col min="14588" max="14588" width="5.54296875" style="32" customWidth="1"/>
    <col min="14589" max="14589" width="9" style="32" customWidth="1"/>
    <col min="14590" max="14591" width="9.81640625" style="32" customWidth="1"/>
    <col min="14592" max="14592" width="11.1796875" style="32" customWidth="1"/>
    <col min="14593" max="14593" width="2.81640625" style="32" customWidth="1"/>
    <col min="14594" max="14594" width="3.54296875" style="32" customWidth="1"/>
    <col min="14595" max="14839" width="9.1796875" style="32"/>
    <col min="14840" max="14840" width="8.7265625" style="32" customWidth="1"/>
    <col min="14841" max="14841" width="9.81640625" style="32" customWidth="1"/>
    <col min="14842" max="14842" width="14.453125" style="32" customWidth="1"/>
    <col min="14843" max="14843" width="7.26953125" style="32" customWidth="1"/>
    <col min="14844" max="14844" width="5.54296875" style="32" customWidth="1"/>
    <col min="14845" max="14845" width="9" style="32" customWidth="1"/>
    <col min="14846" max="14847" width="9.81640625" style="32" customWidth="1"/>
    <col min="14848" max="14848" width="11.1796875" style="32" customWidth="1"/>
    <col min="14849" max="14849" width="2.81640625" style="32" customWidth="1"/>
    <col min="14850" max="14850" width="3.54296875" style="32" customWidth="1"/>
    <col min="14851" max="15095" width="9.1796875" style="32"/>
    <col min="15096" max="15096" width="8.7265625" style="32" customWidth="1"/>
    <col min="15097" max="15097" width="9.81640625" style="32" customWidth="1"/>
    <col min="15098" max="15098" width="14.453125" style="32" customWidth="1"/>
    <col min="15099" max="15099" width="7.26953125" style="32" customWidth="1"/>
    <col min="15100" max="15100" width="5.54296875" style="32" customWidth="1"/>
    <col min="15101" max="15101" width="9" style="32" customWidth="1"/>
    <col min="15102" max="15103" width="9.81640625" style="32" customWidth="1"/>
    <col min="15104" max="15104" width="11.1796875" style="32" customWidth="1"/>
    <col min="15105" max="15105" width="2.81640625" style="32" customWidth="1"/>
    <col min="15106" max="15106" width="3.54296875" style="32" customWidth="1"/>
    <col min="15107" max="15351" width="9.1796875" style="32"/>
    <col min="15352" max="15352" width="8.7265625" style="32" customWidth="1"/>
    <col min="15353" max="15353" width="9.81640625" style="32" customWidth="1"/>
    <col min="15354" max="15354" width="14.453125" style="32" customWidth="1"/>
    <col min="15355" max="15355" width="7.26953125" style="32" customWidth="1"/>
    <col min="15356" max="15356" width="5.54296875" style="32" customWidth="1"/>
    <col min="15357" max="15357" width="9" style="32" customWidth="1"/>
    <col min="15358" max="15359" width="9.81640625" style="32" customWidth="1"/>
    <col min="15360" max="15360" width="11.1796875" style="32" customWidth="1"/>
    <col min="15361" max="15361" width="2.81640625" style="32" customWidth="1"/>
    <col min="15362" max="15362" width="3.54296875" style="32" customWidth="1"/>
    <col min="15363" max="15607" width="9.1796875" style="32"/>
    <col min="15608" max="15608" width="8.7265625" style="32" customWidth="1"/>
    <col min="15609" max="15609" width="9.81640625" style="32" customWidth="1"/>
    <col min="15610" max="15610" width="14.453125" style="32" customWidth="1"/>
    <col min="15611" max="15611" width="7.26953125" style="32" customWidth="1"/>
    <col min="15612" max="15612" width="5.54296875" style="32" customWidth="1"/>
    <col min="15613" max="15613" width="9" style="32" customWidth="1"/>
    <col min="15614" max="15615" width="9.81640625" style="32" customWidth="1"/>
    <col min="15616" max="15616" width="11.1796875" style="32" customWidth="1"/>
    <col min="15617" max="15617" width="2.81640625" style="32" customWidth="1"/>
    <col min="15618" max="15618" width="3.54296875" style="32" customWidth="1"/>
    <col min="15619" max="15863" width="9.1796875" style="32"/>
    <col min="15864" max="15864" width="8.7265625" style="32" customWidth="1"/>
    <col min="15865" max="15865" width="9.81640625" style="32" customWidth="1"/>
    <col min="15866" max="15866" width="14.453125" style="32" customWidth="1"/>
    <col min="15867" max="15867" width="7.26953125" style="32" customWidth="1"/>
    <col min="15868" max="15868" width="5.54296875" style="32" customWidth="1"/>
    <col min="15869" max="15869" width="9" style="32" customWidth="1"/>
    <col min="15870" max="15871" width="9.81640625" style="32" customWidth="1"/>
    <col min="15872" max="15872" width="11.1796875" style="32" customWidth="1"/>
    <col min="15873" max="15873" width="2.81640625" style="32" customWidth="1"/>
    <col min="15874" max="15874" width="3.54296875" style="32" customWidth="1"/>
    <col min="15875" max="16119" width="9.1796875" style="32"/>
    <col min="16120" max="16120" width="8.7265625" style="32" customWidth="1"/>
    <col min="16121" max="16121" width="9.81640625" style="32" customWidth="1"/>
    <col min="16122" max="16122" width="14.453125" style="32" customWidth="1"/>
    <col min="16123" max="16123" width="7.26953125" style="32" customWidth="1"/>
    <col min="16124" max="16124" width="5.54296875" style="32" customWidth="1"/>
    <col min="16125" max="16125" width="9" style="32" customWidth="1"/>
    <col min="16126" max="16127" width="9.81640625" style="32" customWidth="1"/>
    <col min="16128" max="16128" width="11.1796875" style="32" customWidth="1"/>
    <col min="16129" max="16129" width="2.81640625" style="32" customWidth="1"/>
    <col min="16130" max="16130" width="3.54296875" style="32" customWidth="1"/>
    <col min="16131" max="16384" width="9.1796875" style="32"/>
  </cols>
  <sheetData>
    <row r="1" spans="1:8" ht="46.5" customHeight="1" x14ac:dyDescent="0.35">
      <c r="A1" s="148" t="s">
        <v>266</v>
      </c>
      <c r="B1" s="148"/>
      <c r="C1" s="148"/>
      <c r="D1" s="148"/>
      <c r="E1" s="148"/>
      <c r="F1" s="148"/>
      <c r="G1" s="148"/>
      <c r="H1" s="148"/>
    </row>
    <row r="2" spans="1:8" ht="16.5" customHeight="1" x14ac:dyDescent="0.35">
      <c r="A2" s="66" t="s">
        <v>0</v>
      </c>
      <c r="B2" s="66"/>
      <c r="C2" s="66"/>
      <c r="D2" s="66"/>
      <c r="E2" s="66"/>
      <c r="F2" s="66"/>
      <c r="G2" s="66"/>
      <c r="H2" s="66"/>
    </row>
    <row r="3" spans="1:8" x14ac:dyDescent="0.35">
      <c r="A3" s="96" t="s">
        <v>1</v>
      </c>
      <c r="B3" s="96"/>
      <c r="C3" s="96"/>
      <c r="D3" s="96"/>
      <c r="E3" s="149" t="str">
        <f ca="1">TEXT(TODAY(),"DD/MM/YYYY")</f>
        <v>02/08/2025</v>
      </c>
      <c r="F3" s="149"/>
      <c r="G3" s="149"/>
      <c r="H3" s="149"/>
    </row>
    <row r="4" spans="1:8" ht="15" customHeight="1" x14ac:dyDescent="0.35">
      <c r="A4" s="96" t="s">
        <v>2</v>
      </c>
      <c r="B4" s="96"/>
      <c r="C4" s="96"/>
      <c r="D4" s="96"/>
      <c r="E4" s="150" t="s">
        <v>186</v>
      </c>
      <c r="F4" s="150"/>
      <c r="G4" s="150"/>
      <c r="H4" s="150"/>
    </row>
    <row r="5" spans="1:8" x14ac:dyDescent="0.35">
      <c r="A5" s="96" t="s">
        <v>3</v>
      </c>
      <c r="B5" s="96"/>
      <c r="C5" s="96"/>
      <c r="D5" s="96"/>
      <c r="E5" s="149">
        <v>45871</v>
      </c>
      <c r="F5" s="149"/>
      <c r="G5" s="149"/>
      <c r="H5" s="149"/>
    </row>
    <row r="6" spans="1:8" x14ac:dyDescent="0.35">
      <c r="A6" s="96" t="s">
        <v>4</v>
      </c>
      <c r="B6" s="96"/>
      <c r="C6" s="96"/>
      <c r="D6" s="96"/>
      <c r="E6" s="89" t="s">
        <v>187</v>
      </c>
      <c r="F6" s="89"/>
      <c r="G6" s="89"/>
      <c r="H6" s="89"/>
    </row>
    <row r="7" spans="1:8" x14ac:dyDescent="0.35">
      <c r="A7" s="96" t="s">
        <v>5</v>
      </c>
      <c r="B7" s="96"/>
      <c r="C7" s="96"/>
      <c r="D7" s="96"/>
      <c r="E7" s="89" t="str">
        <f>E6</f>
        <v>M/s.Patil Developers</v>
      </c>
      <c r="F7" s="89"/>
      <c r="G7" s="89"/>
      <c r="H7" s="89"/>
    </row>
    <row r="8" spans="1:8" x14ac:dyDescent="0.35">
      <c r="A8" s="96" t="s">
        <v>6</v>
      </c>
      <c r="B8" s="96"/>
      <c r="C8" s="96"/>
      <c r="D8" s="96"/>
      <c r="E8" s="129" t="s">
        <v>188</v>
      </c>
      <c r="F8" s="129"/>
      <c r="G8" s="129"/>
      <c r="H8" s="129"/>
    </row>
    <row r="9" spans="1:8" x14ac:dyDescent="0.35">
      <c r="A9" s="96" t="s">
        <v>159</v>
      </c>
      <c r="B9" s="96"/>
      <c r="C9" s="96"/>
      <c r="D9" s="96"/>
      <c r="E9" s="96">
        <v>7715057218</v>
      </c>
      <c r="F9" s="96"/>
      <c r="G9" s="96"/>
      <c r="H9" s="96"/>
    </row>
    <row r="10" spans="1:8" x14ac:dyDescent="0.35">
      <c r="A10" s="87" t="s">
        <v>7</v>
      </c>
      <c r="B10" s="87"/>
      <c r="C10" s="87"/>
      <c r="D10" s="87"/>
      <c r="E10" s="87" t="s">
        <v>214</v>
      </c>
      <c r="F10" s="87"/>
      <c r="G10" s="87"/>
      <c r="H10" s="87"/>
    </row>
    <row r="11" spans="1:8" x14ac:dyDescent="0.35">
      <c r="A11" s="96" t="s">
        <v>196</v>
      </c>
      <c r="B11" s="96"/>
      <c r="C11" s="96"/>
      <c r="D11" s="96"/>
      <c r="E11" s="90" t="s">
        <v>204</v>
      </c>
      <c r="F11" s="90"/>
      <c r="G11" s="90"/>
      <c r="H11" s="90"/>
    </row>
    <row r="12" spans="1:8" x14ac:dyDescent="0.35">
      <c r="A12" s="96" t="s">
        <v>8</v>
      </c>
      <c r="B12" s="96"/>
      <c r="C12" s="96"/>
      <c r="D12" s="96"/>
      <c r="E12" s="90" t="s">
        <v>189</v>
      </c>
      <c r="F12" s="87"/>
      <c r="G12" s="87"/>
      <c r="H12" s="87"/>
    </row>
    <row r="13" spans="1:8" ht="32.25" customHeight="1" x14ac:dyDescent="0.35">
      <c r="A13" s="89" t="s">
        <v>9</v>
      </c>
      <c r="B13" s="89"/>
      <c r="C13" s="8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Divine Heights, Survey No.167/2A/1,167/2A/2 &amp; 167/3, Plot - A, near Ovi Hospital, Diva Shil Road, Dawale, Thane, Thane, Thane.</v>
      </c>
      <c r="D13" s="89"/>
      <c r="E13" s="89"/>
      <c r="F13" s="89"/>
      <c r="G13" s="89"/>
      <c r="H13" s="89"/>
    </row>
    <row r="14" spans="1:8" x14ac:dyDescent="0.35">
      <c r="A14" s="90" t="s">
        <v>206</v>
      </c>
      <c r="B14" s="90"/>
      <c r="C14" s="90" t="s">
        <v>207</v>
      </c>
      <c r="D14" s="90"/>
      <c r="E14" s="90"/>
      <c r="F14" s="90"/>
      <c r="G14" s="90"/>
      <c r="H14" s="90"/>
    </row>
    <row r="15" spans="1:8" ht="15.75" customHeight="1" x14ac:dyDescent="0.35">
      <c r="A15" s="89" t="s">
        <v>10</v>
      </c>
      <c r="B15" s="89"/>
      <c r="C15" s="87" t="s">
        <v>192</v>
      </c>
      <c r="D15" s="87"/>
      <c r="E15" s="89" t="s">
        <v>101</v>
      </c>
      <c r="F15" s="89"/>
      <c r="G15" s="90" t="s">
        <v>190</v>
      </c>
      <c r="H15" s="90"/>
    </row>
    <row r="16" spans="1:8" x14ac:dyDescent="0.35">
      <c r="A16" s="96" t="s">
        <v>12</v>
      </c>
      <c r="B16" s="96"/>
      <c r="C16" s="90" t="s">
        <v>191</v>
      </c>
      <c r="D16" s="90"/>
      <c r="E16" s="89" t="s">
        <v>11</v>
      </c>
      <c r="F16" s="89"/>
      <c r="G16" s="151" t="s">
        <v>191</v>
      </c>
      <c r="H16" s="151"/>
    </row>
    <row r="17" spans="1:8" x14ac:dyDescent="0.35">
      <c r="A17" s="96" t="s">
        <v>102</v>
      </c>
      <c r="B17" s="96"/>
      <c r="C17" s="90" t="s">
        <v>191</v>
      </c>
      <c r="D17" s="90"/>
      <c r="E17" s="89" t="s">
        <v>13</v>
      </c>
      <c r="F17" s="89"/>
      <c r="G17" s="90">
        <v>400612</v>
      </c>
      <c r="H17" s="90"/>
    </row>
    <row r="18" spans="1:8" ht="32.25" customHeight="1" x14ac:dyDescent="0.35">
      <c r="A18" s="96" t="s">
        <v>161</v>
      </c>
      <c r="B18" s="96"/>
      <c r="C18" s="89" t="s">
        <v>193</v>
      </c>
      <c r="D18" s="89"/>
      <c r="E18" s="89" t="s">
        <v>14</v>
      </c>
      <c r="F18" s="89"/>
      <c r="G18" s="90" t="s">
        <v>205</v>
      </c>
      <c r="H18" s="90"/>
    </row>
    <row r="19" spans="1:8" ht="15" customHeight="1" x14ac:dyDescent="0.35">
      <c r="A19" s="89" t="s">
        <v>107</v>
      </c>
      <c r="B19" s="89"/>
      <c r="C19" s="89"/>
      <c r="D19" s="89"/>
      <c r="E19" s="87" t="s">
        <v>15</v>
      </c>
      <c r="F19" s="87"/>
      <c r="G19" s="87"/>
      <c r="H19" s="87"/>
    </row>
    <row r="20" spans="1:8" ht="18.75" customHeight="1" x14ac:dyDescent="0.35">
      <c r="A20" s="89"/>
      <c r="B20" s="89"/>
      <c r="C20" s="89"/>
      <c r="D20" s="89"/>
      <c r="E20" s="87"/>
      <c r="F20" s="87"/>
      <c r="G20" s="87"/>
      <c r="H20" s="87"/>
    </row>
    <row r="21" spans="1:8" ht="15" customHeight="1" x14ac:dyDescent="0.35">
      <c r="A21" s="89" t="s">
        <v>16</v>
      </c>
      <c r="B21" s="89"/>
      <c r="C21" s="89"/>
      <c r="D21" s="89"/>
      <c r="E21" s="90" t="s">
        <v>17</v>
      </c>
      <c r="F21" s="90"/>
      <c r="G21" s="90"/>
      <c r="H21" s="90"/>
    </row>
    <row r="22" spans="1:8" ht="15" customHeight="1" x14ac:dyDescent="0.35">
      <c r="A22" s="96" t="s">
        <v>18</v>
      </c>
      <c r="B22" s="96"/>
      <c r="C22" s="96"/>
      <c r="D22" s="96"/>
      <c r="E22" s="90" t="str">
        <f>IF(AND(G16="Mumbai"),"Upper Class","Middle Class")</f>
        <v>Middle Class</v>
      </c>
      <c r="F22" s="90"/>
      <c r="G22" s="90"/>
      <c r="H22" s="90"/>
    </row>
    <row r="23" spans="1:8" x14ac:dyDescent="0.35">
      <c r="A23" s="96" t="s">
        <v>19</v>
      </c>
      <c r="B23" s="96"/>
      <c r="C23" s="96"/>
      <c r="D23" s="96"/>
      <c r="E23" s="90" t="s">
        <v>20</v>
      </c>
      <c r="F23" s="90"/>
      <c r="G23" s="90"/>
      <c r="H23" s="90"/>
    </row>
    <row r="24" spans="1:8" ht="15.75" customHeight="1" x14ac:dyDescent="0.35">
      <c r="A24" s="96" t="s">
        <v>21</v>
      </c>
      <c r="B24" s="96"/>
      <c r="C24" s="96"/>
      <c r="D24" s="96"/>
      <c r="E24" s="90" t="str">
        <f>IF(AND(G16="Mumbai"),"Developed","Developing")</f>
        <v>Developing</v>
      </c>
      <c r="F24" s="90"/>
      <c r="G24" s="90"/>
      <c r="H24" s="90"/>
    </row>
    <row r="25" spans="1:8" x14ac:dyDescent="0.35">
      <c r="A25" s="96" t="s">
        <v>22</v>
      </c>
      <c r="B25" s="96"/>
      <c r="C25" s="96"/>
      <c r="D25" s="96"/>
      <c r="E25" s="90" t="s">
        <v>23</v>
      </c>
      <c r="F25" s="90"/>
      <c r="G25" s="90"/>
      <c r="H25" s="90"/>
    </row>
    <row r="26" spans="1:8" x14ac:dyDescent="0.35">
      <c r="A26" s="96" t="s">
        <v>115</v>
      </c>
      <c r="B26" s="96"/>
      <c r="C26" s="96"/>
      <c r="D26" s="96"/>
      <c r="E26" s="90" t="s">
        <v>116</v>
      </c>
      <c r="F26" s="90"/>
      <c r="G26" s="90"/>
      <c r="H26" s="90"/>
    </row>
    <row r="27" spans="1:8" ht="15" customHeight="1" x14ac:dyDescent="0.35">
      <c r="A27" s="89" t="s">
        <v>32</v>
      </c>
      <c r="B27" s="89"/>
      <c r="C27" s="89"/>
      <c r="D27" s="89"/>
      <c r="E27" s="150" t="s">
        <v>111</v>
      </c>
      <c r="F27" s="150"/>
      <c r="G27" s="150"/>
      <c r="H27" s="150"/>
    </row>
    <row r="28" spans="1:8" x14ac:dyDescent="0.35">
      <c r="A28" s="89" t="s">
        <v>127</v>
      </c>
      <c r="B28" s="89"/>
      <c r="C28" s="89"/>
      <c r="D28" s="89"/>
      <c r="E28" s="89" t="s">
        <v>33</v>
      </c>
      <c r="F28" s="89"/>
      <c r="G28" s="89"/>
      <c r="H28" s="89"/>
    </row>
    <row r="29" spans="1:8" s="45" customFormat="1" x14ac:dyDescent="0.35">
      <c r="A29" s="155" t="s">
        <v>128</v>
      </c>
      <c r="B29" s="155"/>
      <c r="C29" s="154" t="s">
        <v>28</v>
      </c>
      <c r="D29" s="154"/>
      <c r="E29" s="154"/>
      <c r="F29" s="154" t="s">
        <v>30</v>
      </c>
      <c r="G29" s="154"/>
      <c r="H29" s="154"/>
    </row>
    <row r="30" spans="1:8" s="45" customFormat="1" x14ac:dyDescent="0.35">
      <c r="A30" s="153" t="s">
        <v>24</v>
      </c>
      <c r="B30" s="153" t="s">
        <v>29</v>
      </c>
      <c r="C30" s="152" t="s">
        <v>29</v>
      </c>
      <c r="D30" s="152"/>
      <c r="E30" s="152"/>
      <c r="F30" s="152" t="s">
        <v>194</v>
      </c>
      <c r="G30" s="152"/>
      <c r="H30" s="152"/>
    </row>
    <row r="31" spans="1:8" x14ac:dyDescent="0.35">
      <c r="A31" s="153" t="s">
        <v>25</v>
      </c>
      <c r="B31" s="153" t="s">
        <v>29</v>
      </c>
      <c r="C31" s="152" t="s">
        <v>29</v>
      </c>
      <c r="D31" s="152"/>
      <c r="E31" s="152"/>
      <c r="F31" s="152" t="s">
        <v>194</v>
      </c>
      <c r="G31" s="152"/>
      <c r="H31" s="152"/>
    </row>
    <row r="32" spans="1:8" s="45" customFormat="1" x14ac:dyDescent="0.35">
      <c r="A32" s="153" t="s">
        <v>27</v>
      </c>
      <c r="B32" s="153" t="s">
        <v>29</v>
      </c>
      <c r="C32" s="152" t="s">
        <v>29</v>
      </c>
      <c r="D32" s="152"/>
      <c r="E32" s="152"/>
      <c r="F32" s="152" t="s">
        <v>195</v>
      </c>
      <c r="G32" s="152"/>
      <c r="H32" s="152"/>
    </row>
    <row r="33" spans="1:8" x14ac:dyDescent="0.35">
      <c r="A33" s="153" t="s">
        <v>26</v>
      </c>
      <c r="B33" s="153" t="s">
        <v>29</v>
      </c>
      <c r="C33" s="152" t="s">
        <v>29</v>
      </c>
      <c r="D33" s="152"/>
      <c r="E33" s="152"/>
      <c r="F33" s="152" t="s">
        <v>193</v>
      </c>
      <c r="G33" s="152"/>
      <c r="H33" s="152"/>
    </row>
    <row r="34" spans="1:8" x14ac:dyDescent="0.35">
      <c r="A34" s="96" t="s">
        <v>31</v>
      </c>
      <c r="B34" s="96"/>
      <c r="C34" s="96"/>
      <c r="D34" s="96"/>
      <c r="E34" s="96"/>
      <c r="F34" s="96"/>
      <c r="G34" s="96"/>
      <c r="H34" s="96"/>
    </row>
    <row r="35" spans="1:8" ht="15.75" customHeight="1" x14ac:dyDescent="0.35">
      <c r="A35" s="66" t="s">
        <v>251</v>
      </c>
      <c r="B35" s="66"/>
      <c r="C35" s="156" t="s">
        <v>267</v>
      </c>
      <c r="D35" s="68"/>
      <c r="E35" s="68"/>
      <c r="F35" s="68"/>
      <c r="G35" s="68"/>
      <c r="H35" s="69"/>
    </row>
    <row r="36" spans="1:8" ht="15.75" customHeight="1" x14ac:dyDescent="0.35">
      <c r="A36" s="66" t="s">
        <v>252</v>
      </c>
      <c r="B36" s="66"/>
      <c r="C36" s="67" t="s">
        <v>253</v>
      </c>
      <c r="D36" s="68"/>
      <c r="E36" s="68"/>
      <c r="F36" s="68"/>
      <c r="G36" s="68"/>
      <c r="H36" s="69"/>
    </row>
    <row r="37" spans="1:8" x14ac:dyDescent="0.35">
      <c r="A37" s="129" t="s">
        <v>34</v>
      </c>
      <c r="B37" s="129"/>
      <c r="C37" s="129"/>
      <c r="D37" s="129"/>
      <c r="E37" s="129"/>
      <c r="F37" s="129"/>
      <c r="G37" s="129"/>
      <c r="H37" s="129"/>
    </row>
    <row r="38" spans="1:8" x14ac:dyDescent="0.35">
      <c r="A38" s="96" t="s">
        <v>35</v>
      </c>
      <c r="B38" s="96"/>
      <c r="C38" s="96"/>
      <c r="D38" s="96"/>
      <c r="E38" s="157">
        <v>6363.05</v>
      </c>
      <c r="F38" s="157"/>
      <c r="G38" s="157"/>
      <c r="H38" s="157"/>
    </row>
    <row r="39" spans="1:8" x14ac:dyDescent="0.35">
      <c r="A39" s="96" t="s">
        <v>36</v>
      </c>
      <c r="B39" s="96"/>
      <c r="C39" s="96"/>
      <c r="D39" s="96"/>
      <c r="E39" s="95">
        <v>1</v>
      </c>
      <c r="F39" s="95"/>
      <c r="G39" s="95"/>
      <c r="H39" s="95"/>
    </row>
    <row r="40" spans="1:8" x14ac:dyDescent="0.35">
      <c r="A40" s="96" t="s">
        <v>37</v>
      </c>
      <c r="B40" s="96"/>
      <c r="C40" s="96"/>
      <c r="D40" s="96"/>
      <c r="E40" s="95">
        <f>E42/E38-E39</f>
        <v>2.2511908597292183</v>
      </c>
      <c r="F40" s="95"/>
      <c r="G40" s="95"/>
      <c r="H40" s="95"/>
    </row>
    <row r="41" spans="1:8" x14ac:dyDescent="0.35">
      <c r="A41" s="96" t="s">
        <v>38</v>
      </c>
      <c r="B41" s="96"/>
      <c r="C41" s="96"/>
      <c r="D41" s="96"/>
      <c r="E41" s="95">
        <f>E39+E40</f>
        <v>3.2511908597292183</v>
      </c>
      <c r="F41" s="95"/>
      <c r="G41" s="95"/>
      <c r="H41" s="95"/>
    </row>
    <row r="42" spans="1:8" x14ac:dyDescent="0.35">
      <c r="A42" s="96" t="s">
        <v>126</v>
      </c>
      <c r="B42" s="96"/>
      <c r="C42" s="96"/>
      <c r="D42" s="96"/>
      <c r="E42" s="159">
        <v>20687.490000000002</v>
      </c>
      <c r="F42" s="159"/>
      <c r="G42" s="159"/>
      <c r="H42" s="159"/>
    </row>
    <row r="43" spans="1:8" x14ac:dyDescent="0.35">
      <c r="A43" s="87" t="s">
        <v>39</v>
      </c>
      <c r="B43" s="87"/>
      <c r="C43" s="87"/>
      <c r="D43" s="87"/>
      <c r="E43" s="87" t="s">
        <v>160</v>
      </c>
      <c r="F43" s="87"/>
      <c r="G43" s="87"/>
      <c r="H43" s="87"/>
    </row>
    <row r="44" spans="1:8" x14ac:dyDescent="0.35">
      <c r="A44" s="129" t="s">
        <v>40</v>
      </c>
      <c r="B44" s="129"/>
      <c r="C44" s="129"/>
      <c r="D44" s="129"/>
      <c r="E44" s="129"/>
      <c r="F44" s="129"/>
      <c r="G44" s="129"/>
      <c r="H44" s="129"/>
    </row>
    <row r="45" spans="1:8" ht="15.75" customHeight="1" x14ac:dyDescent="0.35">
      <c r="A45" s="90" t="s">
        <v>41</v>
      </c>
      <c r="B45" s="90"/>
      <c r="C45" s="90" t="s">
        <v>262</v>
      </c>
      <c r="D45" s="90"/>
      <c r="E45" s="90"/>
      <c r="F45" s="62" t="s">
        <v>42</v>
      </c>
      <c r="G45" s="97">
        <v>45028</v>
      </c>
      <c r="H45" s="97"/>
    </row>
    <row r="46" spans="1:8" ht="17.25" customHeight="1" x14ac:dyDescent="0.35">
      <c r="A46" s="87" t="s">
        <v>43</v>
      </c>
      <c r="B46" s="87"/>
      <c r="C46" s="90" t="str">
        <f>C45</f>
        <v>S11/0051/12/TMC/TDD/4368/23</v>
      </c>
      <c r="D46" s="90"/>
      <c r="E46" s="90"/>
      <c r="F46" s="27" t="s">
        <v>42</v>
      </c>
      <c r="G46" s="97">
        <f>G45</f>
        <v>45028</v>
      </c>
      <c r="H46" s="97"/>
    </row>
    <row r="47" spans="1:8" s="47" customFormat="1" x14ac:dyDescent="0.35">
      <c r="A47" s="90" t="s">
        <v>44</v>
      </c>
      <c r="B47" s="90"/>
      <c r="C47" s="90" t="s">
        <v>262</v>
      </c>
      <c r="D47" s="87"/>
      <c r="E47" s="87"/>
      <c r="F47" s="46" t="s">
        <v>42</v>
      </c>
      <c r="G47" s="97">
        <f>G45</f>
        <v>45028</v>
      </c>
      <c r="H47" s="97"/>
    </row>
    <row r="48" spans="1:8" s="47" customFormat="1" ht="15.75" customHeight="1" x14ac:dyDescent="0.35">
      <c r="A48" s="90"/>
      <c r="B48" s="90"/>
      <c r="C48" s="92" t="s">
        <v>254</v>
      </c>
      <c r="D48" s="93"/>
      <c r="E48" s="93"/>
      <c r="F48" s="93"/>
      <c r="G48" s="93"/>
      <c r="H48" s="94"/>
    </row>
    <row r="49" spans="1:14" ht="47" customHeight="1" x14ac:dyDescent="0.35">
      <c r="A49" s="161" t="s">
        <v>45</v>
      </c>
      <c r="B49" s="161"/>
      <c r="C49" s="77" t="s">
        <v>273</v>
      </c>
      <c r="D49" s="76"/>
      <c r="E49" s="76" t="s">
        <v>46</v>
      </c>
      <c r="F49" s="26" t="s">
        <v>42</v>
      </c>
      <c r="G49" s="91">
        <v>45474</v>
      </c>
      <c r="H49" s="91"/>
    </row>
    <row r="50" spans="1:14" x14ac:dyDescent="0.35">
      <c r="A50" s="88" t="s">
        <v>48</v>
      </c>
      <c r="B50" s="88"/>
      <c r="C50" s="88"/>
      <c r="D50" s="88"/>
      <c r="E50" s="88"/>
      <c r="F50" s="88"/>
      <c r="G50" s="88"/>
      <c r="H50" s="88"/>
    </row>
    <row r="51" spans="1:14" x14ac:dyDescent="0.35">
      <c r="A51" s="89" t="s">
        <v>125</v>
      </c>
      <c r="B51" s="89"/>
      <c r="C51" s="89"/>
      <c r="D51" s="96">
        <f>E42</f>
        <v>20687.490000000002</v>
      </c>
      <c r="E51" s="96"/>
      <c r="F51" s="96"/>
      <c r="G51" s="96"/>
      <c r="H51" s="96"/>
    </row>
    <row r="52" spans="1:14" x14ac:dyDescent="0.35">
      <c r="A52" s="90" t="s">
        <v>49</v>
      </c>
      <c r="B52" s="87"/>
      <c r="C52" s="87"/>
      <c r="D52" s="87" t="s">
        <v>261</v>
      </c>
      <c r="E52" s="87"/>
      <c r="F52" s="87"/>
      <c r="G52" s="87"/>
      <c r="H52" s="87"/>
      <c r="I52" s="48"/>
    </row>
    <row r="53" spans="1:14" ht="15.75" customHeight="1" x14ac:dyDescent="0.35">
      <c r="A53" s="82" t="s">
        <v>50</v>
      </c>
      <c r="B53" s="83"/>
      <c r="C53" s="160"/>
      <c r="D53" s="125" t="s">
        <v>255</v>
      </c>
      <c r="E53" s="125"/>
      <c r="F53" s="125"/>
      <c r="G53" s="125"/>
      <c r="H53" s="125"/>
    </row>
    <row r="54" spans="1:14" ht="15.75" customHeight="1" x14ac:dyDescent="0.35">
      <c r="A54" s="82" t="s">
        <v>123</v>
      </c>
      <c r="B54" s="83"/>
      <c r="C54" s="83"/>
      <c r="D54" s="84" t="s">
        <v>255</v>
      </c>
      <c r="E54" s="85"/>
      <c r="F54" s="85"/>
      <c r="G54" s="85"/>
      <c r="H54" s="86"/>
    </row>
    <row r="55" spans="1:14" ht="15.75" customHeight="1" x14ac:dyDescent="0.35">
      <c r="A55" s="96" t="s">
        <v>47</v>
      </c>
      <c r="B55" s="96"/>
      <c r="C55" s="96"/>
      <c r="D55" s="90" t="s">
        <v>269</v>
      </c>
      <c r="E55" s="90"/>
      <c r="F55" s="90"/>
      <c r="G55" s="90"/>
      <c r="H55" s="90"/>
      <c r="J55" s="49"/>
      <c r="K55" s="48"/>
      <c r="N55" s="48"/>
    </row>
    <row r="56" spans="1:14" ht="15.75" customHeight="1" x14ac:dyDescent="0.35">
      <c r="A56" s="96" t="s">
        <v>121</v>
      </c>
      <c r="B56" s="96"/>
      <c r="C56" s="96"/>
      <c r="D56" s="158" t="s">
        <v>274</v>
      </c>
      <c r="E56" s="158"/>
      <c r="F56" s="158"/>
      <c r="G56" s="158"/>
      <c r="H56" s="158"/>
      <c r="N56" s="48"/>
    </row>
    <row r="57" spans="1:14" ht="15.75" customHeight="1" x14ac:dyDescent="0.35">
      <c r="A57" s="87" t="s">
        <v>122</v>
      </c>
      <c r="B57" s="87"/>
      <c r="C57" s="87"/>
      <c r="D57" s="90" t="s">
        <v>23</v>
      </c>
      <c r="E57" s="90"/>
      <c r="F57" s="90"/>
      <c r="G57" s="90"/>
      <c r="H57" s="90"/>
      <c r="J57" s="21"/>
      <c r="K57" s="21"/>
    </row>
    <row r="58" spans="1:14" ht="15.75" customHeight="1" thickBot="1" x14ac:dyDescent="0.4">
      <c r="A58" s="125" t="s">
        <v>120</v>
      </c>
      <c r="B58" s="125"/>
      <c r="C58" s="125"/>
      <c r="D58" s="124" t="s">
        <v>270</v>
      </c>
      <c r="E58" s="124"/>
      <c r="F58" s="124"/>
      <c r="G58" s="124"/>
      <c r="H58" s="124"/>
      <c r="J58" s="21"/>
    </row>
    <row r="59" spans="1:14" ht="15.75" customHeight="1" x14ac:dyDescent="0.35">
      <c r="A59" s="70" t="s">
        <v>178</v>
      </c>
      <c r="B59" s="71"/>
      <c r="C59" s="72" t="str">
        <f>D54</f>
        <v>Building No.C1 = G/st(Pt) + 1st to 24th Floor</v>
      </c>
      <c r="D59" s="73"/>
      <c r="E59" s="73"/>
      <c r="F59" s="73"/>
      <c r="G59" s="73"/>
      <c r="H59" s="74"/>
      <c r="I59" s="20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 Completed",IF(C65&gt;0,", RCC upto "&amp;C65&amp;" Slab Completed",""))&amp;(IF(C66=H60,", Brickwork Completed",IF(C66&gt;0,", Brickwork upto "&amp;C66&amp;" Floor Completed",""))&amp;(IF(C67=H60,", Internal Plaster Completed",IF(C67&gt;0,", Internal Plaster upto "&amp;C67&amp;" Floor Completed",""))&amp;(IF(C68=H60,", External Plaster Completed",IF(C68&gt;0,", External Plaster upto "&amp;C68&amp;" Floor Completed",""))&amp;(IF(C69=H60,", Flooring Completed",IF(C69&gt;0,", Flooring upto "&amp;C69&amp;" Floor Completed",""))&amp;(IF(C70=H60,", Painting Completed",IF(C70&gt;0,", Painting upto "&amp;C70&amp;" Floor Completed",""))&amp;(IF(C71&gt;0,", Finishing upto "&amp;C71&amp;" Floor Completed","")&amp;(IF(C65&gt;0.5,".",""))))))))))))))</f>
        <v>All work completed. Please provide OC.</v>
      </c>
      <c r="J59" s="31"/>
    </row>
    <row r="60" spans="1:14" x14ac:dyDescent="0.35">
      <c r="A60" s="33" t="s">
        <v>180</v>
      </c>
      <c r="B60" s="29">
        <v>0</v>
      </c>
      <c r="C60" s="29" t="s">
        <v>100</v>
      </c>
      <c r="D60" s="29">
        <v>1</v>
      </c>
      <c r="E60" s="29" t="s">
        <v>99</v>
      </c>
      <c r="F60" s="29">
        <v>0</v>
      </c>
      <c r="G60" s="29" t="s">
        <v>114</v>
      </c>
      <c r="H60" s="34">
        <f ca="1">--TRIM(RIGHT(SUBSTITUTE(LEFT(C59,_xlfn.AGGREGATE(16,6,FIND({0,1,2,3,4,5,6,7,8,9},C59,ROW(INDIRECT("1:"&amp;LEN(C59)))),1))," ",REPT(" ",LEN(C59))),LEN(C59)))</f>
        <v>24</v>
      </c>
      <c r="I60" s="21"/>
      <c r="J60" s="35"/>
    </row>
    <row r="61" spans="1:14" ht="17.25" customHeight="1" x14ac:dyDescent="0.35">
      <c r="A61" s="75" t="s">
        <v>124</v>
      </c>
      <c r="B61" s="76"/>
      <c r="C61" s="77" t="str">
        <f>I61</f>
        <v>All work Completed. OC Received.</v>
      </c>
      <c r="D61" s="77"/>
      <c r="E61" s="77"/>
      <c r="F61" s="77"/>
      <c r="G61" s="77"/>
      <c r="H61" s="78"/>
      <c r="I61" s="21" t="s">
        <v>138</v>
      </c>
      <c r="J61" s="35"/>
    </row>
    <row r="62" spans="1:14" ht="15.75" customHeight="1" x14ac:dyDescent="0.35">
      <c r="A62" s="79" t="s">
        <v>51</v>
      </c>
      <c r="B62" s="80"/>
      <c r="C62" s="41" t="s">
        <v>247</v>
      </c>
      <c r="D62" s="41" t="s">
        <v>117</v>
      </c>
      <c r="E62" s="80" t="s">
        <v>119</v>
      </c>
      <c r="F62" s="80"/>
      <c r="G62" s="80" t="s">
        <v>118</v>
      </c>
      <c r="H62" s="81"/>
      <c r="I62" s="19" t="s">
        <v>179</v>
      </c>
      <c r="J62" s="36">
        <f ca="1">H60*25%</f>
        <v>6</v>
      </c>
    </row>
    <row r="63" spans="1:14" x14ac:dyDescent="0.35">
      <c r="A63" s="79" t="s">
        <v>167</v>
      </c>
      <c r="B63" s="80"/>
      <c r="C63" s="41">
        <f ca="1">J64</f>
        <v>24</v>
      </c>
      <c r="D63" s="42">
        <f ca="1">((100/H60)*C63)/100</f>
        <v>1</v>
      </c>
      <c r="E63" s="98">
        <f ca="1">(((C64/H60*10)+(40/(D60+F60+H60)*C65)+(7.5/(H60)*C66)+(7.5/(H60)*C67)+(10/H60*C68)+(10/H60*C69)+(5/H60*C70)+(5/H60*C71)+(5/H60*C72))/100)</f>
        <v>1</v>
      </c>
      <c r="F63" s="130"/>
      <c r="G63" s="98">
        <f ca="1">((((C63/H60)*20)+((C64/H60)*25)+(30/(H60+F60+D60)*C65)+(5/H60*C66)+(5/H60*C67)+(5/H60*C68)+(5/H60*C69)+(0/H60*C70)+(0/H60*C71)+(5/H60*C72))/100)</f>
        <v>1</v>
      </c>
      <c r="H63" s="99"/>
      <c r="I63" s="19" t="s">
        <v>133</v>
      </c>
      <c r="J63" s="37">
        <f ca="1">H60*50%</f>
        <v>12</v>
      </c>
    </row>
    <row r="64" spans="1:14" x14ac:dyDescent="0.35">
      <c r="A64" s="79" t="s">
        <v>52</v>
      </c>
      <c r="B64" s="80"/>
      <c r="C64" s="41">
        <f ca="1">J72</f>
        <v>24</v>
      </c>
      <c r="D64" s="42">
        <f ca="1">((100/H60)*C64)/100</f>
        <v>1</v>
      </c>
      <c r="E64" s="100"/>
      <c r="F64" s="131"/>
      <c r="G64" s="100"/>
      <c r="H64" s="101"/>
      <c r="I64" s="19" t="s">
        <v>134</v>
      </c>
      <c r="J64" s="37">
        <f ca="1">H60</f>
        <v>24</v>
      </c>
    </row>
    <row r="65" spans="1:10" ht="15.75" customHeight="1" x14ac:dyDescent="0.35">
      <c r="A65" s="79" t="s">
        <v>168</v>
      </c>
      <c r="B65" s="80"/>
      <c r="C65" s="41">
        <v>25</v>
      </c>
      <c r="D65" s="42">
        <f ca="1">((100/(D60+F60+H60))*C65)/100</f>
        <v>1</v>
      </c>
      <c r="E65" s="100"/>
      <c r="F65" s="131"/>
      <c r="G65" s="100"/>
      <c r="H65" s="101"/>
      <c r="I65" s="19" t="s">
        <v>135</v>
      </c>
      <c r="J65" s="38">
        <f ca="1">(IF(B60&gt;1,(H60/(B60+2)),H60/4))</f>
        <v>6</v>
      </c>
    </row>
    <row r="66" spans="1:10" ht="15.75" customHeight="1" x14ac:dyDescent="0.35">
      <c r="A66" s="79" t="s">
        <v>175</v>
      </c>
      <c r="B66" s="80" t="s">
        <v>169</v>
      </c>
      <c r="C66" s="41">
        <v>24</v>
      </c>
      <c r="D66" s="42">
        <f ca="1">((100/H60)*C66)/100</f>
        <v>1</v>
      </c>
      <c r="E66" s="100"/>
      <c r="F66" s="131"/>
      <c r="G66" s="100"/>
      <c r="H66" s="101"/>
      <c r="I66" s="19" t="s">
        <v>136</v>
      </c>
      <c r="J66" s="38">
        <f ca="1">(IF(B60&gt;1,(H60/(B60+2)+J65),H60/4+J65))</f>
        <v>12</v>
      </c>
    </row>
    <row r="67" spans="1:10" ht="15.75" customHeight="1" x14ac:dyDescent="0.35">
      <c r="A67" s="79" t="s">
        <v>176</v>
      </c>
      <c r="B67" s="80" t="s">
        <v>169</v>
      </c>
      <c r="C67" s="41">
        <v>24</v>
      </c>
      <c r="D67" s="42">
        <f ca="1">((100/H60)*C67)/100</f>
        <v>1</v>
      </c>
      <c r="E67" s="100"/>
      <c r="F67" s="131"/>
      <c r="G67" s="100"/>
      <c r="H67" s="101"/>
      <c r="I67" s="19" t="s">
        <v>184</v>
      </c>
      <c r="J67" s="38">
        <f>(IF(B60&gt;1,(H60/(B60+2)+J66),0))</f>
        <v>0</v>
      </c>
    </row>
    <row r="68" spans="1:10" ht="15" customHeight="1" x14ac:dyDescent="0.35">
      <c r="A68" s="79" t="s">
        <v>174</v>
      </c>
      <c r="B68" s="80" t="s">
        <v>171</v>
      </c>
      <c r="C68" s="41">
        <v>24</v>
      </c>
      <c r="D68" s="42">
        <f ca="1">((100/(H60))*C68)/100</f>
        <v>1</v>
      </c>
      <c r="E68" s="100"/>
      <c r="F68" s="131"/>
      <c r="G68" s="100"/>
      <c r="H68" s="101"/>
      <c r="I68" s="19" t="s">
        <v>181</v>
      </c>
      <c r="J68" s="38">
        <f>(IF(B60&gt;2,(H60/(B60+2)+J67),0))</f>
        <v>0</v>
      </c>
    </row>
    <row r="69" spans="1:10" ht="15.75" customHeight="1" x14ac:dyDescent="0.35">
      <c r="A69" s="79" t="s">
        <v>170</v>
      </c>
      <c r="B69" s="80" t="s">
        <v>170</v>
      </c>
      <c r="C69" s="41">
        <v>24</v>
      </c>
      <c r="D69" s="42">
        <f ca="1">((100/H60)*C69)/100</f>
        <v>1</v>
      </c>
      <c r="E69" s="100"/>
      <c r="F69" s="131"/>
      <c r="G69" s="100"/>
      <c r="H69" s="101"/>
      <c r="I69" s="19" t="s">
        <v>182</v>
      </c>
      <c r="J69" s="39">
        <f>(IF(B60&gt;3,(H60/(B60+2)+J68),0))</f>
        <v>0</v>
      </c>
    </row>
    <row r="70" spans="1:10" ht="15.75" customHeight="1" x14ac:dyDescent="0.35">
      <c r="A70" s="79" t="s">
        <v>177</v>
      </c>
      <c r="B70" s="80"/>
      <c r="C70" s="41">
        <v>24</v>
      </c>
      <c r="D70" s="42">
        <f ca="1">((100/H60)*C70)/100</f>
        <v>1</v>
      </c>
      <c r="E70" s="100"/>
      <c r="F70" s="131"/>
      <c r="G70" s="100"/>
      <c r="H70" s="101"/>
      <c r="I70" s="19" t="s">
        <v>183</v>
      </c>
      <c r="J70" s="38">
        <f>(IF(B60&gt;4,(H60/(B60+2)+J69),0))</f>
        <v>0</v>
      </c>
    </row>
    <row r="71" spans="1:10" ht="15.75" customHeight="1" x14ac:dyDescent="0.35">
      <c r="A71" s="79" t="s">
        <v>172</v>
      </c>
      <c r="B71" s="80" t="s">
        <v>172</v>
      </c>
      <c r="C71" s="41">
        <v>24</v>
      </c>
      <c r="D71" s="42">
        <f ca="1">((100/(H60))*C71)/100</f>
        <v>1</v>
      </c>
      <c r="E71" s="100"/>
      <c r="F71" s="131"/>
      <c r="G71" s="100"/>
      <c r="H71" s="101"/>
      <c r="I71" s="19" t="s">
        <v>185</v>
      </c>
      <c r="J71" s="38">
        <f ca="1">(IF(B60=1,(H60/(B60+3)+J66),IF(B60=0,(H60/4+J66),IF(B60&gt;1,0))))</f>
        <v>18</v>
      </c>
    </row>
    <row r="72" spans="1:10" ht="16" thickBot="1" x14ac:dyDescent="0.4">
      <c r="A72" s="104" t="s">
        <v>173</v>
      </c>
      <c r="B72" s="105"/>
      <c r="C72" s="43">
        <v>24</v>
      </c>
      <c r="D72" s="44">
        <f ca="1">((100/(H60))*C72)/100</f>
        <v>1</v>
      </c>
      <c r="E72" s="102"/>
      <c r="F72" s="132"/>
      <c r="G72" s="102"/>
      <c r="H72" s="103"/>
      <c r="I72" s="22" t="s">
        <v>137</v>
      </c>
      <c r="J72" s="40">
        <f ca="1">(IF(B60&gt;1.5,(H60/(B60+2)+J66+MAX(0,J67-J66)+MAX(0,J68-J67)+MAX(0,J69-J68)+MAX(0,J70-J69)+MAX(0,J71-J70)),IF(B60=1,(H60/(B60+3)+J71),IF(B60=0,H60/4+J71))))</f>
        <v>24</v>
      </c>
    </row>
    <row r="73" spans="1:10" x14ac:dyDescent="0.35">
      <c r="A73" s="133" t="s">
        <v>152</v>
      </c>
      <c r="B73" s="133"/>
      <c r="C73" s="133"/>
      <c r="D73" s="133"/>
      <c r="E73" s="133"/>
      <c r="F73" s="134" t="s">
        <v>17</v>
      </c>
      <c r="G73" s="135"/>
      <c r="H73" s="136"/>
    </row>
    <row r="74" spans="1:10" x14ac:dyDescent="0.35">
      <c r="A74" s="96" t="s">
        <v>53</v>
      </c>
      <c r="B74" s="96"/>
      <c r="C74" s="96"/>
      <c r="D74" s="96"/>
      <c r="E74" s="96"/>
      <c r="F74" s="96"/>
      <c r="G74" s="96"/>
      <c r="H74" s="96"/>
    </row>
    <row r="75" spans="1:10" ht="15" customHeight="1" x14ac:dyDescent="0.35">
      <c r="A75" s="76" t="s">
        <v>103</v>
      </c>
      <c r="B75" s="76"/>
      <c r="C75" s="77" t="s">
        <v>104</v>
      </c>
      <c r="D75" s="77"/>
      <c r="E75" s="77"/>
      <c r="F75" s="77"/>
      <c r="G75" s="77"/>
      <c r="H75" s="77"/>
    </row>
    <row r="76" spans="1:10" x14ac:dyDescent="0.35">
      <c r="A76" s="129" t="s">
        <v>54</v>
      </c>
      <c r="B76" s="129"/>
      <c r="C76" s="129"/>
      <c r="D76" s="129"/>
      <c r="E76" s="129"/>
      <c r="F76" s="129"/>
      <c r="G76" s="129"/>
      <c r="H76" s="129"/>
    </row>
    <row r="77" spans="1:10" x14ac:dyDescent="0.35">
      <c r="A77" s="96" t="s">
        <v>105</v>
      </c>
      <c r="B77" s="96"/>
      <c r="C77" s="96"/>
      <c r="D77" s="96"/>
      <c r="E77" s="96"/>
      <c r="F77" s="87">
        <v>5850</v>
      </c>
      <c r="G77" s="87"/>
      <c r="H77" s="87"/>
      <c r="I77" s="32" t="s">
        <v>271</v>
      </c>
    </row>
    <row r="78" spans="1:10" hidden="1" x14ac:dyDescent="0.35">
      <c r="A78" s="96" t="s">
        <v>112</v>
      </c>
      <c r="B78" s="96"/>
      <c r="C78" s="96"/>
      <c r="D78" s="96"/>
      <c r="E78" s="96"/>
      <c r="F78" s="87"/>
      <c r="G78" s="87"/>
      <c r="H78" s="87"/>
    </row>
    <row r="79" spans="1:10" x14ac:dyDescent="0.35">
      <c r="A79" s="96" t="s">
        <v>113</v>
      </c>
      <c r="B79" s="96"/>
      <c r="C79" s="96"/>
      <c r="D79" s="96"/>
      <c r="E79" s="96"/>
      <c r="F79" s="87">
        <v>10500</v>
      </c>
      <c r="G79" s="87"/>
      <c r="H79" s="87"/>
    </row>
    <row r="80" spans="1:10" s="50" customFormat="1" x14ac:dyDescent="0.3">
      <c r="A80" s="96" t="s">
        <v>129</v>
      </c>
      <c r="B80" s="96"/>
      <c r="C80" s="96"/>
      <c r="D80" s="96"/>
      <c r="E80" s="96"/>
      <c r="F80" s="87" t="s">
        <v>213</v>
      </c>
      <c r="G80" s="87"/>
      <c r="H80" s="87"/>
    </row>
    <row r="81" spans="1:8" s="50" customFormat="1" x14ac:dyDescent="0.3">
      <c r="A81" s="96" t="s">
        <v>210</v>
      </c>
      <c r="B81" s="96"/>
      <c r="C81" s="96"/>
      <c r="D81" s="96"/>
      <c r="E81" s="96"/>
      <c r="F81" s="87" t="s">
        <v>216</v>
      </c>
      <c r="G81" s="87"/>
      <c r="H81" s="87"/>
    </row>
    <row r="82" spans="1:8" s="50" customFormat="1" x14ac:dyDescent="0.3">
      <c r="A82" s="96" t="s">
        <v>211</v>
      </c>
      <c r="B82" s="96"/>
      <c r="C82" s="96"/>
      <c r="D82" s="96"/>
      <c r="E82" s="96"/>
      <c r="F82" s="87" t="s">
        <v>217</v>
      </c>
      <c r="G82" s="87"/>
      <c r="H82" s="87"/>
    </row>
    <row r="83" spans="1:8" s="50" customFormat="1" x14ac:dyDescent="0.3">
      <c r="A83" s="96" t="s">
        <v>248</v>
      </c>
      <c r="B83" s="96"/>
      <c r="C83" s="96"/>
      <c r="D83" s="96"/>
      <c r="E83" s="96"/>
      <c r="F83" s="87" t="s">
        <v>212</v>
      </c>
      <c r="G83" s="87"/>
      <c r="H83" s="87"/>
    </row>
    <row r="84" spans="1:8" s="50" customFormat="1" hidden="1" x14ac:dyDescent="0.3">
      <c r="A84" s="96" t="s">
        <v>130</v>
      </c>
      <c r="B84" s="96"/>
      <c r="C84" s="96"/>
      <c r="D84" s="96"/>
      <c r="E84" s="96"/>
      <c r="F84" s="87" t="s">
        <v>29</v>
      </c>
      <c r="G84" s="87"/>
      <c r="H84" s="87"/>
    </row>
    <row r="85" spans="1:8" s="50" customFormat="1" hidden="1" x14ac:dyDescent="0.3">
      <c r="A85" s="96" t="s">
        <v>131</v>
      </c>
      <c r="B85" s="96"/>
      <c r="C85" s="96"/>
      <c r="D85" s="96"/>
      <c r="E85" s="96"/>
      <c r="F85" s="87" t="s">
        <v>29</v>
      </c>
      <c r="G85" s="87"/>
      <c r="H85" s="87"/>
    </row>
    <row r="86" spans="1:8" s="50" customFormat="1" x14ac:dyDescent="0.3">
      <c r="A86" s="96" t="s">
        <v>249</v>
      </c>
      <c r="B86" s="96"/>
      <c r="C86" s="96"/>
      <c r="D86" s="96"/>
      <c r="E86" s="96"/>
      <c r="F86" s="87" t="s">
        <v>250</v>
      </c>
      <c r="G86" s="87"/>
      <c r="H86" s="87"/>
    </row>
    <row r="87" spans="1:8" s="50" customFormat="1" hidden="1" x14ac:dyDescent="0.3">
      <c r="A87" s="96" t="s">
        <v>132</v>
      </c>
      <c r="B87" s="96"/>
      <c r="C87" s="96"/>
      <c r="D87" s="96"/>
      <c r="E87" s="96"/>
      <c r="F87" s="87" t="s">
        <v>29</v>
      </c>
      <c r="G87" s="87"/>
      <c r="H87" s="87"/>
    </row>
    <row r="88" spans="1:8" x14ac:dyDescent="0.35">
      <c r="A88" s="96" t="s">
        <v>55</v>
      </c>
      <c r="B88" s="96"/>
      <c r="C88" s="96"/>
      <c r="D88" s="96"/>
      <c r="E88" s="96"/>
      <c r="F88" s="90" t="s">
        <v>212</v>
      </c>
      <c r="G88" s="90"/>
      <c r="H88" s="90"/>
    </row>
    <row r="89" spans="1:8" s="51" customFormat="1" x14ac:dyDescent="0.35">
      <c r="A89" s="129" t="s">
        <v>56</v>
      </c>
      <c r="B89" s="129"/>
      <c r="C89" s="129"/>
      <c r="D89" s="129"/>
      <c r="E89" s="129"/>
      <c r="F89" s="87">
        <f>F77*0.8</f>
        <v>4680</v>
      </c>
      <c r="G89" s="87"/>
      <c r="H89" s="87"/>
    </row>
    <row r="90" spans="1:8" s="52" customFormat="1" ht="15.75" customHeight="1" x14ac:dyDescent="0.35">
      <c r="A90" s="144" t="s">
        <v>106</v>
      </c>
      <c r="B90" s="144"/>
      <c r="C90" s="144"/>
      <c r="D90" s="144"/>
      <c r="E90" s="144"/>
      <c r="F90" s="144"/>
      <c r="G90" s="144"/>
      <c r="H90" s="144"/>
    </row>
    <row r="91" spans="1:8" s="52" customFormat="1" ht="15.75" customHeight="1" x14ac:dyDescent="0.35">
      <c r="A91" s="112" t="s">
        <v>57</v>
      </c>
      <c r="B91" s="112"/>
      <c r="C91" s="137" t="s">
        <v>109</v>
      </c>
      <c r="D91" s="137"/>
      <c r="E91" s="162" t="s">
        <v>58</v>
      </c>
      <c r="F91" s="162"/>
      <c r="G91" s="112" t="s">
        <v>59</v>
      </c>
      <c r="H91" s="112"/>
    </row>
    <row r="92" spans="1:8" s="52" customFormat="1" x14ac:dyDescent="0.35">
      <c r="A92" s="145" t="s">
        <v>198</v>
      </c>
      <c r="B92" s="145"/>
      <c r="C92" s="138">
        <f>COUNT(D101:D107)</f>
        <v>7</v>
      </c>
      <c r="D92" s="139"/>
      <c r="E92" s="140">
        <f>SUM(D101:D107)</f>
        <v>3316.3883999999998</v>
      </c>
      <c r="F92" s="141"/>
      <c r="G92" s="140">
        <f>SUM(F101:F107)</f>
        <v>7387</v>
      </c>
      <c r="H92" s="141"/>
    </row>
    <row r="93" spans="1:8" s="52" customFormat="1" x14ac:dyDescent="0.35">
      <c r="A93" s="144" t="s">
        <v>98</v>
      </c>
      <c r="B93" s="144"/>
      <c r="C93" s="144"/>
      <c r="D93" s="144"/>
      <c r="E93" s="144"/>
      <c r="F93" s="144"/>
      <c r="G93" s="144"/>
      <c r="H93" s="144"/>
    </row>
    <row r="94" spans="1:8" s="52" customFormat="1" ht="15.75" customHeight="1" x14ac:dyDescent="0.35">
      <c r="A94" s="112" t="s">
        <v>57</v>
      </c>
      <c r="B94" s="112"/>
      <c r="C94" s="137" t="s">
        <v>109</v>
      </c>
      <c r="D94" s="137"/>
      <c r="E94" s="162" t="s">
        <v>58</v>
      </c>
      <c r="F94" s="162"/>
      <c r="G94" s="112" t="s">
        <v>59</v>
      </c>
      <c r="H94" s="112"/>
    </row>
    <row r="95" spans="1:8" s="52" customFormat="1" x14ac:dyDescent="0.35">
      <c r="A95" s="145" t="s">
        <v>77</v>
      </c>
      <c r="B95" s="145"/>
      <c r="C95" s="139">
        <f>COUNT(D112:D113,D118:D123)+COUNT(D125:D136)+COUNT(D138:D151)*7+COUNT(D153:D167)*4+COUNT(D171:D182)+COUNT(D185:D197)*3+COUNT(D199:D213)*7</f>
        <v>334</v>
      </c>
      <c r="D95" s="139"/>
      <c r="E95" s="140">
        <f>SUM(D112:D113,D118:D123)+SUM(D125:D136)+SUM(D138:D151)*7+SUM(D153:D167)*4+SUM(D171:D182)+SUM(D185:D197)*3+SUM(D199:D213)*7</f>
        <v>138697.55756999998</v>
      </c>
      <c r="F95" s="140"/>
      <c r="G95" s="140">
        <f>SUM(F112:F113,F118:F123)+SUM(F125:F136)+SUM(F138:F151)*7+SUM(F153:F167)*4+SUM(F171:F182)+SUM(F185:F197)*3+SUM(F199:F213)*7</f>
        <v>215978.6064735</v>
      </c>
      <c r="H95" s="140"/>
    </row>
    <row r="96" spans="1:8" s="51" customFormat="1" x14ac:dyDescent="0.35">
      <c r="A96" s="66" t="s">
        <v>62</v>
      </c>
      <c r="B96" s="66"/>
      <c r="C96" s="66"/>
      <c r="D96" s="66"/>
      <c r="E96" s="66"/>
      <c r="F96" s="66"/>
      <c r="G96" s="66"/>
      <c r="H96" s="66"/>
    </row>
    <row r="97" spans="1:14" x14ac:dyDescent="0.35">
      <c r="A97" s="66" t="s">
        <v>63</v>
      </c>
      <c r="B97" s="66"/>
      <c r="C97" s="66"/>
      <c r="D97" s="66"/>
      <c r="E97" s="66"/>
      <c r="F97" s="66"/>
      <c r="G97" s="66"/>
      <c r="H97" s="66"/>
    </row>
    <row r="98" spans="1:14" ht="47.25" customHeight="1" x14ac:dyDescent="0.35">
      <c r="A98" s="24" t="s">
        <v>156</v>
      </c>
      <c r="B98" s="24" t="s">
        <v>155</v>
      </c>
      <c r="C98" s="24" t="s">
        <v>64</v>
      </c>
      <c r="D98" s="24" t="s">
        <v>65</v>
      </c>
      <c r="E98" s="25" t="s">
        <v>199</v>
      </c>
      <c r="F98" s="24" t="s">
        <v>208</v>
      </c>
      <c r="G98" s="117" t="s">
        <v>67</v>
      </c>
      <c r="H98" s="118"/>
    </row>
    <row r="99" spans="1:14" s="53" customFormat="1" x14ac:dyDescent="0.35">
      <c r="A99" s="126" t="s">
        <v>214</v>
      </c>
      <c r="B99" s="127"/>
      <c r="C99" s="127"/>
      <c r="D99" s="127"/>
      <c r="E99" s="127"/>
      <c r="F99" s="127"/>
      <c r="G99" s="127"/>
      <c r="H99" s="128"/>
    </row>
    <row r="100" spans="1:14" s="53" customFormat="1" x14ac:dyDescent="0.35">
      <c r="A100" s="126" t="s">
        <v>197</v>
      </c>
      <c r="B100" s="127"/>
      <c r="C100" s="127"/>
      <c r="D100" s="127"/>
      <c r="E100" s="127"/>
      <c r="F100" s="127"/>
      <c r="G100" s="127"/>
      <c r="H100" s="128"/>
    </row>
    <row r="101" spans="1:14" s="53" customFormat="1" ht="30.75" customHeight="1" x14ac:dyDescent="0.35">
      <c r="A101" s="109">
        <v>1</v>
      </c>
      <c r="B101" s="110"/>
      <c r="C101" s="23" t="s">
        <v>215</v>
      </c>
      <c r="D101" s="23">
        <f>(8.4*7.6)*10.764</f>
        <v>687.1737599999999</v>
      </c>
      <c r="E101" s="23">
        <f>0.5*D101</f>
        <v>343.58687999999995</v>
      </c>
      <c r="F101" s="23">
        <v>1547</v>
      </c>
      <c r="G101" s="163" t="str">
        <f>A100</f>
        <v>Ground Floor for Commercial &amp; Parking</v>
      </c>
      <c r="H101" s="164"/>
      <c r="I101" s="54"/>
      <c r="L101" s="106"/>
      <c r="M101" s="106"/>
      <c r="N101" s="54"/>
    </row>
    <row r="102" spans="1:14" s="53" customFormat="1" ht="29.5" x14ac:dyDescent="0.35">
      <c r="A102" s="109">
        <f>A101+1</f>
        <v>2</v>
      </c>
      <c r="B102" s="110"/>
      <c r="C102" s="23" t="s">
        <v>215</v>
      </c>
      <c r="D102" s="23">
        <f>(8.15*6.1+0.65*4.25)*10.764</f>
        <v>564.86780999999996</v>
      </c>
      <c r="E102" s="23">
        <f t="shared" ref="E102:E106" si="0">0.5*D102</f>
        <v>282.43390499999998</v>
      </c>
      <c r="F102" s="23">
        <v>1305</v>
      </c>
      <c r="G102" s="165"/>
      <c r="H102" s="166"/>
      <c r="I102" s="54"/>
      <c r="L102" s="106"/>
      <c r="M102" s="106"/>
      <c r="N102" s="54"/>
    </row>
    <row r="103" spans="1:14" s="53" customFormat="1" ht="29.5" x14ac:dyDescent="0.35">
      <c r="A103" s="109">
        <f t="shared" ref="A103:A105" si="1">A102+1</f>
        <v>3</v>
      </c>
      <c r="B103" s="110"/>
      <c r="C103" s="23" t="s">
        <v>215</v>
      </c>
      <c r="D103" s="23">
        <f>(7.3*4.9)*10.764</f>
        <v>385.02828</v>
      </c>
      <c r="E103" s="23">
        <f t="shared" si="0"/>
        <v>192.51414</v>
      </c>
      <c r="F103" s="23">
        <v>865</v>
      </c>
      <c r="G103" s="165"/>
      <c r="H103" s="166"/>
      <c r="I103" s="54"/>
      <c r="L103" s="106"/>
      <c r="M103" s="106"/>
      <c r="N103" s="54"/>
    </row>
    <row r="104" spans="1:14" s="53" customFormat="1" ht="29.5" x14ac:dyDescent="0.35">
      <c r="A104" s="109">
        <f t="shared" si="1"/>
        <v>4</v>
      </c>
      <c r="B104" s="110"/>
      <c r="C104" s="23" t="s">
        <v>215</v>
      </c>
      <c r="D104" s="23">
        <f>(7.3*4.9)*10.764</f>
        <v>385.02828</v>
      </c>
      <c r="E104" s="23">
        <f t="shared" si="0"/>
        <v>192.51414</v>
      </c>
      <c r="F104" s="23">
        <v>865</v>
      </c>
      <c r="G104" s="165"/>
      <c r="H104" s="166"/>
      <c r="I104" s="54"/>
      <c r="L104" s="106"/>
      <c r="M104" s="106"/>
      <c r="N104" s="54"/>
    </row>
    <row r="105" spans="1:14" s="53" customFormat="1" ht="29.5" x14ac:dyDescent="0.35">
      <c r="A105" s="109">
        <f t="shared" si="1"/>
        <v>5</v>
      </c>
      <c r="B105" s="110"/>
      <c r="C105" s="23" t="s">
        <v>215</v>
      </c>
      <c r="D105" s="23">
        <f>(8.15*5.65)*10.764</f>
        <v>495.65529000000004</v>
      </c>
      <c r="E105" s="23">
        <f t="shared" si="0"/>
        <v>247.82764500000002</v>
      </c>
      <c r="F105" s="23">
        <v>1110</v>
      </c>
      <c r="G105" s="165"/>
      <c r="H105" s="166"/>
      <c r="I105" s="54"/>
      <c r="L105" s="106"/>
      <c r="M105" s="106"/>
      <c r="N105" s="54"/>
    </row>
    <row r="106" spans="1:14" s="53" customFormat="1" ht="29.5" x14ac:dyDescent="0.35">
      <c r="A106" s="109">
        <f t="shared" ref="A106:A107" si="2">A105+1</f>
        <v>6</v>
      </c>
      <c r="B106" s="110"/>
      <c r="C106" s="23" t="s">
        <v>215</v>
      </c>
      <c r="D106" s="23">
        <f>(7.3*4.9)*10.764</f>
        <v>385.02828</v>
      </c>
      <c r="E106" s="23">
        <f t="shared" si="0"/>
        <v>192.51414</v>
      </c>
      <c r="F106" s="23">
        <v>865</v>
      </c>
      <c r="G106" s="165"/>
      <c r="H106" s="166"/>
      <c r="I106" s="54"/>
      <c r="L106" s="106"/>
      <c r="M106" s="106"/>
      <c r="N106" s="54"/>
    </row>
    <row r="107" spans="1:14" s="53" customFormat="1" ht="29.5" x14ac:dyDescent="0.35">
      <c r="A107" s="109">
        <f t="shared" si="2"/>
        <v>7</v>
      </c>
      <c r="B107" s="110"/>
      <c r="C107" s="23" t="s">
        <v>215</v>
      </c>
      <c r="D107" s="23">
        <f>(7.25*5.3)*10.764</f>
        <v>413.60669999999993</v>
      </c>
      <c r="E107" s="23">
        <f>0.5*D107</f>
        <v>206.80334999999997</v>
      </c>
      <c r="F107" s="23">
        <v>830</v>
      </c>
      <c r="G107" s="167"/>
      <c r="H107" s="168"/>
      <c r="I107" s="54"/>
      <c r="L107" s="106"/>
      <c r="M107" s="106"/>
      <c r="N107" s="54"/>
    </row>
    <row r="108" spans="1:14" s="53" customFormat="1" x14ac:dyDescent="0.35">
      <c r="A108" s="109"/>
      <c r="B108" s="172"/>
      <c r="C108" s="172"/>
      <c r="D108" s="172"/>
      <c r="E108" s="172"/>
      <c r="F108" s="172"/>
      <c r="G108" s="172"/>
      <c r="H108" s="110"/>
      <c r="I108" s="54"/>
      <c r="N108" s="54"/>
    </row>
    <row r="109" spans="1:14" ht="47.25" customHeight="1" x14ac:dyDescent="0.35">
      <c r="A109" s="117" t="s">
        <v>157</v>
      </c>
      <c r="B109" s="117" t="s">
        <v>158</v>
      </c>
      <c r="C109" s="113" t="s">
        <v>64</v>
      </c>
      <c r="D109" s="113" t="s">
        <v>65</v>
      </c>
      <c r="E109" s="115" t="s">
        <v>66</v>
      </c>
      <c r="F109" s="24" t="s">
        <v>153</v>
      </c>
      <c r="G109" s="117" t="s">
        <v>67</v>
      </c>
      <c r="H109" s="118"/>
      <c r="I109" s="54"/>
    </row>
    <row r="110" spans="1:14" s="53" customFormat="1" x14ac:dyDescent="0.35">
      <c r="A110" s="119"/>
      <c r="B110" s="119"/>
      <c r="C110" s="114"/>
      <c r="D110" s="114"/>
      <c r="E110" s="116"/>
      <c r="F110" s="18">
        <v>0.55000000000000004</v>
      </c>
      <c r="G110" s="119"/>
      <c r="H110" s="120"/>
      <c r="I110" s="54"/>
    </row>
    <row r="111" spans="1:14" s="53" customFormat="1" x14ac:dyDescent="0.35">
      <c r="A111" s="108" t="s">
        <v>263</v>
      </c>
      <c r="B111" s="108"/>
      <c r="C111" s="108"/>
      <c r="D111" s="108"/>
      <c r="E111" s="108"/>
      <c r="F111" s="108"/>
      <c r="G111" s="108"/>
      <c r="H111" s="108"/>
      <c r="I111" s="54"/>
      <c r="L111" s="106"/>
      <c r="M111" s="106"/>
    </row>
    <row r="112" spans="1:14" s="53" customFormat="1" ht="15.75" customHeight="1" x14ac:dyDescent="0.35">
      <c r="A112" s="107">
        <v>1</v>
      </c>
      <c r="B112" s="107"/>
      <c r="C112" s="23" t="s">
        <v>233</v>
      </c>
      <c r="D112" s="23">
        <f>(3.05*3.1+1.95*3.15+2.25*2.1+3.45*2.45+1.5*0.6+1.3*2+2.1*1.25+0.9*1.6+0.6*(1.85+2.25)+3.05*0.6+2.1*0.85+1.8*0.6+0.75*(3.05+0.9+1.7))*10.764</f>
        <v>513.7926299999998</v>
      </c>
      <c r="E112" s="23">
        <v>0</v>
      </c>
      <c r="F112" s="23">
        <f>D112*(($F$110)+1)+E112</f>
        <v>796.37857649999967</v>
      </c>
      <c r="G112" s="163" t="str">
        <f>A111</f>
        <v>1st Floor For Residential and Fitness Center</v>
      </c>
      <c r="H112" s="164"/>
      <c r="I112" s="54"/>
      <c r="N112" s="54"/>
    </row>
    <row r="113" spans="1:14" s="53" customFormat="1" x14ac:dyDescent="0.35">
      <c r="A113" s="107">
        <f>A112+1</f>
        <v>2</v>
      </c>
      <c r="B113" s="107"/>
      <c r="C113" s="23" t="s">
        <v>231</v>
      </c>
      <c r="D113" s="23">
        <f>(2.75*3.7+2*2.85+2*1.3+1.55*0.6+0.7*2.75)*10.764</f>
        <v>229.59612000000001</v>
      </c>
      <c r="E113" s="23">
        <v>0</v>
      </c>
      <c r="F113" s="23">
        <f t="shared" ref="F113" si="3">D113*(($F$110)+1)+E113</f>
        <v>355.87398600000006</v>
      </c>
      <c r="G113" s="165"/>
      <c r="H113" s="166"/>
      <c r="I113" s="54"/>
      <c r="N113" s="54"/>
    </row>
    <row r="114" spans="1:14" s="53" customFormat="1" ht="15.75" customHeight="1" x14ac:dyDescent="0.35">
      <c r="A114" s="107">
        <f>A113+1</f>
        <v>3</v>
      </c>
      <c r="B114" s="107"/>
      <c r="C114" s="163" t="s">
        <v>260</v>
      </c>
      <c r="D114" s="169"/>
      <c r="E114" s="169"/>
      <c r="F114" s="164"/>
      <c r="G114" s="165"/>
      <c r="H114" s="166"/>
      <c r="I114" s="54"/>
      <c r="N114" s="54"/>
    </row>
    <row r="115" spans="1:14" s="53" customFormat="1" ht="15.75" customHeight="1" x14ac:dyDescent="0.35">
      <c r="A115" s="107">
        <f t="shared" ref="A115:A117" si="4">A114+1</f>
        <v>4</v>
      </c>
      <c r="B115" s="107"/>
      <c r="C115" s="165"/>
      <c r="D115" s="170"/>
      <c r="E115" s="170"/>
      <c r="F115" s="166"/>
      <c r="G115" s="165"/>
      <c r="H115" s="166"/>
      <c r="I115" s="54"/>
      <c r="N115" s="54"/>
    </row>
    <row r="116" spans="1:14" s="53" customFormat="1" ht="15.75" customHeight="1" x14ac:dyDescent="0.35">
      <c r="A116" s="107">
        <f t="shared" si="4"/>
        <v>5</v>
      </c>
      <c r="B116" s="107"/>
      <c r="C116" s="165"/>
      <c r="D116" s="170"/>
      <c r="E116" s="170"/>
      <c r="F116" s="166"/>
      <c r="G116" s="165"/>
      <c r="H116" s="166"/>
      <c r="I116" s="54"/>
      <c r="N116" s="54"/>
    </row>
    <row r="117" spans="1:14" s="53" customFormat="1" ht="15.75" customHeight="1" x14ac:dyDescent="0.35">
      <c r="A117" s="107">
        <f t="shared" si="4"/>
        <v>6</v>
      </c>
      <c r="B117" s="107"/>
      <c r="C117" s="167"/>
      <c r="D117" s="171"/>
      <c r="E117" s="171"/>
      <c r="F117" s="168"/>
      <c r="G117" s="165"/>
      <c r="H117" s="166"/>
      <c r="I117" s="54"/>
      <c r="N117" s="54"/>
    </row>
    <row r="118" spans="1:14" s="53" customFormat="1" x14ac:dyDescent="0.35">
      <c r="A118" s="107">
        <f>A117+1</f>
        <v>7</v>
      </c>
      <c r="B118" s="107"/>
      <c r="C118" s="23" t="s">
        <v>233</v>
      </c>
      <c r="D118" s="23">
        <f>(3*3.2+3.7*2.1+3.2*2.75+1.25*2.1+2.3*2.75+1.25*1.05+0.9*1.05+1.25*2.1+0.6*(2.4+2.4+2)+0.7*3.2+0.7*(1.95+1.6))*10.764</f>
        <v>525.36392999999998</v>
      </c>
      <c r="E118" s="23">
        <v>0</v>
      </c>
      <c r="F118" s="23">
        <f t="shared" ref="F118:F122" si="5">D118*(($F$110)+1)+E118</f>
        <v>814.31409150000002</v>
      </c>
      <c r="G118" s="165"/>
      <c r="H118" s="166"/>
      <c r="I118" s="54"/>
      <c r="N118" s="54"/>
    </row>
    <row r="119" spans="1:14" s="53" customFormat="1" x14ac:dyDescent="0.35">
      <c r="A119" s="107">
        <f>A118+1</f>
        <v>8</v>
      </c>
      <c r="B119" s="107"/>
      <c r="C119" s="23" t="s">
        <v>232</v>
      </c>
      <c r="D119" s="23">
        <f>(3.7*2.75+3*2+2.75*1.8+2*1.2+2*1.2+0.6*(1.55+0.65+1.4)+2.75*1.2+2.75*0.7+0.7*2.75)*10.764</f>
        <v>379.26953999999989</v>
      </c>
      <c r="E119" s="23">
        <v>0</v>
      </c>
      <c r="F119" s="23">
        <f t="shared" si="5"/>
        <v>587.86778699999979</v>
      </c>
      <c r="G119" s="165"/>
      <c r="H119" s="166"/>
      <c r="I119" s="54">
        <v>3200000</v>
      </c>
      <c r="J119" s="54">
        <f>I119/F119</f>
        <v>5443.4008305340285</v>
      </c>
      <c r="N119" s="54"/>
    </row>
    <row r="120" spans="1:14" s="53" customFormat="1" x14ac:dyDescent="0.35">
      <c r="A120" s="107">
        <f t="shared" ref="A120:A123" si="6">A119+1</f>
        <v>9</v>
      </c>
      <c r="B120" s="107"/>
      <c r="C120" s="61" t="s">
        <v>232</v>
      </c>
      <c r="D120" s="23">
        <f>(3.7*2.75+3*2+2.75*1.8+2*1.2+2*1.2+0.6*(1.55+0.65+1.4)+2.75*1.2+2.75*0.7+0.7*2.75)*10.764</f>
        <v>379.26953999999989</v>
      </c>
      <c r="E120" s="23">
        <v>0</v>
      </c>
      <c r="F120" s="23">
        <f t="shared" si="5"/>
        <v>587.86778699999979</v>
      </c>
      <c r="G120" s="165"/>
      <c r="H120" s="166"/>
      <c r="I120" s="54"/>
      <c r="N120" s="54"/>
    </row>
    <row r="121" spans="1:14" s="53" customFormat="1" x14ac:dyDescent="0.35">
      <c r="A121" s="107">
        <f t="shared" si="6"/>
        <v>10</v>
      </c>
      <c r="B121" s="107"/>
      <c r="C121" s="61" t="s">
        <v>232</v>
      </c>
      <c r="D121" s="23">
        <f>(2.75*3.7+2*3+2.75*1.8+1.2*2+1.2*2+0.6*(1.55+0.65+1.4)+2.75*1.2+0.7*(2.75+2.75+2))*10.764</f>
        <v>394.33913999999993</v>
      </c>
      <c r="E121" s="23">
        <v>0</v>
      </c>
      <c r="F121" s="23">
        <f t="shared" si="5"/>
        <v>611.22566699999993</v>
      </c>
      <c r="G121" s="165"/>
      <c r="H121" s="166"/>
      <c r="I121" s="54"/>
      <c r="N121" s="54"/>
    </row>
    <row r="122" spans="1:14" s="53" customFormat="1" x14ac:dyDescent="0.35">
      <c r="A122" s="107">
        <f t="shared" si="6"/>
        <v>11</v>
      </c>
      <c r="B122" s="107"/>
      <c r="C122" s="61" t="s">
        <v>232</v>
      </c>
      <c r="D122" s="23">
        <f t="shared" ref="D122:D123" si="7">(2.75*3.7+2*3+2.75*1.8+1.2*2+1.2*2+0.6*(1.55+0.65+1.4)+2.75*1.2+0.7*(2.75+2.75+2))*10.764</f>
        <v>394.33913999999993</v>
      </c>
      <c r="E122" s="23">
        <v>0</v>
      </c>
      <c r="F122" s="23">
        <f t="shared" si="5"/>
        <v>611.22566699999993</v>
      </c>
      <c r="G122" s="165"/>
      <c r="H122" s="166"/>
      <c r="I122" s="54"/>
      <c r="N122" s="54"/>
    </row>
    <row r="123" spans="1:14" s="53" customFormat="1" x14ac:dyDescent="0.35">
      <c r="A123" s="107">
        <f t="shared" si="6"/>
        <v>12</v>
      </c>
      <c r="B123" s="107"/>
      <c r="C123" s="61" t="s">
        <v>232</v>
      </c>
      <c r="D123" s="23">
        <f t="shared" si="7"/>
        <v>394.33913999999993</v>
      </c>
      <c r="E123" s="23">
        <v>0</v>
      </c>
      <c r="F123" s="23">
        <f t="shared" ref="F123" si="8">D123*(($F$110)+1)+E123</f>
        <v>611.22566699999993</v>
      </c>
      <c r="G123" s="167"/>
      <c r="H123" s="168"/>
      <c r="I123" s="54"/>
      <c r="N123" s="54"/>
    </row>
    <row r="124" spans="1:14" s="53" customFormat="1" x14ac:dyDescent="0.35">
      <c r="A124" s="108" t="s">
        <v>154</v>
      </c>
      <c r="B124" s="108"/>
      <c r="C124" s="108"/>
      <c r="D124" s="108"/>
      <c r="E124" s="108"/>
      <c r="F124" s="108"/>
      <c r="G124" s="108"/>
      <c r="H124" s="108"/>
      <c r="I124" s="54"/>
      <c r="L124" s="106"/>
      <c r="M124" s="106"/>
    </row>
    <row r="125" spans="1:14" s="53" customFormat="1" x14ac:dyDescent="0.35">
      <c r="A125" s="107">
        <v>1</v>
      </c>
      <c r="B125" s="107"/>
      <c r="C125" s="23" t="s">
        <v>200</v>
      </c>
      <c r="D125" s="23">
        <f>(3.05*3.1+1.95*3.15+2.25*2.1+3.45*2.45+1.5*0.6+1.2*2+2.1*1.25+0.9*3.5+0.6*(1.85+2.25)+3.05*0.6+2.1*0.85+1.8*0.6+0.75*(3.05+0.9+1.7))*10.764</f>
        <v>530.04626999999994</v>
      </c>
      <c r="E125" s="23">
        <v>0</v>
      </c>
      <c r="F125" s="23">
        <f>D125*(($F$110)+1)+E125</f>
        <v>821.57171849999997</v>
      </c>
      <c r="G125" s="163" t="str">
        <f>A124</f>
        <v>2nd Floor</v>
      </c>
      <c r="H125" s="164"/>
      <c r="I125" s="54">
        <f>150*774</f>
        <v>116100</v>
      </c>
      <c r="J125" s="53">
        <f>30*774</f>
        <v>23220</v>
      </c>
      <c r="N125" s="54"/>
    </row>
    <row r="126" spans="1:14" s="53" customFormat="1" x14ac:dyDescent="0.35">
      <c r="A126" s="107">
        <f>A125+1</f>
        <v>2</v>
      </c>
      <c r="B126" s="107"/>
      <c r="C126" s="23" t="s">
        <v>201</v>
      </c>
      <c r="D126" s="23">
        <f>(2.75*3.7+2*3+2.3*3+1.2*2.15+2*1.2+0.6*(1.55+2.3)+3*0.45+0.7*(3.15+2.75))*10.764</f>
        <v>385.83557999999994</v>
      </c>
      <c r="E126" s="23">
        <v>0</v>
      </c>
      <c r="F126" s="23">
        <f t="shared" ref="F126:F136" si="9">D126*(($F$110)+1)+E126</f>
        <v>598.04514899999992</v>
      </c>
      <c r="G126" s="165"/>
      <c r="H126" s="166"/>
      <c r="I126" s="54"/>
      <c r="N126" s="54"/>
    </row>
    <row r="127" spans="1:14" s="53" customFormat="1" x14ac:dyDescent="0.35">
      <c r="A127" s="107">
        <f>A126+1</f>
        <v>3</v>
      </c>
      <c r="B127" s="107"/>
      <c r="C127" s="23" t="s">
        <v>201</v>
      </c>
      <c r="D127" s="23">
        <f>(3.7*2.75+3*2+2.75*1.8+2*1.2+2*1.2+0.6*(1.65+0.65+1.4)+2.75*1.2+0.75*(2.75+2.75))*10.764</f>
        <v>382.87547999999992</v>
      </c>
      <c r="E127" s="23">
        <f>(7.9*2+0.5*4.2*2+5*2.7)*10.764</f>
        <v>360.59399999999999</v>
      </c>
      <c r="F127" s="23">
        <f t="shared" si="9"/>
        <v>954.05099399999995</v>
      </c>
      <c r="G127" s="165"/>
      <c r="H127" s="166"/>
      <c r="I127" s="54"/>
      <c r="N127" s="54"/>
    </row>
    <row r="128" spans="1:14" s="53" customFormat="1" x14ac:dyDescent="0.35">
      <c r="A128" s="107">
        <f t="shared" ref="A128:A130" si="10">A127+1</f>
        <v>4</v>
      </c>
      <c r="B128" s="107"/>
      <c r="C128" s="23" t="s">
        <v>201</v>
      </c>
      <c r="D128" s="23">
        <f t="shared" ref="D128:D129" si="11">(3.7*2.75+3*2+2.75*1.8+2*1.2+2*1.2+0.6*(1.65+0.65+1.4)+2.75*1.2+0.75*(2.75+2.75))*10.764</f>
        <v>382.87547999999992</v>
      </c>
      <c r="E128" s="23">
        <f>(8*2)*10.764</f>
        <v>172.22399999999999</v>
      </c>
      <c r="F128" s="23">
        <f t="shared" si="9"/>
        <v>765.68099399999983</v>
      </c>
      <c r="G128" s="165"/>
      <c r="H128" s="166"/>
      <c r="I128" s="54"/>
      <c r="N128" s="54"/>
    </row>
    <row r="129" spans="1:16" s="53" customFormat="1" x14ac:dyDescent="0.35">
      <c r="A129" s="107">
        <f t="shared" si="10"/>
        <v>5</v>
      </c>
      <c r="B129" s="107"/>
      <c r="C129" s="23" t="s">
        <v>201</v>
      </c>
      <c r="D129" s="23">
        <f t="shared" si="11"/>
        <v>382.87547999999992</v>
      </c>
      <c r="E129" s="23">
        <f>(8*2)*10.764</f>
        <v>172.22399999999999</v>
      </c>
      <c r="F129" s="23">
        <f t="shared" si="9"/>
        <v>765.68099399999983</v>
      </c>
      <c r="G129" s="165"/>
      <c r="H129" s="166"/>
      <c r="I129" s="54"/>
      <c r="N129" s="54"/>
    </row>
    <row r="130" spans="1:16" s="53" customFormat="1" x14ac:dyDescent="0.35">
      <c r="A130" s="107">
        <f t="shared" si="10"/>
        <v>6</v>
      </c>
      <c r="B130" s="107"/>
      <c r="C130" s="23" t="s">
        <v>200</v>
      </c>
      <c r="D130" s="23">
        <f>(3*3.2+3.15*2.1+2.2*2.45+2.4*2.9+2.15*0.9+2.1*1.25+2.1*1.25+0.6*(2+1.75+2.2+2.4)+0.7*3.2+2.45*0.55+2*0.75+0.75*(3.2+2.6+2.15))*10.764</f>
        <v>557.68283999999994</v>
      </c>
      <c r="E130" s="23">
        <f>(11*2+2.5*1.2+1.8*1.2)*10.764</f>
        <v>292.35023999999999</v>
      </c>
      <c r="F130" s="23">
        <f t="shared" si="9"/>
        <v>1156.7586419999998</v>
      </c>
      <c r="G130" s="165"/>
      <c r="H130" s="166"/>
      <c r="I130" s="54"/>
      <c r="N130" s="54"/>
    </row>
    <row r="131" spans="1:16" s="53" customFormat="1" x14ac:dyDescent="0.35">
      <c r="A131" s="107">
        <f>A130+1</f>
        <v>7</v>
      </c>
      <c r="B131" s="107"/>
      <c r="C131" s="23" t="s">
        <v>200</v>
      </c>
      <c r="D131" s="23">
        <f>(3*3.2+3.7*2.1+3.2*2.75+1.25*2.1+2.3*2.75+1.25*1.05+0.9*1.05+1.25*2.1+0.6*(2.4+2.4+2)+0.7*3.2+0.7*(1.95+1.6))*10.764</f>
        <v>525.36392999999998</v>
      </c>
      <c r="E131" s="23">
        <v>0</v>
      </c>
      <c r="F131" s="23">
        <f t="shared" si="9"/>
        <v>814.31409150000002</v>
      </c>
      <c r="G131" s="165"/>
      <c r="H131" s="166"/>
      <c r="I131" s="54"/>
      <c r="N131" s="54"/>
    </row>
    <row r="132" spans="1:16" s="53" customFormat="1" x14ac:dyDescent="0.35">
      <c r="A132" s="107">
        <f>A131+1</f>
        <v>8</v>
      </c>
      <c r="B132" s="107"/>
      <c r="C132" s="23" t="s">
        <v>201</v>
      </c>
      <c r="D132" s="23">
        <f>(3.7*2.75+3*2+2.75*1.8+2*1.2+2*1.2+0.6*(1.55+0.65+1.4)+2.75*1.2+2.75*0.7+0.7*2.75)*10.764</f>
        <v>379.26953999999989</v>
      </c>
      <c r="E132" s="23">
        <v>0</v>
      </c>
      <c r="F132" s="23">
        <f t="shared" si="9"/>
        <v>587.86778699999979</v>
      </c>
      <c r="G132" s="165"/>
      <c r="H132" s="166"/>
      <c r="I132" s="54"/>
      <c r="N132" s="54"/>
    </row>
    <row r="133" spans="1:16" s="53" customFormat="1" x14ac:dyDescent="0.35">
      <c r="A133" s="107">
        <f t="shared" ref="A133:A136" si="12">A132+1</f>
        <v>9</v>
      </c>
      <c r="B133" s="107"/>
      <c r="C133" s="23" t="s">
        <v>201</v>
      </c>
      <c r="D133" s="23">
        <f>(3.7*2.75+3*2+2.75*1.8+2*1.2+2*1.2+0.6*(1.55+0.65+1.4)+2.75*1.2+2.75*0.7+0.7*2.75)*10.764</f>
        <v>379.26953999999989</v>
      </c>
      <c r="E133" s="23">
        <v>0</v>
      </c>
      <c r="F133" s="23">
        <f t="shared" si="9"/>
        <v>587.86778699999979</v>
      </c>
      <c r="G133" s="165"/>
      <c r="H133" s="166"/>
      <c r="I133" s="54"/>
      <c r="N133" s="54"/>
    </row>
    <row r="134" spans="1:16" s="53" customFormat="1" x14ac:dyDescent="0.35">
      <c r="A134" s="107">
        <f t="shared" si="12"/>
        <v>10</v>
      </c>
      <c r="B134" s="107"/>
      <c r="C134" s="23" t="s">
        <v>201</v>
      </c>
      <c r="D134" s="23">
        <f t="shared" ref="D134:D136" si="13">(2.75*3.7+2*3+2.75*1.8+1.2*2+1.2*2+0.6*(1.55+0.65+1.4)+2.75*1.2+0.7*(2.75+2.75+2))*10.764</f>
        <v>394.33913999999993</v>
      </c>
      <c r="E134" s="23">
        <v>0</v>
      </c>
      <c r="F134" s="23">
        <f t="shared" si="9"/>
        <v>611.22566699999993</v>
      </c>
      <c r="G134" s="165"/>
      <c r="H134" s="166"/>
      <c r="I134" s="54"/>
      <c r="N134" s="54"/>
    </row>
    <row r="135" spans="1:16" s="53" customFormat="1" x14ac:dyDescent="0.35">
      <c r="A135" s="107">
        <f t="shared" si="12"/>
        <v>11</v>
      </c>
      <c r="B135" s="107"/>
      <c r="C135" s="23" t="s">
        <v>201</v>
      </c>
      <c r="D135" s="23">
        <f t="shared" si="13"/>
        <v>394.33913999999993</v>
      </c>
      <c r="E135" s="23">
        <v>0</v>
      </c>
      <c r="F135" s="23">
        <f t="shared" si="9"/>
        <v>611.22566699999993</v>
      </c>
      <c r="G135" s="165"/>
      <c r="H135" s="166"/>
      <c r="I135" s="54"/>
      <c r="N135" s="54"/>
    </row>
    <row r="136" spans="1:16" s="53" customFormat="1" x14ac:dyDescent="0.35">
      <c r="A136" s="107">
        <f t="shared" si="12"/>
        <v>12</v>
      </c>
      <c r="B136" s="107"/>
      <c r="C136" s="23" t="s">
        <v>201</v>
      </c>
      <c r="D136" s="23">
        <f t="shared" si="13"/>
        <v>394.33913999999993</v>
      </c>
      <c r="E136" s="23">
        <v>0</v>
      </c>
      <c r="F136" s="23">
        <f t="shared" si="9"/>
        <v>611.22566699999993</v>
      </c>
      <c r="G136" s="167"/>
      <c r="H136" s="168"/>
      <c r="I136" s="54"/>
      <c r="N136" s="54"/>
    </row>
    <row r="137" spans="1:16" s="53" customFormat="1" x14ac:dyDescent="0.35">
      <c r="A137" s="126" t="s">
        <v>264</v>
      </c>
      <c r="B137" s="127"/>
      <c r="C137" s="127"/>
      <c r="D137" s="127"/>
      <c r="E137" s="127"/>
      <c r="F137" s="127"/>
      <c r="G137" s="127"/>
      <c r="H137" s="128"/>
      <c r="I137" s="54"/>
    </row>
    <row r="138" spans="1:16" s="53" customFormat="1" ht="15.75" customHeight="1" x14ac:dyDescent="0.35">
      <c r="A138" s="109">
        <v>1</v>
      </c>
      <c r="B138" s="110"/>
      <c r="C138" s="23" t="s">
        <v>200</v>
      </c>
      <c r="D138" s="23">
        <f>(3.05*3.1+1.95*3.15+2.25*2.1+3.45*2.45+1.5*0.6+1.2*2+2.1*1.25+0.9*3.5+0.6*(1.85+2.25)+3.05*0.6+2.1*0.85+1.8*0.6+0.75*(3.05+0.9+1.7))*10.764</f>
        <v>530.04626999999994</v>
      </c>
      <c r="E138" s="23">
        <v>0</v>
      </c>
      <c r="F138" s="23">
        <f t="shared" ref="F138:F142" si="14">D138*(($F$110)+1)+E138</f>
        <v>821.57171849999997</v>
      </c>
      <c r="G138" s="163" t="str">
        <f>A137</f>
        <v>3rd to 7th &amp; 9th &amp; 10th Floor</v>
      </c>
      <c r="H138" s="164"/>
      <c r="I138" s="54"/>
      <c r="K138" s="53">
        <f>5288600/F138</f>
        <v>6437.1738716319996</v>
      </c>
      <c r="N138" s="53" t="str">
        <f t="shared" ref="N138:N143" ca="1" si="15">O138&amp;""&amp;" to "&amp;""&amp;P138</f>
        <v>301 to 1001</v>
      </c>
      <c r="O138" s="53">
        <v>301</v>
      </c>
      <c r="P138" s="53">
        <f ca="1">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",LEN(A137))),LEN(A137)))))))/10))*100+1</f>
        <v>1001</v>
      </c>
    </row>
    <row r="139" spans="1:16" s="53" customFormat="1" x14ac:dyDescent="0.35">
      <c r="A139" s="109">
        <v>2</v>
      </c>
      <c r="B139" s="110"/>
      <c r="C139" s="23" t="s">
        <v>201</v>
      </c>
      <c r="D139" s="23">
        <f>(2.75*3.7+2*3+2.3*3+1.2*2.15+2*1.2+0.6*(1.55+2.3)+3*0.45+0.7*(3.15+2.75))*10.764</f>
        <v>385.83557999999994</v>
      </c>
      <c r="E139" s="23">
        <v>0</v>
      </c>
      <c r="F139" s="23">
        <f t="shared" si="14"/>
        <v>598.04514899999992</v>
      </c>
      <c r="G139" s="165"/>
      <c r="H139" s="166"/>
      <c r="I139" s="54"/>
      <c r="N139" s="53" t="str">
        <f t="shared" ca="1" si="15"/>
        <v>302 to 1002</v>
      </c>
      <c r="O139" s="53">
        <f t="shared" ref="O139:P142" si="16">O138+1</f>
        <v>302</v>
      </c>
      <c r="P139" s="53">
        <f t="shared" ca="1" si="16"/>
        <v>1002</v>
      </c>
    </row>
    <row r="140" spans="1:16" s="53" customFormat="1" ht="15.75" customHeight="1" x14ac:dyDescent="0.35">
      <c r="A140" s="109">
        <v>3</v>
      </c>
      <c r="B140" s="110"/>
      <c r="C140" s="23" t="s">
        <v>201</v>
      </c>
      <c r="D140" s="23">
        <f>(3.7*2.75+3*2+2.75*1.8+2*1.2+2*1.2+0.6*(1.55+0.65+1.4)+2.75*1.2+0.75*(2.75+2.75))*10.764</f>
        <v>382.22963999999996</v>
      </c>
      <c r="E140" s="23">
        <v>0</v>
      </c>
      <c r="F140" s="23">
        <f>D140*(($F$110)+1)+E140/3</f>
        <v>592.45594199999994</v>
      </c>
      <c r="G140" s="165"/>
      <c r="H140" s="166"/>
      <c r="I140" s="54"/>
      <c r="N140" s="53" t="str">
        <f t="shared" ca="1" si="15"/>
        <v>303 to 1003</v>
      </c>
      <c r="O140" s="53">
        <f t="shared" si="16"/>
        <v>303</v>
      </c>
      <c r="P140" s="53">
        <f t="shared" ca="1" si="16"/>
        <v>1003</v>
      </c>
    </row>
    <row r="141" spans="1:16" s="53" customFormat="1" ht="15.75" customHeight="1" x14ac:dyDescent="0.35">
      <c r="A141" s="109">
        <v>4</v>
      </c>
      <c r="B141" s="110"/>
      <c r="C141" s="23" t="s">
        <v>201</v>
      </c>
      <c r="D141" s="23">
        <f t="shared" ref="D141:D142" si="17">(3.7*2.75+3*2+2.75*1.8+2*1.2+2*1.2+0.6*(1.65+0.65+1.4)+2.75*1.2+0.75*(2.75+2.75))*10.764</f>
        <v>382.87547999999992</v>
      </c>
      <c r="E141" s="23">
        <v>0</v>
      </c>
      <c r="F141" s="23">
        <f>D141*(($F$110)+1)+E141</f>
        <v>593.4569939999999</v>
      </c>
      <c r="G141" s="165"/>
      <c r="H141" s="166"/>
      <c r="I141" s="54"/>
      <c r="N141" s="53" t="str">
        <f t="shared" ca="1" si="15"/>
        <v>304 to 1004</v>
      </c>
      <c r="O141" s="53">
        <f t="shared" si="16"/>
        <v>304</v>
      </c>
      <c r="P141" s="53">
        <f t="shared" ca="1" si="16"/>
        <v>1004</v>
      </c>
    </row>
    <row r="142" spans="1:16" s="53" customFormat="1" ht="15.75" customHeight="1" x14ac:dyDescent="0.35">
      <c r="A142" s="109">
        <v>5</v>
      </c>
      <c r="B142" s="110"/>
      <c r="C142" s="23" t="s">
        <v>201</v>
      </c>
      <c r="D142" s="23">
        <f t="shared" si="17"/>
        <v>382.87547999999992</v>
      </c>
      <c r="E142" s="23">
        <v>0</v>
      </c>
      <c r="F142" s="23">
        <f t="shared" si="14"/>
        <v>593.4569939999999</v>
      </c>
      <c r="G142" s="165"/>
      <c r="H142" s="166"/>
      <c r="I142" s="54">
        <v>4003515</v>
      </c>
      <c r="J142" s="54">
        <f>I142/F142</f>
        <v>6746.0911919086775</v>
      </c>
      <c r="N142" s="53" t="str">
        <f t="shared" ca="1" si="15"/>
        <v>305 to 1005</v>
      </c>
      <c r="O142" s="53">
        <f t="shared" si="16"/>
        <v>305</v>
      </c>
      <c r="P142" s="53">
        <f t="shared" ca="1" si="16"/>
        <v>1005</v>
      </c>
    </row>
    <row r="143" spans="1:16" s="53" customFormat="1" ht="15.75" customHeight="1" x14ac:dyDescent="0.35">
      <c r="A143" s="109">
        <v>6</v>
      </c>
      <c r="B143" s="110"/>
      <c r="C143" s="23" t="s">
        <v>200</v>
      </c>
      <c r="D143" s="23">
        <f>(3*3.2+3.15*2.1+2.2*2.45+2.4*2.9+2.15*0.9+2.1*1.25+2.1*1.25+0.6*(2+1.75+2.2+2.4)+0.7*3.2+2.45*0.55+2*0.75+0.75*(3.2+2.6+2.15))*10.764</f>
        <v>557.68283999999994</v>
      </c>
      <c r="E143" s="23">
        <v>0</v>
      </c>
      <c r="F143" s="23">
        <f t="shared" ref="F143:F145" si="18">D143*(($F$110)+1)+E143</f>
        <v>864.40840199999991</v>
      </c>
      <c r="G143" s="165"/>
      <c r="H143" s="166"/>
      <c r="I143" s="54">
        <v>5562000</v>
      </c>
      <c r="J143" s="54">
        <f>I143/F143</f>
        <v>6434.4585118921605</v>
      </c>
      <c r="K143" s="53">
        <f>5747400/F143</f>
        <v>6648.9404622885659</v>
      </c>
      <c r="N143" s="53" t="str">
        <f t="shared" ca="1" si="15"/>
        <v>306 to 1006</v>
      </c>
      <c r="O143" s="53">
        <f t="shared" ref="O143:P143" si="19">O142+1</f>
        <v>306</v>
      </c>
      <c r="P143" s="53">
        <f t="shared" ca="1" si="19"/>
        <v>1006</v>
      </c>
    </row>
    <row r="144" spans="1:16" s="53" customFormat="1" ht="15.75" customHeight="1" x14ac:dyDescent="0.35">
      <c r="A144" s="109">
        <v>7</v>
      </c>
      <c r="B144" s="110"/>
      <c r="C144" s="23" t="s">
        <v>200</v>
      </c>
      <c r="D144" s="23">
        <f>(3*3.2+3.7*2.1+3.2*2.75+1.25*2.1+2.3*2.75+1.25*1.05+0.9*1.05+1.25*2.1+0.6*(2.4+2.4+2)+0.7*3.2+0.7*(1.95+1.6))*10.764</f>
        <v>525.36392999999998</v>
      </c>
      <c r="E144" s="23">
        <v>0</v>
      </c>
      <c r="F144" s="23">
        <f t="shared" si="18"/>
        <v>814.31409150000002</v>
      </c>
      <c r="G144" s="165"/>
      <c r="H144" s="166"/>
      <c r="I144" s="54">
        <f>4600000/F144</f>
        <v>5648.9259464079896</v>
      </c>
      <c r="K144" s="53">
        <f>5580000/F144</f>
        <v>6852.3927784688221</v>
      </c>
      <c r="N144" s="53" t="str">
        <f t="shared" ref="N144:N148" ca="1" si="20">O144&amp;""&amp;" to "&amp;""&amp;P144</f>
        <v>307 to 1007</v>
      </c>
      <c r="O144" s="53">
        <f t="shared" ref="O144:P144" si="21">O143+1</f>
        <v>307</v>
      </c>
      <c r="P144" s="53">
        <f t="shared" ca="1" si="21"/>
        <v>1007</v>
      </c>
    </row>
    <row r="145" spans="1:18" s="53" customFormat="1" ht="15.75" customHeight="1" x14ac:dyDescent="0.35">
      <c r="A145" s="109">
        <v>8</v>
      </c>
      <c r="B145" s="110"/>
      <c r="C145" s="23" t="s">
        <v>201</v>
      </c>
      <c r="D145" s="23">
        <f>(3.7*2.75+3*2+2.75*1.8+2*1.2+2*1.2+0.6*(1.55+0.65+1.4)+2.75*1.2+2.75*0.7+0.7*2.75)*10.764</f>
        <v>379.26953999999989</v>
      </c>
      <c r="E145" s="23">
        <v>0</v>
      </c>
      <c r="F145" s="23">
        <f t="shared" si="18"/>
        <v>587.86778699999979</v>
      </c>
      <c r="G145" s="165"/>
      <c r="H145" s="166"/>
      <c r="I145" s="54"/>
      <c r="N145" s="53" t="str">
        <f t="shared" ca="1" si="20"/>
        <v>308 to 1008</v>
      </c>
      <c r="O145" s="53">
        <f t="shared" ref="O145:P145" si="22">O144+1</f>
        <v>308</v>
      </c>
      <c r="P145" s="53">
        <f t="shared" ca="1" si="22"/>
        <v>1008</v>
      </c>
    </row>
    <row r="146" spans="1:18" s="53" customFormat="1" ht="15.75" customHeight="1" x14ac:dyDescent="0.35">
      <c r="A146" s="109">
        <v>9</v>
      </c>
      <c r="B146" s="110"/>
      <c r="C146" s="23" t="s">
        <v>201</v>
      </c>
      <c r="D146" s="23">
        <f>(3.7*2.75+3*2+2.75*1.8+2*1.2+2*1.2+0.6*(1.55+0.65+1.4)+2.75*1.2+2.75*0.7+0.7*2.75)*10.764</f>
        <v>379.26953999999989</v>
      </c>
      <c r="E146" s="23">
        <v>0</v>
      </c>
      <c r="F146" s="23">
        <f>D146*(($F$110)+1)+E146</f>
        <v>587.86778699999979</v>
      </c>
      <c r="G146" s="165"/>
      <c r="H146" s="166"/>
      <c r="I146" s="54"/>
      <c r="N146" s="53" t="str">
        <f t="shared" ca="1" si="20"/>
        <v>309 to 1009</v>
      </c>
      <c r="O146" s="53">
        <f t="shared" ref="O146:P146" si="23">O145+1</f>
        <v>309</v>
      </c>
      <c r="P146" s="53">
        <f t="shared" ca="1" si="23"/>
        <v>1009</v>
      </c>
    </row>
    <row r="147" spans="1:18" s="53" customFormat="1" ht="15.75" customHeight="1" x14ac:dyDescent="0.35">
      <c r="A147" s="109">
        <v>10</v>
      </c>
      <c r="B147" s="110"/>
      <c r="C147" s="23" t="s">
        <v>201</v>
      </c>
      <c r="D147" s="23">
        <f t="shared" ref="D147:D149" si="24">(2.75*3.7+2*3+2.75*1.8+1.2*2+1.2*2+0.6*(1.55+0.65+1.4)+2.75*1.2+0.7*(2.75+2.75+2))*10.764</f>
        <v>394.33913999999993</v>
      </c>
      <c r="E147" s="23">
        <v>0</v>
      </c>
      <c r="F147" s="23">
        <f t="shared" ref="F147:F148" si="25">D147*(($F$110)+1)+E147</f>
        <v>611.22566699999993</v>
      </c>
      <c r="G147" s="165"/>
      <c r="H147" s="166"/>
      <c r="I147" s="54">
        <f>2900000/F147</f>
        <v>4744.5651525625481</v>
      </c>
      <c r="N147" s="53" t="str">
        <f t="shared" ca="1" si="20"/>
        <v>310 to 1010</v>
      </c>
      <c r="O147" s="53">
        <f t="shared" ref="O147:P147" si="26">O146+1</f>
        <v>310</v>
      </c>
      <c r="P147" s="53">
        <f t="shared" ca="1" si="26"/>
        <v>1010</v>
      </c>
    </row>
    <row r="148" spans="1:18" s="53" customFormat="1" ht="15.75" customHeight="1" x14ac:dyDescent="0.35">
      <c r="A148" s="109">
        <v>11</v>
      </c>
      <c r="B148" s="110"/>
      <c r="C148" s="23" t="s">
        <v>201</v>
      </c>
      <c r="D148" s="23">
        <f t="shared" si="24"/>
        <v>394.33913999999993</v>
      </c>
      <c r="E148" s="23">
        <v>0</v>
      </c>
      <c r="F148" s="23">
        <f t="shared" si="25"/>
        <v>611.22566699999993</v>
      </c>
      <c r="G148" s="165"/>
      <c r="H148" s="166"/>
      <c r="I148" s="54"/>
      <c r="N148" s="53" t="str">
        <f t="shared" ca="1" si="20"/>
        <v>311 to 1011</v>
      </c>
      <c r="O148" s="53">
        <f t="shared" ref="O148:P149" si="27">O147+1</f>
        <v>311</v>
      </c>
      <c r="P148" s="53">
        <f t="shared" ca="1" si="27"/>
        <v>1011</v>
      </c>
    </row>
    <row r="149" spans="1:18" s="53" customFormat="1" ht="15.75" customHeight="1" x14ac:dyDescent="0.35">
      <c r="A149" s="109">
        <v>12</v>
      </c>
      <c r="B149" s="110"/>
      <c r="C149" s="23" t="s">
        <v>201</v>
      </c>
      <c r="D149" s="23">
        <f t="shared" si="24"/>
        <v>394.33913999999993</v>
      </c>
      <c r="E149" s="23">
        <v>0</v>
      </c>
      <c r="F149" s="23">
        <f t="shared" ref="F149:F150" si="28">D149*(($F$110)+1)+E149</f>
        <v>611.22566699999993</v>
      </c>
      <c r="G149" s="165"/>
      <c r="H149" s="166"/>
      <c r="I149" s="54"/>
      <c r="N149" s="53" t="str">
        <f t="shared" ref="N149:N150" ca="1" si="29">O149&amp;""&amp;" to "&amp;""&amp;P149</f>
        <v>312 to 1012</v>
      </c>
      <c r="O149" s="53">
        <f t="shared" si="27"/>
        <v>312</v>
      </c>
      <c r="P149" s="53">
        <f t="shared" ca="1" si="27"/>
        <v>1012</v>
      </c>
    </row>
    <row r="150" spans="1:18" s="53" customFormat="1" ht="15.75" customHeight="1" x14ac:dyDescent="0.35">
      <c r="A150" s="109">
        <v>13</v>
      </c>
      <c r="B150" s="110"/>
      <c r="C150" s="23" t="s">
        <v>231</v>
      </c>
      <c r="D150" s="23">
        <f>(23.1+4.88)*10.764</f>
        <v>301.17671999999999</v>
      </c>
      <c r="E150" s="23">
        <v>0</v>
      </c>
      <c r="F150" s="23">
        <f t="shared" si="28"/>
        <v>466.823916</v>
      </c>
      <c r="G150" s="165"/>
      <c r="H150" s="166"/>
      <c r="I150" s="54"/>
      <c r="N150" s="53" t="str">
        <f t="shared" ca="1" si="29"/>
        <v>313 to 1013</v>
      </c>
      <c r="O150" s="53">
        <f t="shared" ref="O150:P150" si="30">O149+1</f>
        <v>313</v>
      </c>
      <c r="P150" s="53">
        <f t="shared" ca="1" si="30"/>
        <v>1013</v>
      </c>
    </row>
    <row r="151" spans="1:18" s="53" customFormat="1" ht="15.75" customHeight="1" x14ac:dyDescent="0.35">
      <c r="A151" s="109">
        <v>14</v>
      </c>
      <c r="B151" s="110"/>
      <c r="C151" s="23" t="s">
        <v>231</v>
      </c>
      <c r="D151" s="23">
        <f>(26.46+3.51)*10.764</f>
        <v>322.59707999999995</v>
      </c>
      <c r="E151" s="23">
        <v>0</v>
      </c>
      <c r="F151" s="23">
        <f t="shared" ref="F151" si="31">D151*(($F$110)+1)+E151</f>
        <v>500.02547399999992</v>
      </c>
      <c r="G151" s="167"/>
      <c r="H151" s="168"/>
      <c r="I151" s="54"/>
      <c r="N151" s="53" t="str">
        <f t="shared" ref="N151" ca="1" si="32">O151&amp;""&amp;" to "&amp;""&amp;P151</f>
        <v>314 to 1014</v>
      </c>
      <c r="O151" s="53">
        <f t="shared" ref="O151:P151" si="33">O150+1</f>
        <v>314</v>
      </c>
      <c r="P151" s="53">
        <f t="shared" ca="1" si="33"/>
        <v>1014</v>
      </c>
    </row>
    <row r="152" spans="1:18" s="53" customFormat="1" x14ac:dyDescent="0.35">
      <c r="A152" s="126" t="s">
        <v>218</v>
      </c>
      <c r="B152" s="127"/>
      <c r="C152" s="127"/>
      <c r="D152" s="127"/>
      <c r="E152" s="127"/>
      <c r="F152" s="127"/>
      <c r="G152" s="127"/>
      <c r="H152" s="128"/>
      <c r="I152" s="54"/>
    </row>
    <row r="153" spans="1:18" s="53" customFormat="1" ht="15.75" customHeight="1" x14ac:dyDescent="0.35">
      <c r="A153" s="109">
        <v>1</v>
      </c>
      <c r="B153" s="110" t="s">
        <v>219</v>
      </c>
      <c r="C153" s="23" t="s">
        <v>231</v>
      </c>
      <c r="D153" s="23">
        <f>(27.13)*10.764</f>
        <v>292.02731999999997</v>
      </c>
      <c r="E153" s="23">
        <v>0</v>
      </c>
      <c r="F153" s="23">
        <f t="shared" ref="F153:F154" si="34">D153*(($F$110)+1)+E153</f>
        <v>452.64234599999997</v>
      </c>
      <c r="G153" s="163" t="str">
        <f>A152</f>
        <v>11th to 12th, 14th &amp; 15th Floor</v>
      </c>
      <c r="H153" s="164"/>
      <c r="I153" s="54">
        <f>2282000/F153</f>
        <v>5041.5079812263084</v>
      </c>
      <c r="L153" s="53">
        <f>2280000/453</f>
        <v>5033.1125827814567</v>
      </c>
      <c r="N153" s="53" t="str">
        <f t="shared" ref="N153:N164" ca="1" si="35">O153&amp;""&amp;" to "&amp;""&amp;P153</f>
        <v>301 to 1501</v>
      </c>
      <c r="O153" s="53">
        <v>301</v>
      </c>
      <c r="P153" s="53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1501</v>
      </c>
    </row>
    <row r="154" spans="1:18" s="53" customFormat="1" ht="15.75" customHeight="1" x14ac:dyDescent="0.35">
      <c r="A154" s="109">
        <v>2</v>
      </c>
      <c r="B154" s="110" t="s">
        <v>220</v>
      </c>
      <c r="C154" s="23" t="s">
        <v>232</v>
      </c>
      <c r="D154" s="23">
        <f>(38.71)*10.764</f>
        <v>416.67444</v>
      </c>
      <c r="E154" s="23">
        <v>0</v>
      </c>
      <c r="F154" s="23">
        <f t="shared" si="34"/>
        <v>645.84538199999997</v>
      </c>
      <c r="G154" s="165"/>
      <c r="H154" s="166"/>
      <c r="I154" s="54"/>
      <c r="K154" s="53">
        <f>168480/F154</f>
        <v>260.86739132246362</v>
      </c>
      <c r="L154" s="53">
        <f>K154/10</f>
        <v>26.086739132246361</v>
      </c>
      <c r="N154" s="53" t="str">
        <f t="shared" ca="1" si="35"/>
        <v>302 to 1502</v>
      </c>
      <c r="O154" s="53">
        <f t="shared" ref="O154:P154" si="36">O153+1</f>
        <v>302</v>
      </c>
      <c r="P154" s="53">
        <f t="shared" ca="1" si="36"/>
        <v>1502</v>
      </c>
    </row>
    <row r="155" spans="1:18" s="53" customFormat="1" ht="15.75" customHeight="1" x14ac:dyDescent="0.35">
      <c r="A155" s="109">
        <v>3</v>
      </c>
      <c r="B155" s="110" t="s">
        <v>234</v>
      </c>
      <c r="C155" s="23" t="s">
        <v>232</v>
      </c>
      <c r="D155" s="23">
        <f>(38.25)*10.764</f>
        <v>411.72299999999996</v>
      </c>
      <c r="E155" s="23">
        <v>0</v>
      </c>
      <c r="F155" s="23">
        <f>D155*(($F$110)+1)+E155/3</f>
        <v>638.17064999999991</v>
      </c>
      <c r="G155" s="165"/>
      <c r="H155" s="166"/>
      <c r="I155" s="54"/>
      <c r="N155" s="53" t="str">
        <f t="shared" ca="1" si="35"/>
        <v>303 to 1503</v>
      </c>
      <c r="O155" s="53">
        <f t="shared" ref="O155:P155" si="37">O154+1</f>
        <v>303</v>
      </c>
      <c r="P155" s="53">
        <f t="shared" ca="1" si="37"/>
        <v>1503</v>
      </c>
    </row>
    <row r="156" spans="1:18" s="53" customFormat="1" ht="15.75" customHeight="1" x14ac:dyDescent="0.35">
      <c r="A156" s="109">
        <v>4</v>
      </c>
      <c r="B156" s="110" t="s">
        <v>235</v>
      </c>
      <c r="C156" s="23" t="s">
        <v>232</v>
      </c>
      <c r="D156" s="23">
        <f>(38.25)*10.764</f>
        <v>411.72299999999996</v>
      </c>
      <c r="E156" s="23">
        <v>0</v>
      </c>
      <c r="F156" s="23">
        <f>D156*(($F$110)+1)+E156</f>
        <v>638.17064999999991</v>
      </c>
      <c r="G156" s="165"/>
      <c r="H156" s="166"/>
      <c r="I156" s="54"/>
      <c r="N156" s="53" t="str">
        <f t="shared" ca="1" si="35"/>
        <v>304 to 1504</v>
      </c>
      <c r="O156" s="53">
        <f t="shared" ref="O156:P156" si="38">O155+1</f>
        <v>304</v>
      </c>
      <c r="P156" s="53">
        <f t="shared" ca="1" si="38"/>
        <v>1504</v>
      </c>
    </row>
    <row r="157" spans="1:18" s="53" customFormat="1" ht="15.75" customHeight="1" x14ac:dyDescent="0.35">
      <c r="A157" s="109">
        <v>5</v>
      </c>
      <c r="B157" s="110" t="s">
        <v>236</v>
      </c>
      <c r="C157" s="23" t="s">
        <v>232</v>
      </c>
      <c r="D157" s="23">
        <f>(29.6+5.5+3.3)*10.764</f>
        <v>413.33759999999995</v>
      </c>
      <c r="E157" s="23">
        <v>0</v>
      </c>
      <c r="F157" s="23">
        <f t="shared" ref="F157:F160" si="39">D157*(($F$110)+1)+E157</f>
        <v>640.67327999999998</v>
      </c>
      <c r="G157" s="165"/>
      <c r="H157" s="166"/>
      <c r="I157" s="54">
        <v>4003515</v>
      </c>
      <c r="J157" s="54">
        <f>I157/F157</f>
        <v>6248.9183254216568</v>
      </c>
      <c r="N157" s="53" t="str">
        <f t="shared" ca="1" si="35"/>
        <v>305 to 1505</v>
      </c>
      <c r="O157" s="53">
        <f t="shared" ref="O157:P157" si="40">O156+1</f>
        <v>305</v>
      </c>
      <c r="P157" s="53">
        <f t="shared" ca="1" si="40"/>
        <v>1505</v>
      </c>
    </row>
    <row r="158" spans="1:18" s="53" customFormat="1" ht="15.75" customHeight="1" x14ac:dyDescent="0.35">
      <c r="A158" s="109">
        <v>6</v>
      </c>
      <c r="B158" s="110" t="s">
        <v>237</v>
      </c>
      <c r="C158" s="23" t="s">
        <v>233</v>
      </c>
      <c r="D158" s="23">
        <f>(51.41)*10.764</f>
        <v>553.37723999999992</v>
      </c>
      <c r="E158" s="23">
        <v>0</v>
      </c>
      <c r="F158" s="23">
        <f t="shared" si="39"/>
        <v>857.73472199999992</v>
      </c>
      <c r="G158" s="165"/>
      <c r="H158" s="166"/>
      <c r="I158" s="54">
        <v>5562000</v>
      </c>
      <c r="J158" s="54">
        <f>I158/F158</f>
        <v>6484.5223789366437</v>
      </c>
      <c r="L158" s="53">
        <f>5747400/F158</f>
        <v>6700.6731249011982</v>
      </c>
      <c r="N158" s="53" t="str">
        <f t="shared" ca="1" si="35"/>
        <v>306 to 1506</v>
      </c>
      <c r="O158" s="53">
        <f t="shared" ref="O158:P158" si="41">O157+1</f>
        <v>306</v>
      </c>
      <c r="P158" s="53">
        <f t="shared" ca="1" si="41"/>
        <v>1506</v>
      </c>
      <c r="R158" s="53">
        <f>4414000/F158</f>
        <v>5146.1132291669082</v>
      </c>
    </row>
    <row r="159" spans="1:18" s="53" customFormat="1" ht="15.75" customHeight="1" x14ac:dyDescent="0.35">
      <c r="A159" s="109">
        <v>7</v>
      </c>
      <c r="B159" s="110" t="s">
        <v>238</v>
      </c>
      <c r="C159" s="23" t="s">
        <v>233</v>
      </c>
      <c r="D159" s="23">
        <f>55.21*10.764</f>
        <v>594.28044</v>
      </c>
      <c r="E159" s="23">
        <v>0</v>
      </c>
      <c r="F159" s="23">
        <f t="shared" si="39"/>
        <v>921.134682</v>
      </c>
      <c r="G159" s="165"/>
      <c r="H159" s="166"/>
      <c r="I159" s="54"/>
      <c r="L159" s="53">
        <f>6026400/F159</f>
        <v>6542.3657558037748</v>
      </c>
      <c r="N159" s="53" t="str">
        <f t="shared" ca="1" si="35"/>
        <v>307 to 1507</v>
      </c>
      <c r="O159" s="53">
        <f t="shared" ref="O159:P159" si="42">O158+1</f>
        <v>307</v>
      </c>
      <c r="P159" s="53">
        <f t="shared" ca="1" si="42"/>
        <v>1507</v>
      </c>
    </row>
    <row r="160" spans="1:18" s="53" customFormat="1" ht="15.75" customHeight="1" x14ac:dyDescent="0.35">
      <c r="A160" s="109">
        <v>8</v>
      </c>
      <c r="B160" s="110" t="s">
        <v>239</v>
      </c>
      <c r="C160" s="23" t="s">
        <v>232</v>
      </c>
      <c r="D160" s="23">
        <f>(40.02+2.75+1.65)*10.764</f>
        <v>478.13687999999996</v>
      </c>
      <c r="E160" s="23">
        <v>0</v>
      </c>
      <c r="F160" s="23">
        <f t="shared" si="39"/>
        <v>741.11216400000001</v>
      </c>
      <c r="G160" s="165"/>
      <c r="H160" s="166"/>
      <c r="I160" s="54"/>
      <c r="N160" s="53" t="str">
        <f t="shared" ca="1" si="35"/>
        <v>308 to 1508</v>
      </c>
      <c r="O160" s="53">
        <f t="shared" ref="O160:P160" si="43">O159+1</f>
        <v>308</v>
      </c>
      <c r="P160" s="53">
        <f t="shared" ca="1" si="43"/>
        <v>1508</v>
      </c>
    </row>
    <row r="161" spans="1:16" s="53" customFormat="1" ht="15.75" customHeight="1" x14ac:dyDescent="0.35">
      <c r="A161" s="109">
        <v>9</v>
      </c>
      <c r="B161" s="110" t="s">
        <v>240</v>
      </c>
      <c r="C161" s="23" t="s">
        <v>232</v>
      </c>
      <c r="D161" s="23">
        <f>(40.02+2.75+1.65)*10.764</f>
        <v>478.13687999999996</v>
      </c>
      <c r="E161" s="23">
        <v>0</v>
      </c>
      <c r="F161" s="23">
        <f>D161*(($F$110)+1)+E161</f>
        <v>741.11216400000001</v>
      </c>
      <c r="G161" s="165"/>
      <c r="H161" s="166"/>
      <c r="I161" s="54"/>
      <c r="N161" s="53" t="str">
        <f t="shared" ca="1" si="35"/>
        <v>309 to 1509</v>
      </c>
      <c r="O161" s="53">
        <f t="shared" ref="O161:P161" si="44">O160+1</f>
        <v>309</v>
      </c>
      <c r="P161" s="53">
        <f t="shared" ca="1" si="44"/>
        <v>1509</v>
      </c>
    </row>
    <row r="162" spans="1:16" s="53" customFormat="1" ht="15.75" customHeight="1" x14ac:dyDescent="0.35">
      <c r="A162" s="109">
        <v>10</v>
      </c>
      <c r="B162" s="110" t="s">
        <v>241</v>
      </c>
      <c r="C162" s="23" t="s">
        <v>232</v>
      </c>
      <c r="D162" s="23">
        <f>(31.34+5.5+3.3)*10.764</f>
        <v>432.06695999999999</v>
      </c>
      <c r="E162" s="23">
        <v>0</v>
      </c>
      <c r="F162" s="23">
        <f t="shared" ref="F162:F167" si="45">D162*(($F$110)+1)+E162</f>
        <v>669.70378800000003</v>
      </c>
      <c r="G162" s="165"/>
      <c r="H162" s="166"/>
      <c r="I162" s="54"/>
      <c r="N162" s="53" t="str">
        <f t="shared" ca="1" si="35"/>
        <v>310 to 1510</v>
      </c>
      <c r="O162" s="53">
        <f t="shared" ref="O162:P162" si="46">O161+1</f>
        <v>310</v>
      </c>
      <c r="P162" s="53">
        <f t="shared" ca="1" si="46"/>
        <v>1510</v>
      </c>
    </row>
    <row r="163" spans="1:16" s="53" customFormat="1" ht="15.75" customHeight="1" x14ac:dyDescent="0.35">
      <c r="A163" s="109">
        <v>11</v>
      </c>
      <c r="B163" s="110" t="s">
        <v>242</v>
      </c>
      <c r="C163" s="23" t="s">
        <v>232</v>
      </c>
      <c r="D163" s="23">
        <f>(36.03+2.75+1.65)*10.764</f>
        <v>435.18851999999998</v>
      </c>
      <c r="E163" s="23">
        <v>0</v>
      </c>
      <c r="F163" s="23">
        <f t="shared" si="45"/>
        <v>674.54220599999996</v>
      </c>
      <c r="G163" s="165"/>
      <c r="H163" s="166"/>
      <c r="I163" s="54"/>
      <c r="N163" s="53" t="str">
        <f t="shared" ca="1" si="35"/>
        <v>311 to 1511</v>
      </c>
      <c r="O163" s="53">
        <f t="shared" ref="O163:P163" si="47">O162+1</f>
        <v>311</v>
      </c>
      <c r="P163" s="53">
        <f t="shared" ca="1" si="47"/>
        <v>1511</v>
      </c>
    </row>
    <row r="164" spans="1:16" s="53" customFormat="1" ht="15.75" customHeight="1" x14ac:dyDescent="0.35">
      <c r="A164" s="109">
        <v>12</v>
      </c>
      <c r="B164" s="110" t="s">
        <v>243</v>
      </c>
      <c r="C164" s="23" t="s">
        <v>232</v>
      </c>
      <c r="D164" s="23">
        <f>(36.03+2.75+1.65)*10.764</f>
        <v>435.18851999999998</v>
      </c>
      <c r="E164" s="23">
        <v>0</v>
      </c>
      <c r="F164" s="23">
        <f t="shared" si="45"/>
        <v>674.54220599999996</v>
      </c>
      <c r="G164" s="165"/>
      <c r="H164" s="166"/>
      <c r="I164" s="54"/>
      <c r="N164" s="53" t="str">
        <f t="shared" ca="1" si="35"/>
        <v>312 to 1512</v>
      </c>
      <c r="O164" s="53">
        <f t="shared" ref="O164:P164" si="48">O163+1</f>
        <v>312</v>
      </c>
      <c r="P164" s="53">
        <f t="shared" ca="1" si="48"/>
        <v>1512</v>
      </c>
    </row>
    <row r="165" spans="1:16" s="53" customFormat="1" ht="15.75" customHeight="1" x14ac:dyDescent="0.35">
      <c r="A165" s="109">
        <v>13</v>
      </c>
      <c r="B165" s="110" t="s">
        <v>244</v>
      </c>
      <c r="C165" s="23" t="s">
        <v>231</v>
      </c>
      <c r="D165" s="23">
        <f>(23.1+4.88)*10.764</f>
        <v>301.17671999999999</v>
      </c>
      <c r="E165" s="23">
        <v>0</v>
      </c>
      <c r="F165" s="23">
        <f t="shared" si="45"/>
        <v>466.823916</v>
      </c>
      <c r="G165" s="165"/>
      <c r="H165" s="166"/>
      <c r="I165" s="54">
        <f>3.05*3.3+2.05*2.6+1*1.2+2.05*1.2+0.9*1.2</f>
        <v>20.134999999999998</v>
      </c>
      <c r="J165" s="53">
        <f>23.1+4.88+4.88</f>
        <v>32.86</v>
      </c>
    </row>
    <row r="166" spans="1:16" s="53" customFormat="1" ht="15.75" customHeight="1" x14ac:dyDescent="0.35">
      <c r="A166" s="109">
        <v>14</v>
      </c>
      <c r="B166" s="110" t="s">
        <v>245</v>
      </c>
      <c r="C166" s="23" t="s">
        <v>231</v>
      </c>
      <c r="D166" s="23">
        <f>(26.46+3.51)*10.764</f>
        <v>322.59707999999995</v>
      </c>
      <c r="E166" s="23">
        <v>0</v>
      </c>
      <c r="F166" s="23">
        <f t="shared" si="45"/>
        <v>500.02547399999992</v>
      </c>
      <c r="G166" s="165"/>
      <c r="H166" s="166"/>
      <c r="I166" s="54">
        <f>3*2</f>
        <v>6</v>
      </c>
    </row>
    <row r="167" spans="1:16" s="53" customFormat="1" ht="15.75" customHeight="1" x14ac:dyDescent="0.35">
      <c r="A167" s="109">
        <v>15</v>
      </c>
      <c r="B167" s="110" t="s">
        <v>259</v>
      </c>
      <c r="C167" s="23" t="s">
        <v>231</v>
      </c>
      <c r="D167" s="23">
        <f>(24.18)*10.764</f>
        <v>260.27351999999996</v>
      </c>
      <c r="E167" s="23">
        <v>0</v>
      </c>
      <c r="F167" s="23">
        <f t="shared" si="45"/>
        <v>403.42395599999998</v>
      </c>
      <c r="G167" s="167"/>
      <c r="H167" s="168"/>
      <c r="I167" s="54">
        <f>I165+I166</f>
        <v>26.134999999999998</v>
      </c>
    </row>
    <row r="168" spans="1:16" s="53" customFormat="1" x14ac:dyDescent="0.35">
      <c r="A168" s="108" t="s">
        <v>257</v>
      </c>
      <c r="B168" s="108"/>
      <c r="C168" s="108"/>
      <c r="D168" s="108"/>
      <c r="E168" s="108"/>
      <c r="F168" s="108"/>
      <c r="G168" s="108"/>
      <c r="H168" s="108"/>
      <c r="I168" s="54"/>
      <c r="L168" s="106"/>
      <c r="M168" s="106"/>
    </row>
    <row r="169" spans="1:16" s="53" customFormat="1" ht="15.75" customHeight="1" x14ac:dyDescent="0.35">
      <c r="A169" s="107">
        <v>1</v>
      </c>
      <c r="B169" s="107"/>
      <c r="C169" s="163" t="s">
        <v>202</v>
      </c>
      <c r="D169" s="169"/>
      <c r="E169" s="169"/>
      <c r="F169" s="164"/>
      <c r="G169" s="163" t="str">
        <f>A168</f>
        <v>8th Floor (Part Refuge Area)</v>
      </c>
      <c r="H169" s="164"/>
      <c r="I169" s="54"/>
      <c r="N169" s="54"/>
    </row>
    <row r="170" spans="1:16" s="53" customFormat="1" x14ac:dyDescent="0.35">
      <c r="A170" s="107">
        <f>A169+1</f>
        <v>2</v>
      </c>
      <c r="B170" s="107"/>
      <c r="C170" s="167"/>
      <c r="D170" s="171"/>
      <c r="E170" s="171"/>
      <c r="F170" s="168"/>
      <c r="G170" s="165"/>
      <c r="H170" s="166"/>
      <c r="I170" s="54"/>
      <c r="N170" s="54"/>
    </row>
    <row r="171" spans="1:16" s="53" customFormat="1" x14ac:dyDescent="0.35">
      <c r="A171" s="107">
        <f>A170+1</f>
        <v>3</v>
      </c>
      <c r="B171" s="107"/>
      <c r="C171" s="23" t="s">
        <v>201</v>
      </c>
      <c r="D171" s="23">
        <f>(3.7*2.75+3*2+2.75*1.8+2*1.2+2*1.2+0.6*(1.65+0.65+1.4)+2.75*1.2+0.75*(2.75+2.75))*10.764</f>
        <v>382.87547999999992</v>
      </c>
      <c r="E171" s="23">
        <v>0</v>
      </c>
      <c r="F171" s="23">
        <f t="shared" ref="F171:F182" si="49">D171*(($F$110)+1)+E171</f>
        <v>593.4569939999999</v>
      </c>
      <c r="G171" s="165"/>
      <c r="H171" s="166"/>
      <c r="I171" s="54"/>
      <c r="N171" s="54"/>
    </row>
    <row r="172" spans="1:16" s="53" customFormat="1" x14ac:dyDescent="0.35">
      <c r="A172" s="107">
        <f t="shared" ref="A172:A174" si="50">A171+1</f>
        <v>4</v>
      </c>
      <c r="B172" s="107"/>
      <c r="C172" s="23" t="s">
        <v>201</v>
      </c>
      <c r="D172" s="23">
        <f t="shared" ref="D172:D173" si="51">(3.7*2.75+3*2+2.75*1.8+2*1.2+2*1.2+0.6*(1.65+0.65+1.4)+2.75*1.2+0.75*(2.75+2.75))*10.764</f>
        <v>382.87547999999992</v>
      </c>
      <c r="E172" s="23">
        <v>0</v>
      </c>
      <c r="F172" s="23">
        <f t="shared" si="49"/>
        <v>593.4569939999999</v>
      </c>
      <c r="G172" s="165"/>
      <c r="H172" s="166"/>
      <c r="I172" s="54"/>
      <c r="N172" s="54"/>
    </row>
    <row r="173" spans="1:16" s="53" customFormat="1" x14ac:dyDescent="0.35">
      <c r="A173" s="107">
        <f t="shared" si="50"/>
        <v>5</v>
      </c>
      <c r="B173" s="107"/>
      <c r="C173" s="23" t="s">
        <v>201</v>
      </c>
      <c r="D173" s="23">
        <f t="shared" si="51"/>
        <v>382.87547999999992</v>
      </c>
      <c r="E173" s="23">
        <v>0</v>
      </c>
      <c r="F173" s="23">
        <f t="shared" si="49"/>
        <v>593.4569939999999</v>
      </c>
      <c r="G173" s="165"/>
      <c r="H173" s="166"/>
      <c r="I173" s="54"/>
      <c r="N173" s="54"/>
    </row>
    <row r="174" spans="1:16" s="53" customFormat="1" x14ac:dyDescent="0.35">
      <c r="A174" s="107">
        <f t="shared" si="50"/>
        <v>6</v>
      </c>
      <c r="B174" s="107"/>
      <c r="C174" s="23" t="s">
        <v>200</v>
      </c>
      <c r="D174" s="23">
        <f>(3*3.2+3.15*2.1+2.2*2.45+2.4*2.9+2.15*0.9+2.1*1.25+2.1*1.25+0.6*(2+1.75+2.2+2.4)+0.7*3.2+2.45*0.55+2*0.75+0.75*(3.2+2.6+2.15))*10.764</f>
        <v>557.68283999999994</v>
      </c>
      <c r="E174" s="23">
        <v>0</v>
      </c>
      <c r="F174" s="23">
        <f t="shared" si="49"/>
        <v>864.40840199999991</v>
      </c>
      <c r="G174" s="165"/>
      <c r="H174" s="166"/>
      <c r="I174" s="54"/>
      <c r="N174" s="54"/>
    </row>
    <row r="175" spans="1:16" s="53" customFormat="1" x14ac:dyDescent="0.35">
      <c r="A175" s="107">
        <f>A174+1</f>
        <v>7</v>
      </c>
      <c r="B175" s="107"/>
      <c r="C175" s="23" t="s">
        <v>200</v>
      </c>
      <c r="D175" s="23">
        <f>(3*3.2+3.7*2.1+3.2*2.75+1.25*2.1+2.3*2.75+1.25*1.05+0.9*1.05+1.25*2.1+0.6*(2.4+2.4+2)+0.7*3.2+0.7*(1.95+1.6))*10.764</f>
        <v>525.36392999999998</v>
      </c>
      <c r="E175" s="23">
        <v>0</v>
      </c>
      <c r="F175" s="23">
        <f t="shared" si="49"/>
        <v>814.31409150000002</v>
      </c>
      <c r="G175" s="165"/>
      <c r="H175" s="166"/>
      <c r="I175" s="54"/>
      <c r="N175" s="54"/>
    </row>
    <row r="176" spans="1:16" s="53" customFormat="1" x14ac:dyDescent="0.35">
      <c r="A176" s="107">
        <f>A175+1</f>
        <v>8</v>
      </c>
      <c r="B176" s="107"/>
      <c r="C176" s="23" t="s">
        <v>201</v>
      </c>
      <c r="D176" s="23">
        <f>(3.7*2.75+3*2+2.75*1.8+2*1.2+2*1.2+0.6*(1.55+0.65+1.4)+2.75*1.2+2.75*0.7+0.7*2.75)*10.764</f>
        <v>379.26953999999989</v>
      </c>
      <c r="E176" s="23">
        <v>0</v>
      </c>
      <c r="F176" s="23">
        <f t="shared" si="49"/>
        <v>587.86778699999979</v>
      </c>
      <c r="G176" s="165"/>
      <c r="H176" s="166"/>
      <c r="I176" s="54"/>
      <c r="N176" s="54"/>
    </row>
    <row r="177" spans="1:16" s="53" customFormat="1" x14ac:dyDescent="0.35">
      <c r="A177" s="107">
        <f t="shared" ref="A177:A182" si="52">A176+1</f>
        <v>9</v>
      </c>
      <c r="B177" s="107"/>
      <c r="C177" s="23" t="s">
        <v>201</v>
      </c>
      <c r="D177" s="23">
        <f>(3.7*2.75+3*2+2.75*1.8+2*1.2+2*1.2+0.6*(1.55+0.65+1.4)+2.75*1.2+2.75*0.7+0.7*2.75)*10.764</f>
        <v>379.26953999999989</v>
      </c>
      <c r="E177" s="23">
        <v>0</v>
      </c>
      <c r="F177" s="23">
        <f t="shared" si="49"/>
        <v>587.86778699999979</v>
      </c>
      <c r="G177" s="165"/>
      <c r="H177" s="166"/>
      <c r="I177" s="54"/>
      <c r="N177" s="54"/>
    </row>
    <row r="178" spans="1:16" s="53" customFormat="1" x14ac:dyDescent="0.35">
      <c r="A178" s="107">
        <f t="shared" si="52"/>
        <v>10</v>
      </c>
      <c r="B178" s="107"/>
      <c r="C178" s="23" t="s">
        <v>201</v>
      </c>
      <c r="D178" s="23">
        <f t="shared" ref="D178:D180" si="53">(2.75*3.7+2*3+2.75*1.8+1.2*2+1.2*2+0.6*(1.55+0.65+1.4)+2.75*1.2+0.7*(2.75+2.75+2))*10.764</f>
        <v>394.33913999999993</v>
      </c>
      <c r="E178" s="23">
        <v>0</v>
      </c>
      <c r="F178" s="23">
        <f t="shared" si="49"/>
        <v>611.22566699999993</v>
      </c>
      <c r="G178" s="165"/>
      <c r="H178" s="166"/>
      <c r="I178" s="54"/>
      <c r="N178" s="54"/>
    </row>
    <row r="179" spans="1:16" s="53" customFormat="1" x14ac:dyDescent="0.35">
      <c r="A179" s="107">
        <f t="shared" si="52"/>
        <v>11</v>
      </c>
      <c r="B179" s="107"/>
      <c r="C179" s="23" t="s">
        <v>201</v>
      </c>
      <c r="D179" s="23">
        <f t="shared" si="53"/>
        <v>394.33913999999993</v>
      </c>
      <c r="E179" s="23">
        <v>0</v>
      </c>
      <c r="F179" s="23">
        <f t="shared" si="49"/>
        <v>611.22566699999993</v>
      </c>
      <c r="G179" s="165"/>
      <c r="H179" s="166"/>
      <c r="I179" s="54"/>
      <c r="N179" s="54"/>
    </row>
    <row r="180" spans="1:16" s="53" customFormat="1" x14ac:dyDescent="0.35">
      <c r="A180" s="107">
        <f t="shared" si="52"/>
        <v>12</v>
      </c>
      <c r="B180" s="107"/>
      <c r="C180" s="23" t="s">
        <v>201</v>
      </c>
      <c r="D180" s="23">
        <f t="shared" si="53"/>
        <v>394.33913999999993</v>
      </c>
      <c r="E180" s="23">
        <v>0</v>
      </c>
      <c r="F180" s="23">
        <f t="shared" si="49"/>
        <v>611.22566699999993</v>
      </c>
      <c r="G180" s="165"/>
      <c r="H180" s="166"/>
      <c r="I180" s="54"/>
      <c r="N180" s="54"/>
    </row>
    <row r="181" spans="1:16" s="53" customFormat="1" x14ac:dyDescent="0.35">
      <c r="A181" s="107">
        <f t="shared" si="52"/>
        <v>13</v>
      </c>
      <c r="B181" s="107"/>
      <c r="C181" s="23" t="s">
        <v>231</v>
      </c>
      <c r="D181" s="23">
        <f>((3.05*5.3+2.05*2.6+2.05*1.2+1*1.2+0.9*1.2))*10.764</f>
        <v>282.39353999999997</v>
      </c>
      <c r="E181" s="23">
        <v>0</v>
      </c>
      <c r="F181" s="23">
        <f t="shared" si="49"/>
        <v>437.70998699999996</v>
      </c>
      <c r="G181" s="165"/>
      <c r="H181" s="166"/>
      <c r="I181" s="54"/>
      <c r="N181" s="54"/>
    </row>
    <row r="182" spans="1:16" s="53" customFormat="1" x14ac:dyDescent="0.35">
      <c r="A182" s="107">
        <f t="shared" si="52"/>
        <v>14</v>
      </c>
      <c r="B182" s="107"/>
      <c r="C182" s="23" t="s">
        <v>231</v>
      </c>
      <c r="D182" s="23">
        <f>((3.05*5.3+1.4*3.1+2.15*2.8+1.2*2.05))*10.764</f>
        <v>311.99453999999997</v>
      </c>
      <c r="E182" s="23">
        <v>0</v>
      </c>
      <c r="F182" s="23">
        <f t="shared" si="49"/>
        <v>483.59153699999996</v>
      </c>
      <c r="G182" s="167"/>
      <c r="H182" s="168"/>
      <c r="I182" s="54"/>
      <c r="N182" s="54"/>
    </row>
    <row r="183" spans="1:16" s="53" customFormat="1" x14ac:dyDescent="0.35">
      <c r="A183" s="126" t="s">
        <v>256</v>
      </c>
      <c r="B183" s="127"/>
      <c r="C183" s="127"/>
      <c r="D183" s="127"/>
      <c r="E183" s="127"/>
      <c r="F183" s="127"/>
      <c r="G183" s="127"/>
      <c r="H183" s="128"/>
      <c r="I183" s="54"/>
    </row>
    <row r="184" spans="1:16" s="53" customFormat="1" ht="15.75" customHeight="1" x14ac:dyDescent="0.35">
      <c r="A184" s="109">
        <v>1</v>
      </c>
      <c r="B184" s="110" t="s">
        <v>219</v>
      </c>
      <c r="C184" s="109" t="s">
        <v>202</v>
      </c>
      <c r="D184" s="172"/>
      <c r="E184" s="172"/>
      <c r="F184" s="110"/>
      <c r="G184" s="163" t="str">
        <f>A183</f>
        <v>13th, 18th &amp; 23rd Floor (Part Refuge Area)</v>
      </c>
      <c r="H184" s="164"/>
      <c r="I184" s="54"/>
      <c r="K184" s="53" t="s">
        <v>219</v>
      </c>
      <c r="N184" s="53" t="str">
        <f t="shared" ref="N184:N195" ca="1" si="54">O184&amp;""&amp;" to "&amp;""&amp;P184</f>
        <v>301 to 2301</v>
      </c>
      <c r="O184" s="53">
        <v>301</v>
      </c>
      <c r="P184" s="53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2301</v>
      </c>
    </row>
    <row r="185" spans="1:16" s="53" customFormat="1" ht="15.75" customHeight="1" x14ac:dyDescent="0.35">
      <c r="A185" s="109">
        <v>2</v>
      </c>
      <c r="B185" s="110" t="s">
        <v>220</v>
      </c>
      <c r="C185" s="23" t="s">
        <v>232</v>
      </c>
      <c r="D185" s="23">
        <f>(38.71)*10.764</f>
        <v>416.67444</v>
      </c>
      <c r="E185" s="23">
        <v>0</v>
      </c>
      <c r="F185" s="23">
        <f t="shared" ref="F185" si="55">D185*(($F$110)+1)+E185</f>
        <v>645.84538199999997</v>
      </c>
      <c r="G185" s="165"/>
      <c r="H185" s="166"/>
      <c r="I185" s="54"/>
      <c r="K185" s="53" t="s">
        <v>220</v>
      </c>
      <c r="N185" s="53" t="str">
        <f t="shared" ca="1" si="54"/>
        <v>302 to 2302</v>
      </c>
      <c r="O185" s="53">
        <f t="shared" ref="O185:P185" si="56">O184+1</f>
        <v>302</v>
      </c>
      <c r="P185" s="53">
        <f t="shared" ca="1" si="56"/>
        <v>2302</v>
      </c>
    </row>
    <row r="186" spans="1:16" s="53" customFormat="1" ht="15.75" customHeight="1" x14ac:dyDescent="0.35">
      <c r="A186" s="109">
        <v>3</v>
      </c>
      <c r="B186" s="110" t="s">
        <v>234</v>
      </c>
      <c r="C186" s="23" t="s">
        <v>232</v>
      </c>
      <c r="D186" s="23">
        <f>(38.25)*10.764</f>
        <v>411.72299999999996</v>
      </c>
      <c r="E186" s="23">
        <v>0</v>
      </c>
      <c r="F186" s="23">
        <f>D186*(($F$110)+1)+E186/3</f>
        <v>638.17064999999991</v>
      </c>
      <c r="G186" s="165"/>
      <c r="H186" s="166"/>
      <c r="I186" s="54"/>
      <c r="K186" s="53" t="s">
        <v>221</v>
      </c>
      <c r="N186" s="53" t="str">
        <f t="shared" ca="1" si="54"/>
        <v>303 to 2303</v>
      </c>
      <c r="O186" s="53">
        <f t="shared" ref="O186:P186" si="57">O185+1</f>
        <v>303</v>
      </c>
      <c r="P186" s="53">
        <f t="shared" ca="1" si="57"/>
        <v>2303</v>
      </c>
    </row>
    <row r="187" spans="1:16" s="53" customFormat="1" ht="15.75" customHeight="1" x14ac:dyDescent="0.35">
      <c r="A187" s="109">
        <v>4</v>
      </c>
      <c r="B187" s="110" t="s">
        <v>235</v>
      </c>
      <c r="C187" s="23" t="s">
        <v>232</v>
      </c>
      <c r="D187" s="59">
        <f>(38.25)*10.764</f>
        <v>411.72299999999996</v>
      </c>
      <c r="E187" s="23">
        <v>0</v>
      </c>
      <c r="F187" s="23">
        <f>D187*(($F$110)+1)+E187</f>
        <v>638.17064999999991</v>
      </c>
      <c r="G187" s="165"/>
      <c r="H187" s="166"/>
      <c r="I187" s="54"/>
      <c r="K187" s="53" t="s">
        <v>222</v>
      </c>
      <c r="N187" s="53" t="str">
        <f t="shared" ca="1" si="54"/>
        <v>304 to 2304</v>
      </c>
      <c r="O187" s="53">
        <f t="shared" ref="O187:P187" si="58">O186+1</f>
        <v>304</v>
      </c>
      <c r="P187" s="53">
        <f t="shared" ca="1" si="58"/>
        <v>2304</v>
      </c>
    </row>
    <row r="188" spans="1:16" s="53" customFormat="1" ht="15.75" customHeight="1" x14ac:dyDescent="0.35">
      <c r="A188" s="109">
        <v>5</v>
      </c>
      <c r="B188" s="110" t="s">
        <v>236</v>
      </c>
      <c r="C188" s="23" t="s">
        <v>232</v>
      </c>
      <c r="D188" s="23">
        <f>(29.6+5.5+3.3)*10.764</f>
        <v>413.33759999999995</v>
      </c>
      <c r="E188" s="23">
        <v>0</v>
      </c>
      <c r="F188" s="23">
        <f t="shared" ref="F188:F191" si="59">D188*(($F$110)+1)+E188</f>
        <v>640.67327999999998</v>
      </c>
      <c r="G188" s="165"/>
      <c r="H188" s="166"/>
      <c r="I188" s="54">
        <v>4003515</v>
      </c>
      <c r="J188" s="54">
        <f>I188/F188</f>
        <v>6248.9183254216568</v>
      </c>
      <c r="K188" s="53" t="s">
        <v>223</v>
      </c>
      <c r="N188" s="53" t="str">
        <f t="shared" ca="1" si="54"/>
        <v>305 to 2305</v>
      </c>
      <c r="O188" s="53">
        <f t="shared" ref="O188:P188" si="60">O187+1</f>
        <v>305</v>
      </c>
      <c r="P188" s="53">
        <f t="shared" ca="1" si="60"/>
        <v>2305</v>
      </c>
    </row>
    <row r="189" spans="1:16" s="53" customFormat="1" ht="15.75" customHeight="1" x14ac:dyDescent="0.35">
      <c r="A189" s="109">
        <v>6</v>
      </c>
      <c r="B189" s="110" t="s">
        <v>237</v>
      </c>
      <c r="C189" s="23" t="s">
        <v>233</v>
      </c>
      <c r="D189" s="23">
        <f>(51.41)*10.764</f>
        <v>553.37723999999992</v>
      </c>
      <c r="E189" s="23">
        <v>0</v>
      </c>
      <c r="F189" s="23">
        <f t="shared" si="59"/>
        <v>857.73472199999992</v>
      </c>
      <c r="G189" s="165"/>
      <c r="H189" s="166"/>
      <c r="I189" s="54">
        <v>5562000</v>
      </c>
      <c r="J189" s="54">
        <f>I189/F189</f>
        <v>6484.5223789366437</v>
      </c>
      <c r="K189" s="53" t="s">
        <v>224</v>
      </c>
      <c r="N189" s="53" t="str">
        <f t="shared" ca="1" si="54"/>
        <v>306 to 2306</v>
      </c>
      <c r="O189" s="53">
        <f t="shared" ref="O189:P189" si="61">O188+1</f>
        <v>306</v>
      </c>
      <c r="P189" s="53">
        <f t="shared" ca="1" si="61"/>
        <v>2306</v>
      </c>
    </row>
    <row r="190" spans="1:16" s="53" customFormat="1" ht="15.75" customHeight="1" x14ac:dyDescent="0.35">
      <c r="A190" s="109">
        <v>7</v>
      </c>
      <c r="B190" s="110" t="s">
        <v>238</v>
      </c>
      <c r="C190" s="23" t="s">
        <v>233</v>
      </c>
      <c r="D190" s="23">
        <f>(55.2)*10.764</f>
        <v>594.17279999999994</v>
      </c>
      <c r="E190" s="23">
        <v>0</v>
      </c>
      <c r="F190" s="23">
        <f t="shared" si="59"/>
        <v>920.96783999999991</v>
      </c>
      <c r="G190" s="165"/>
      <c r="H190" s="166"/>
      <c r="I190" s="54"/>
      <c r="K190" s="53" t="s">
        <v>225</v>
      </c>
      <c r="N190" s="53" t="str">
        <f t="shared" ca="1" si="54"/>
        <v>307 to 2307</v>
      </c>
      <c r="O190" s="53">
        <f t="shared" ref="O190:P190" si="62">O189+1</f>
        <v>307</v>
      </c>
      <c r="P190" s="53">
        <f t="shared" ca="1" si="62"/>
        <v>2307</v>
      </c>
    </row>
    <row r="191" spans="1:16" s="53" customFormat="1" ht="15.75" customHeight="1" x14ac:dyDescent="0.35">
      <c r="A191" s="109">
        <v>8</v>
      </c>
      <c r="B191" s="110" t="s">
        <v>239</v>
      </c>
      <c r="C191" s="23" t="s">
        <v>232</v>
      </c>
      <c r="D191" s="23">
        <f>(40.01+2.75+1.65)*10.764</f>
        <v>478.02923999999996</v>
      </c>
      <c r="E191" s="23">
        <v>0</v>
      </c>
      <c r="F191" s="23">
        <f t="shared" si="59"/>
        <v>740.94532199999992</v>
      </c>
      <c r="G191" s="165"/>
      <c r="H191" s="166"/>
      <c r="I191" s="54"/>
      <c r="K191" s="53" t="s">
        <v>226</v>
      </c>
      <c r="N191" s="53" t="str">
        <f t="shared" ca="1" si="54"/>
        <v>308 to 2308</v>
      </c>
      <c r="O191" s="53">
        <f t="shared" ref="O191:P191" si="63">O190+1</f>
        <v>308</v>
      </c>
      <c r="P191" s="53">
        <f t="shared" ca="1" si="63"/>
        <v>2308</v>
      </c>
    </row>
    <row r="192" spans="1:16" s="53" customFormat="1" ht="15.75" customHeight="1" x14ac:dyDescent="0.35">
      <c r="A192" s="109">
        <v>9</v>
      </c>
      <c r="B192" s="110" t="s">
        <v>240</v>
      </c>
      <c r="C192" s="23" t="s">
        <v>232</v>
      </c>
      <c r="D192" s="59">
        <f>(40.01+2.75+1.65)*10.764</f>
        <v>478.02923999999996</v>
      </c>
      <c r="E192" s="23">
        <v>0</v>
      </c>
      <c r="F192" s="23">
        <f>D192*(($F$110)+1)+E192</f>
        <v>740.94532199999992</v>
      </c>
      <c r="G192" s="165"/>
      <c r="H192" s="166"/>
      <c r="I192" s="54"/>
      <c r="K192" s="53" t="s">
        <v>227</v>
      </c>
      <c r="N192" s="53" t="str">
        <f t="shared" ca="1" si="54"/>
        <v>309 to 2309</v>
      </c>
      <c r="O192" s="53">
        <f t="shared" ref="O192:P192" si="64">O191+1</f>
        <v>309</v>
      </c>
      <c r="P192" s="53">
        <f t="shared" ca="1" si="64"/>
        <v>2309</v>
      </c>
    </row>
    <row r="193" spans="1:18" s="53" customFormat="1" ht="15.75" customHeight="1" x14ac:dyDescent="0.35">
      <c r="A193" s="109">
        <v>10</v>
      </c>
      <c r="B193" s="110" t="s">
        <v>241</v>
      </c>
      <c r="C193" s="23" t="s">
        <v>232</v>
      </c>
      <c r="D193" s="23">
        <f>(31.34+5.5+3.3)*10.764</f>
        <v>432.06695999999999</v>
      </c>
      <c r="E193" s="23">
        <v>0</v>
      </c>
      <c r="F193" s="23">
        <f t="shared" ref="F193:F197" si="65">D193*(($F$110)+1)+E193</f>
        <v>669.70378800000003</v>
      </c>
      <c r="G193" s="165"/>
      <c r="H193" s="166"/>
      <c r="I193" s="54"/>
      <c r="K193" s="53" t="s">
        <v>228</v>
      </c>
      <c r="N193" s="53" t="str">
        <f t="shared" ca="1" si="54"/>
        <v>310 to 2310</v>
      </c>
      <c r="O193" s="53">
        <f t="shared" ref="O193:P193" si="66">O192+1</f>
        <v>310</v>
      </c>
      <c r="P193" s="53">
        <f t="shared" ca="1" si="66"/>
        <v>2310</v>
      </c>
    </row>
    <row r="194" spans="1:18" s="53" customFormat="1" ht="15.75" customHeight="1" x14ac:dyDescent="0.35">
      <c r="A194" s="109">
        <v>11</v>
      </c>
      <c r="B194" s="110" t="s">
        <v>242</v>
      </c>
      <c r="C194" s="23" t="s">
        <v>232</v>
      </c>
      <c r="D194" s="23">
        <f>(36.03+2.75+1.65)*10.764</f>
        <v>435.18851999999998</v>
      </c>
      <c r="E194" s="23">
        <v>0</v>
      </c>
      <c r="F194" s="23">
        <f t="shared" si="65"/>
        <v>674.54220599999996</v>
      </c>
      <c r="G194" s="165"/>
      <c r="H194" s="166"/>
      <c r="I194" s="54"/>
      <c r="K194" s="53" t="s">
        <v>229</v>
      </c>
      <c r="N194" s="53" t="str">
        <f t="shared" ca="1" si="54"/>
        <v>311 to 2311</v>
      </c>
      <c r="O194" s="53">
        <f t="shared" ref="O194:P194" si="67">O193+1</f>
        <v>311</v>
      </c>
      <c r="P194" s="53">
        <f t="shared" ca="1" si="67"/>
        <v>2311</v>
      </c>
    </row>
    <row r="195" spans="1:18" s="53" customFormat="1" ht="15.75" customHeight="1" x14ac:dyDescent="0.35">
      <c r="A195" s="109">
        <v>12</v>
      </c>
      <c r="B195" s="110" t="s">
        <v>243</v>
      </c>
      <c r="C195" s="23" t="s">
        <v>232</v>
      </c>
      <c r="D195" s="59">
        <f>(36.03+2.75+1.65)*10.764</f>
        <v>435.18851999999998</v>
      </c>
      <c r="E195" s="23">
        <v>0</v>
      </c>
      <c r="F195" s="23">
        <f t="shared" si="65"/>
        <v>674.54220599999996</v>
      </c>
      <c r="G195" s="165"/>
      <c r="H195" s="166"/>
      <c r="I195" s="54"/>
      <c r="K195" s="53" t="s">
        <v>230</v>
      </c>
      <c r="N195" s="53" t="str">
        <f t="shared" ca="1" si="54"/>
        <v>312 to 2312</v>
      </c>
      <c r="O195" s="53">
        <f t="shared" ref="O195:P195" si="68">O194+1</f>
        <v>312</v>
      </c>
      <c r="P195" s="53">
        <f t="shared" ca="1" si="68"/>
        <v>2312</v>
      </c>
    </row>
    <row r="196" spans="1:18" s="53" customFormat="1" ht="15.75" customHeight="1" x14ac:dyDescent="0.35">
      <c r="A196" s="109">
        <v>13</v>
      </c>
      <c r="B196" s="110" t="s">
        <v>244</v>
      </c>
      <c r="C196" s="23" t="s">
        <v>231</v>
      </c>
      <c r="D196" s="23">
        <f>(23.1+4.88)*10.764</f>
        <v>301.17671999999999</v>
      </c>
      <c r="E196" s="23">
        <v>0</v>
      </c>
      <c r="F196" s="23">
        <f t="shared" si="65"/>
        <v>466.823916</v>
      </c>
      <c r="G196" s="165"/>
      <c r="H196" s="166"/>
      <c r="I196" s="54"/>
    </row>
    <row r="197" spans="1:18" s="53" customFormat="1" ht="15.75" customHeight="1" x14ac:dyDescent="0.35">
      <c r="A197" s="109">
        <v>14</v>
      </c>
      <c r="B197" s="110" t="s">
        <v>245</v>
      </c>
      <c r="C197" s="23" t="s">
        <v>231</v>
      </c>
      <c r="D197" s="23">
        <f>(26.46+3.51)*10.764</f>
        <v>322.59707999999995</v>
      </c>
      <c r="E197" s="23">
        <v>0</v>
      </c>
      <c r="F197" s="23">
        <f t="shared" si="65"/>
        <v>500.02547399999992</v>
      </c>
      <c r="G197" s="167"/>
      <c r="H197" s="168"/>
      <c r="I197" s="54"/>
    </row>
    <row r="198" spans="1:18" s="60" customFormat="1" x14ac:dyDescent="0.35">
      <c r="A198" s="126" t="s">
        <v>258</v>
      </c>
      <c r="B198" s="127"/>
      <c r="C198" s="127"/>
      <c r="D198" s="127"/>
      <c r="E198" s="127"/>
      <c r="F198" s="127"/>
      <c r="G198" s="127"/>
      <c r="H198" s="128"/>
      <c r="I198" s="54"/>
    </row>
    <row r="199" spans="1:18" s="60" customFormat="1" ht="15.75" customHeight="1" x14ac:dyDescent="0.35">
      <c r="A199" s="109">
        <v>1</v>
      </c>
      <c r="B199" s="110" t="s">
        <v>219</v>
      </c>
      <c r="C199" s="59" t="s">
        <v>231</v>
      </c>
      <c r="D199" s="59">
        <f>(27.13)*10.764</f>
        <v>292.02731999999997</v>
      </c>
      <c r="E199" s="59">
        <v>0</v>
      </c>
      <c r="F199" s="59">
        <f t="shared" ref="F199:F200" si="69">D199*(($F$110)+1)+E199</f>
        <v>452.64234599999997</v>
      </c>
      <c r="G199" s="163" t="str">
        <f>A198</f>
        <v>16th to 17th, 19th to 22nd &amp; 24th Floor</v>
      </c>
      <c r="H199" s="164"/>
      <c r="I199" s="54">
        <f>2282000/F199</f>
        <v>5041.5079812263084</v>
      </c>
      <c r="L199" s="60">
        <f>2280000/453</f>
        <v>5033.1125827814567</v>
      </c>
      <c r="N199" s="60" t="str">
        <f t="shared" ref="N199:N210" ca="1" si="70">O199&amp;""&amp;" to "&amp;""&amp;P199</f>
        <v>301 to 2401</v>
      </c>
      <c r="O199" s="60">
        <v>301</v>
      </c>
      <c r="P199" s="60">
        <f ca="1">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",LEN(A198))),LEN(A198)))))))/10))*100+1</f>
        <v>2401</v>
      </c>
    </row>
    <row r="200" spans="1:18" s="60" customFormat="1" ht="15.75" customHeight="1" x14ac:dyDescent="0.35">
      <c r="A200" s="109">
        <v>2</v>
      </c>
      <c r="B200" s="110" t="s">
        <v>220</v>
      </c>
      <c r="C200" s="59" t="s">
        <v>232</v>
      </c>
      <c r="D200" s="59">
        <f>(38.71)*10.764</f>
        <v>416.67444</v>
      </c>
      <c r="E200" s="59">
        <v>0</v>
      </c>
      <c r="F200" s="59">
        <f t="shared" si="69"/>
        <v>645.84538199999997</v>
      </c>
      <c r="G200" s="165"/>
      <c r="H200" s="166"/>
      <c r="I200" s="54"/>
      <c r="K200" s="60">
        <f>168480/F200</f>
        <v>260.86739132246362</v>
      </c>
      <c r="L200" s="60">
        <f>K200/10</f>
        <v>26.086739132246361</v>
      </c>
      <c r="N200" s="60" t="str">
        <f t="shared" ca="1" si="70"/>
        <v>302 to 2402</v>
      </c>
      <c r="O200" s="60">
        <f t="shared" ref="O200:P200" si="71">O199+1</f>
        <v>302</v>
      </c>
      <c r="P200" s="60">
        <f t="shared" ca="1" si="71"/>
        <v>2402</v>
      </c>
    </row>
    <row r="201" spans="1:18" s="60" customFormat="1" ht="15.75" customHeight="1" x14ac:dyDescent="0.35">
      <c r="A201" s="109">
        <v>3</v>
      </c>
      <c r="B201" s="110" t="s">
        <v>234</v>
      </c>
      <c r="C201" s="59" t="s">
        <v>232</v>
      </c>
      <c r="D201" s="59">
        <f>(38.25)*10.764</f>
        <v>411.72299999999996</v>
      </c>
      <c r="E201" s="59">
        <v>0</v>
      </c>
      <c r="F201" s="59">
        <f>D201*(($F$110)+1)+E201/3</f>
        <v>638.17064999999991</v>
      </c>
      <c r="G201" s="165"/>
      <c r="H201" s="166"/>
      <c r="I201" s="54"/>
      <c r="N201" s="60" t="str">
        <f t="shared" ca="1" si="70"/>
        <v>303 to 2403</v>
      </c>
      <c r="O201" s="60">
        <f t="shared" ref="O201:P201" si="72">O200+1</f>
        <v>303</v>
      </c>
      <c r="P201" s="60">
        <f t="shared" ca="1" si="72"/>
        <v>2403</v>
      </c>
    </row>
    <row r="202" spans="1:18" s="60" customFormat="1" ht="15.75" customHeight="1" x14ac:dyDescent="0.35">
      <c r="A202" s="109">
        <v>4</v>
      </c>
      <c r="B202" s="110" t="s">
        <v>235</v>
      </c>
      <c r="C202" s="59" t="s">
        <v>232</v>
      </c>
      <c r="D202" s="59">
        <f>(38.25)*10.764</f>
        <v>411.72299999999996</v>
      </c>
      <c r="E202" s="59">
        <v>0</v>
      </c>
      <c r="F202" s="59">
        <f>D202*(($F$110)+1)+E202</f>
        <v>638.17064999999991</v>
      </c>
      <c r="G202" s="165"/>
      <c r="H202" s="166"/>
      <c r="I202" s="54"/>
      <c r="N202" s="60" t="str">
        <f t="shared" ca="1" si="70"/>
        <v>304 to 2404</v>
      </c>
      <c r="O202" s="60">
        <f t="shared" ref="O202:P202" si="73">O201+1</f>
        <v>304</v>
      </c>
      <c r="P202" s="60">
        <f t="shared" ca="1" si="73"/>
        <v>2404</v>
      </c>
    </row>
    <row r="203" spans="1:18" s="60" customFormat="1" ht="15.75" customHeight="1" x14ac:dyDescent="0.35">
      <c r="A203" s="109">
        <v>5</v>
      </c>
      <c r="B203" s="110" t="s">
        <v>236</v>
      </c>
      <c r="C203" s="59" t="s">
        <v>232</v>
      </c>
      <c r="D203" s="59">
        <f>(29.6+5.5+3.3)*10.764</f>
        <v>413.33759999999995</v>
      </c>
      <c r="E203" s="59">
        <v>0</v>
      </c>
      <c r="F203" s="59">
        <f t="shared" ref="F203:F206" si="74">D203*(($F$110)+1)+E203</f>
        <v>640.67327999999998</v>
      </c>
      <c r="G203" s="165"/>
      <c r="H203" s="166"/>
      <c r="I203" s="54">
        <v>4003515</v>
      </c>
      <c r="J203" s="54">
        <f>I203/F203</f>
        <v>6248.9183254216568</v>
      </c>
      <c r="N203" s="60" t="str">
        <f t="shared" ca="1" si="70"/>
        <v>305 to 2405</v>
      </c>
      <c r="O203" s="60">
        <f t="shared" ref="O203:P203" si="75">O202+1</f>
        <v>305</v>
      </c>
      <c r="P203" s="60">
        <f t="shared" ca="1" si="75"/>
        <v>2405</v>
      </c>
    </row>
    <row r="204" spans="1:18" s="60" customFormat="1" ht="15.75" customHeight="1" x14ac:dyDescent="0.35">
      <c r="A204" s="109">
        <v>6</v>
      </c>
      <c r="B204" s="110" t="s">
        <v>237</v>
      </c>
      <c r="C204" s="59" t="s">
        <v>233</v>
      </c>
      <c r="D204" s="59">
        <f>(51.41)*10.764</f>
        <v>553.37723999999992</v>
      </c>
      <c r="E204" s="59">
        <v>0</v>
      </c>
      <c r="F204" s="59">
        <f t="shared" si="74"/>
        <v>857.73472199999992</v>
      </c>
      <c r="G204" s="165"/>
      <c r="H204" s="166"/>
      <c r="I204" s="54">
        <v>5562000</v>
      </c>
      <c r="J204" s="54">
        <f>I204/F204</f>
        <v>6484.5223789366437</v>
      </c>
      <c r="L204" s="60">
        <f>5747400/F204</f>
        <v>6700.6731249011982</v>
      </c>
      <c r="N204" s="60" t="str">
        <f t="shared" ca="1" si="70"/>
        <v>306 to 2406</v>
      </c>
      <c r="O204" s="60">
        <f t="shared" ref="O204:P204" si="76">O203+1</f>
        <v>306</v>
      </c>
      <c r="P204" s="60">
        <f t="shared" ca="1" si="76"/>
        <v>2406</v>
      </c>
      <c r="R204" s="60">
        <f>4414000/F204</f>
        <v>5146.1132291669082</v>
      </c>
    </row>
    <row r="205" spans="1:18" s="60" customFormat="1" ht="15.75" customHeight="1" x14ac:dyDescent="0.35">
      <c r="A205" s="109">
        <v>7</v>
      </c>
      <c r="B205" s="110" t="s">
        <v>238</v>
      </c>
      <c r="C205" s="59" t="s">
        <v>233</v>
      </c>
      <c r="D205" s="59">
        <f>55.21*10.764</f>
        <v>594.28044</v>
      </c>
      <c r="E205" s="59">
        <v>0</v>
      </c>
      <c r="F205" s="59">
        <f t="shared" si="74"/>
        <v>921.134682</v>
      </c>
      <c r="G205" s="165"/>
      <c r="H205" s="166"/>
      <c r="I205" s="54"/>
      <c r="L205" s="60">
        <f>6026400/F205</f>
        <v>6542.3657558037748</v>
      </c>
      <c r="N205" s="60" t="str">
        <f t="shared" ca="1" si="70"/>
        <v>307 to 2407</v>
      </c>
      <c r="O205" s="60">
        <f t="shared" ref="O205:P205" si="77">O204+1</f>
        <v>307</v>
      </c>
      <c r="P205" s="60">
        <f t="shared" ca="1" si="77"/>
        <v>2407</v>
      </c>
    </row>
    <row r="206" spans="1:18" s="60" customFormat="1" ht="15.75" customHeight="1" x14ac:dyDescent="0.35">
      <c r="A206" s="109">
        <v>8</v>
      </c>
      <c r="B206" s="110" t="s">
        <v>239</v>
      </c>
      <c r="C206" s="59" t="s">
        <v>232</v>
      </c>
      <c r="D206" s="59">
        <f>(40.02+2.75+1.65)*10.764</f>
        <v>478.13687999999996</v>
      </c>
      <c r="E206" s="59">
        <v>0</v>
      </c>
      <c r="F206" s="59">
        <f t="shared" si="74"/>
        <v>741.11216400000001</v>
      </c>
      <c r="G206" s="165"/>
      <c r="H206" s="166"/>
      <c r="I206" s="54"/>
      <c r="N206" s="60" t="str">
        <f t="shared" ca="1" si="70"/>
        <v>308 to 2408</v>
      </c>
      <c r="O206" s="60">
        <f t="shared" ref="O206:P206" si="78">O205+1</f>
        <v>308</v>
      </c>
      <c r="P206" s="60">
        <f t="shared" ca="1" si="78"/>
        <v>2408</v>
      </c>
    </row>
    <row r="207" spans="1:18" s="60" customFormat="1" ht="15.75" customHeight="1" x14ac:dyDescent="0.35">
      <c r="A207" s="109">
        <v>9</v>
      </c>
      <c r="B207" s="110" t="s">
        <v>240</v>
      </c>
      <c r="C207" s="59" t="s">
        <v>232</v>
      </c>
      <c r="D207" s="59">
        <f>(40.02+2.75+1.65)*10.764</f>
        <v>478.13687999999996</v>
      </c>
      <c r="E207" s="59">
        <v>0</v>
      </c>
      <c r="F207" s="59">
        <f>D207*(($F$110)+1)+E207</f>
        <v>741.11216400000001</v>
      </c>
      <c r="G207" s="165"/>
      <c r="H207" s="166"/>
      <c r="I207" s="54"/>
      <c r="N207" s="60" t="str">
        <f t="shared" ca="1" si="70"/>
        <v>309 to 2409</v>
      </c>
      <c r="O207" s="60">
        <f t="shared" ref="O207:P207" si="79">O206+1</f>
        <v>309</v>
      </c>
      <c r="P207" s="60">
        <f t="shared" ca="1" si="79"/>
        <v>2409</v>
      </c>
    </row>
    <row r="208" spans="1:18" s="60" customFormat="1" ht="15.75" customHeight="1" x14ac:dyDescent="0.35">
      <c r="A208" s="109">
        <v>10</v>
      </c>
      <c r="B208" s="110" t="s">
        <v>241</v>
      </c>
      <c r="C208" s="59" t="s">
        <v>232</v>
      </c>
      <c r="D208" s="59">
        <f>(31.34+5.5+3.3)*10.764</f>
        <v>432.06695999999999</v>
      </c>
      <c r="E208" s="59">
        <v>0</v>
      </c>
      <c r="F208" s="59">
        <f t="shared" ref="F208:F213" si="80">D208*(($F$110)+1)+E208</f>
        <v>669.70378800000003</v>
      </c>
      <c r="G208" s="165"/>
      <c r="H208" s="166"/>
      <c r="I208" s="54"/>
      <c r="N208" s="60" t="str">
        <f t="shared" ca="1" si="70"/>
        <v>310 to 2410</v>
      </c>
      <c r="O208" s="60">
        <f t="shared" ref="O208:P208" si="81">O207+1</f>
        <v>310</v>
      </c>
      <c r="P208" s="60">
        <f t="shared" ca="1" si="81"/>
        <v>2410</v>
      </c>
    </row>
    <row r="209" spans="1:16" s="60" customFormat="1" ht="15.75" customHeight="1" x14ac:dyDescent="0.35">
      <c r="A209" s="109">
        <v>11</v>
      </c>
      <c r="B209" s="110" t="s">
        <v>242</v>
      </c>
      <c r="C209" s="59" t="s">
        <v>232</v>
      </c>
      <c r="D209" s="59">
        <f>(36.03+2.75+1.65)*10.764</f>
        <v>435.18851999999998</v>
      </c>
      <c r="E209" s="59">
        <v>0</v>
      </c>
      <c r="F209" s="59">
        <f t="shared" si="80"/>
        <v>674.54220599999996</v>
      </c>
      <c r="G209" s="165"/>
      <c r="H209" s="166"/>
      <c r="I209" s="54"/>
      <c r="N209" s="60" t="str">
        <f t="shared" ca="1" si="70"/>
        <v>311 to 2411</v>
      </c>
      <c r="O209" s="60">
        <f t="shared" ref="O209:P209" si="82">O208+1</f>
        <v>311</v>
      </c>
      <c r="P209" s="60">
        <f t="shared" ca="1" si="82"/>
        <v>2411</v>
      </c>
    </row>
    <row r="210" spans="1:16" s="60" customFormat="1" ht="15.75" customHeight="1" x14ac:dyDescent="0.35">
      <c r="A210" s="109">
        <v>12</v>
      </c>
      <c r="B210" s="110" t="s">
        <v>243</v>
      </c>
      <c r="C210" s="59" t="s">
        <v>232</v>
      </c>
      <c r="D210" s="59">
        <f>(36.03+2.75+1.65)*10.764</f>
        <v>435.18851999999998</v>
      </c>
      <c r="E210" s="59">
        <v>0</v>
      </c>
      <c r="F210" s="59">
        <f t="shared" si="80"/>
        <v>674.54220599999996</v>
      </c>
      <c r="G210" s="165"/>
      <c r="H210" s="166"/>
      <c r="I210" s="54"/>
      <c r="N210" s="60" t="str">
        <f t="shared" ca="1" si="70"/>
        <v>312 to 2412</v>
      </c>
      <c r="O210" s="60">
        <f t="shared" ref="O210:P210" si="83">O209+1</f>
        <v>312</v>
      </c>
      <c r="P210" s="60">
        <f t="shared" ca="1" si="83"/>
        <v>2412</v>
      </c>
    </row>
    <row r="211" spans="1:16" s="60" customFormat="1" ht="15.75" customHeight="1" x14ac:dyDescent="0.35">
      <c r="A211" s="109">
        <v>13</v>
      </c>
      <c r="B211" s="110" t="s">
        <v>244</v>
      </c>
      <c r="C211" s="59" t="s">
        <v>231</v>
      </c>
      <c r="D211" s="59">
        <f>(23.1+4.88)*10.764</f>
        <v>301.17671999999999</v>
      </c>
      <c r="E211" s="59">
        <v>0</v>
      </c>
      <c r="F211" s="59">
        <f t="shared" si="80"/>
        <v>466.823916</v>
      </c>
      <c r="G211" s="165"/>
      <c r="H211" s="166"/>
      <c r="I211" s="54">
        <f>3.05*3.3+2.05*2.6+1*1.2+2.05*1.2+0.9*1.2</f>
        <v>20.134999999999998</v>
      </c>
      <c r="J211" s="60">
        <f>23.1+4.88+4.88</f>
        <v>32.86</v>
      </c>
    </row>
    <row r="212" spans="1:16" s="60" customFormat="1" ht="15.75" customHeight="1" x14ac:dyDescent="0.35">
      <c r="A212" s="109">
        <v>14</v>
      </c>
      <c r="B212" s="110" t="s">
        <v>245</v>
      </c>
      <c r="C212" s="59" t="s">
        <v>231</v>
      </c>
      <c r="D212" s="59">
        <f>(26.46+3.51)*10.764</f>
        <v>322.59707999999995</v>
      </c>
      <c r="E212" s="59">
        <v>0</v>
      </c>
      <c r="F212" s="59">
        <f t="shared" si="80"/>
        <v>500.02547399999992</v>
      </c>
      <c r="G212" s="165"/>
      <c r="H212" s="166"/>
      <c r="I212" s="54">
        <f>3*2</f>
        <v>6</v>
      </c>
    </row>
    <row r="213" spans="1:16" s="60" customFormat="1" ht="15.75" customHeight="1" x14ac:dyDescent="0.35">
      <c r="A213" s="109">
        <v>15</v>
      </c>
      <c r="B213" s="110" t="s">
        <v>259</v>
      </c>
      <c r="C213" s="59" t="s">
        <v>231</v>
      </c>
      <c r="D213" s="59">
        <f>(24.18)*10.764</f>
        <v>260.27351999999996</v>
      </c>
      <c r="E213" s="59">
        <v>0</v>
      </c>
      <c r="F213" s="59">
        <f t="shared" si="80"/>
        <v>403.42395599999998</v>
      </c>
      <c r="G213" s="167"/>
      <c r="H213" s="168"/>
      <c r="I213" s="54">
        <f>I211+I212</f>
        <v>26.134999999999998</v>
      </c>
    </row>
    <row r="214" spans="1:16" s="52" customFormat="1" x14ac:dyDescent="0.35">
      <c r="A214" s="146" t="s">
        <v>75</v>
      </c>
      <c r="B214" s="146"/>
      <c r="C214" s="146"/>
      <c r="D214" s="146"/>
      <c r="E214" s="146"/>
      <c r="F214" s="146"/>
      <c r="G214" s="146"/>
      <c r="H214" s="146"/>
    </row>
    <row r="215" spans="1:16" s="52" customFormat="1" x14ac:dyDescent="0.35">
      <c r="A215" s="28">
        <v>1</v>
      </c>
      <c r="B215" s="63" t="s">
        <v>275</v>
      </c>
      <c r="C215" s="64"/>
      <c r="D215" s="64"/>
      <c r="E215" s="64"/>
      <c r="F215" s="64"/>
      <c r="G215" s="64"/>
      <c r="H215" s="65"/>
    </row>
    <row r="216" spans="1:16" s="52" customFormat="1" ht="32.25" customHeight="1" x14ac:dyDescent="0.35">
      <c r="A216" s="28">
        <f>A215+1</f>
        <v>2</v>
      </c>
      <c r="B216" s="63" t="s">
        <v>209</v>
      </c>
      <c r="C216" s="64"/>
      <c r="D216" s="64"/>
      <c r="E216" s="64"/>
      <c r="F216" s="64"/>
      <c r="G216" s="64"/>
      <c r="H216" s="65"/>
    </row>
    <row r="217" spans="1:16" s="52" customFormat="1" x14ac:dyDescent="0.35">
      <c r="A217" s="28">
        <f t="shared" ref="A217:A221" si="84">A216+1</f>
        <v>3</v>
      </c>
      <c r="B217" s="121" t="s">
        <v>162</v>
      </c>
      <c r="C217" s="122"/>
      <c r="D217" s="122"/>
      <c r="E217" s="122"/>
      <c r="F217" s="122"/>
      <c r="G217" s="122"/>
      <c r="H217" s="123"/>
    </row>
    <row r="218" spans="1:16" s="52" customFormat="1" x14ac:dyDescent="0.35">
      <c r="A218" s="28">
        <f t="shared" si="84"/>
        <v>4</v>
      </c>
      <c r="B218" s="121" t="s">
        <v>203</v>
      </c>
      <c r="C218" s="122"/>
      <c r="D218" s="122"/>
      <c r="E218" s="122"/>
      <c r="F218" s="122"/>
      <c r="G218" s="122"/>
      <c r="H218" s="123"/>
    </row>
    <row r="219" spans="1:16" s="52" customFormat="1" x14ac:dyDescent="0.35">
      <c r="A219" s="28">
        <f t="shared" si="84"/>
        <v>5</v>
      </c>
      <c r="B219" s="121" t="s">
        <v>163</v>
      </c>
      <c r="C219" s="122"/>
      <c r="D219" s="122"/>
      <c r="E219" s="122"/>
      <c r="F219" s="122"/>
      <c r="G219" s="122"/>
      <c r="H219" s="123"/>
    </row>
    <row r="220" spans="1:16" s="52" customFormat="1" x14ac:dyDescent="0.35">
      <c r="A220" s="30">
        <f t="shared" si="84"/>
        <v>6</v>
      </c>
      <c r="B220" s="63" t="s">
        <v>164</v>
      </c>
      <c r="C220" s="64"/>
      <c r="D220" s="64"/>
      <c r="E220" s="64"/>
      <c r="F220" s="64"/>
      <c r="G220" s="64"/>
      <c r="H220" s="65"/>
    </row>
    <row r="221" spans="1:16" s="52" customFormat="1" ht="35.25" customHeight="1" x14ac:dyDescent="0.35">
      <c r="A221" s="30">
        <f t="shared" si="84"/>
        <v>7</v>
      </c>
      <c r="B221" s="63" t="s">
        <v>246</v>
      </c>
      <c r="C221" s="64"/>
      <c r="D221" s="64"/>
      <c r="E221" s="64"/>
      <c r="F221" s="64"/>
      <c r="G221" s="64"/>
      <c r="H221" s="65"/>
    </row>
    <row r="222" spans="1:16" s="52" customFormat="1" x14ac:dyDescent="0.35">
      <c r="A222" s="30">
        <f>A220+1</f>
        <v>7</v>
      </c>
      <c r="B222" s="63" t="s">
        <v>265</v>
      </c>
      <c r="C222" s="64"/>
      <c r="D222" s="64"/>
      <c r="E222" s="64"/>
      <c r="F222" s="64"/>
      <c r="G222" s="64"/>
      <c r="H222" s="65"/>
    </row>
    <row r="223" spans="1:16" s="52" customFormat="1" x14ac:dyDescent="0.35">
      <c r="A223" s="30">
        <f>A221+1</f>
        <v>8</v>
      </c>
      <c r="B223" s="63" t="s">
        <v>272</v>
      </c>
      <c r="C223" s="64"/>
      <c r="D223" s="64"/>
      <c r="E223" s="64"/>
      <c r="F223" s="64"/>
      <c r="G223" s="64"/>
      <c r="H223" s="65"/>
    </row>
    <row r="224" spans="1:16" s="52" customFormat="1" x14ac:dyDescent="0.35">
      <c r="A224" s="30">
        <v>9</v>
      </c>
      <c r="B224" s="63" t="s">
        <v>276</v>
      </c>
      <c r="C224" s="64"/>
      <c r="D224" s="64"/>
      <c r="E224" s="64"/>
      <c r="F224" s="64"/>
      <c r="G224" s="64"/>
      <c r="H224" s="65"/>
    </row>
    <row r="225" spans="1:8" x14ac:dyDescent="0.35">
      <c r="A225" s="147" t="s">
        <v>68</v>
      </c>
      <c r="B225" s="147"/>
      <c r="C225" s="147"/>
      <c r="D225" s="147"/>
      <c r="E225" s="147"/>
      <c r="F225" s="147"/>
      <c r="G225" s="147"/>
      <c r="H225" s="147"/>
    </row>
    <row r="226" spans="1:8" x14ac:dyDescent="0.35">
      <c r="A226" s="87" t="s">
        <v>69</v>
      </c>
      <c r="B226" s="87"/>
      <c r="C226" s="87"/>
      <c r="D226" s="87"/>
      <c r="E226" s="87"/>
      <c r="F226" s="87"/>
      <c r="G226" s="87"/>
      <c r="H226" s="87"/>
    </row>
    <row r="227" spans="1:8" ht="15.75" customHeight="1" x14ac:dyDescent="0.35">
      <c r="A227" s="111" t="s">
        <v>70</v>
      </c>
      <c r="B227" s="111"/>
      <c r="C227" s="111"/>
      <c r="D227" s="111"/>
      <c r="E227" s="111"/>
      <c r="F227" s="111"/>
      <c r="G227" s="111"/>
      <c r="H227" s="111"/>
    </row>
    <row r="228" spans="1:8" x14ac:dyDescent="0.35">
      <c r="A228" s="96" t="s">
        <v>71</v>
      </c>
      <c r="B228" s="96"/>
      <c r="C228" s="96"/>
      <c r="D228" s="96"/>
      <c r="E228" s="96"/>
      <c r="F228" s="96"/>
      <c r="G228" s="96"/>
      <c r="H228" s="96"/>
    </row>
    <row r="229" spans="1:8" x14ac:dyDescent="0.35">
      <c r="A229" s="96" t="s">
        <v>72</v>
      </c>
      <c r="B229" s="96"/>
      <c r="C229" s="96"/>
      <c r="D229" s="96"/>
      <c r="E229" s="96"/>
      <c r="F229" s="96"/>
      <c r="G229" s="96"/>
      <c r="H229" s="96"/>
    </row>
    <row r="230" spans="1:8" x14ac:dyDescent="0.35">
      <c r="A230" s="96" t="s">
        <v>165</v>
      </c>
      <c r="B230" s="96"/>
      <c r="C230" s="96"/>
      <c r="D230" s="96"/>
      <c r="E230" s="96"/>
      <c r="F230" s="96"/>
      <c r="G230" s="96"/>
      <c r="H230" s="96"/>
    </row>
    <row r="231" spans="1:8" ht="35.25" customHeight="1" x14ac:dyDescent="0.35">
      <c r="A231" s="89" t="s">
        <v>166</v>
      </c>
      <c r="B231" s="89"/>
      <c r="C231" s="89"/>
      <c r="D231" s="89"/>
      <c r="E231" s="89"/>
      <c r="F231" s="89"/>
      <c r="G231" s="89"/>
      <c r="H231" s="89"/>
    </row>
    <row r="232" spans="1:8" x14ac:dyDescent="0.35">
      <c r="A232" s="143" t="s">
        <v>108</v>
      </c>
      <c r="B232" s="143"/>
      <c r="C232" s="143" t="s">
        <v>268</v>
      </c>
      <c r="D232" s="143"/>
      <c r="E232" s="143" t="s">
        <v>139</v>
      </c>
      <c r="F232" s="143"/>
      <c r="G232" s="143" t="s">
        <v>277</v>
      </c>
      <c r="H232" s="143"/>
    </row>
    <row r="233" spans="1:8" x14ac:dyDescent="0.35">
      <c r="A233" s="142" t="s">
        <v>110</v>
      </c>
      <c r="B233" s="142"/>
      <c r="C233" s="142"/>
      <c r="D233" s="142"/>
      <c r="E233" s="142"/>
      <c r="F233" s="142"/>
      <c r="G233" s="142"/>
      <c r="H233" s="142"/>
    </row>
    <row r="234" spans="1:8" x14ac:dyDescent="0.35">
      <c r="A234" s="142"/>
      <c r="B234" s="142"/>
      <c r="C234" s="142"/>
      <c r="D234" s="142"/>
      <c r="E234" s="142"/>
      <c r="F234" s="142"/>
      <c r="G234" s="142"/>
      <c r="H234" s="142"/>
    </row>
    <row r="235" spans="1:8" x14ac:dyDescent="0.35">
      <c r="A235" s="142"/>
      <c r="B235" s="142"/>
      <c r="C235" s="142"/>
      <c r="D235" s="142"/>
      <c r="E235" s="142"/>
      <c r="F235" s="142"/>
      <c r="G235" s="142"/>
      <c r="H235" s="142"/>
    </row>
    <row r="236" spans="1:8" x14ac:dyDescent="0.35">
      <c r="A236" s="142"/>
      <c r="B236" s="142"/>
      <c r="C236" s="142"/>
      <c r="D236" s="142"/>
      <c r="E236" s="142"/>
      <c r="F236" s="142"/>
      <c r="G236" s="142"/>
      <c r="H236" s="142"/>
    </row>
    <row r="237" spans="1:8" x14ac:dyDescent="0.35">
      <c r="A237" s="55" t="s">
        <v>73</v>
      </c>
      <c r="B237" s="56"/>
      <c r="C237" s="56"/>
      <c r="D237" s="55" t="str">
        <f>E8</f>
        <v>Divine Heights</v>
      </c>
      <c r="F237" s="56"/>
      <c r="G237" s="56"/>
      <c r="H237" s="56"/>
    </row>
    <row r="238" spans="1:8" x14ac:dyDescent="0.35">
      <c r="A238" s="56"/>
      <c r="B238" s="56"/>
      <c r="C238" s="56"/>
      <c r="D238" s="56"/>
      <c r="E238" s="56"/>
      <c r="F238" s="56"/>
      <c r="G238" s="56"/>
      <c r="H238" s="56"/>
    </row>
    <row r="239" spans="1:8" x14ac:dyDescent="0.35">
      <c r="A239" s="56"/>
      <c r="B239" s="56"/>
      <c r="C239" s="56"/>
      <c r="D239" s="56"/>
      <c r="E239" s="56"/>
      <c r="F239" s="56"/>
      <c r="G239" s="56"/>
      <c r="H239" s="56"/>
    </row>
    <row r="240" spans="1:8" ht="15" customHeight="1" x14ac:dyDescent="0.35"/>
    <row r="280" spans="1:1" x14ac:dyDescent="0.35">
      <c r="A280" s="58" t="s">
        <v>74</v>
      </c>
    </row>
  </sheetData>
  <mergeCells count="359">
    <mergeCell ref="B224:H224"/>
    <mergeCell ref="A209:B209"/>
    <mergeCell ref="A210:B210"/>
    <mergeCell ref="A211:B211"/>
    <mergeCell ref="A212:B212"/>
    <mergeCell ref="A213:B213"/>
    <mergeCell ref="A148:B148"/>
    <mergeCell ref="A172:B172"/>
    <mergeCell ref="A151:B151"/>
    <mergeCell ref="B221:H221"/>
    <mergeCell ref="A193:B193"/>
    <mergeCell ref="A194:B194"/>
    <mergeCell ref="A195:B195"/>
    <mergeCell ref="A196:B196"/>
    <mergeCell ref="A197:B197"/>
    <mergeCell ref="A188:B188"/>
    <mergeCell ref="A189:B189"/>
    <mergeCell ref="A190:B190"/>
    <mergeCell ref="A191:B191"/>
    <mergeCell ref="A192:B192"/>
    <mergeCell ref="G184:H197"/>
    <mergeCell ref="A198:H198"/>
    <mergeCell ref="A199:B199"/>
    <mergeCell ref="G199:H213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183:H183"/>
    <mergeCell ref="A184:B184"/>
    <mergeCell ref="A185:B185"/>
    <mergeCell ref="A186:B186"/>
    <mergeCell ref="A187:B187"/>
    <mergeCell ref="C184:F184"/>
    <mergeCell ref="A181:B181"/>
    <mergeCell ref="A182:B182"/>
    <mergeCell ref="A162:B162"/>
    <mergeCell ref="A163:B163"/>
    <mergeCell ref="C169:F170"/>
    <mergeCell ref="A178:B178"/>
    <mergeCell ref="A175:B175"/>
    <mergeCell ref="A176:B176"/>
    <mergeCell ref="A177:B177"/>
    <mergeCell ref="A179:B179"/>
    <mergeCell ref="G153:H167"/>
    <mergeCell ref="G169:H182"/>
    <mergeCell ref="A164:B164"/>
    <mergeCell ref="A165:B165"/>
    <mergeCell ref="A152:H152"/>
    <mergeCell ref="A153:B153"/>
    <mergeCell ref="A160:B160"/>
    <mergeCell ref="L111:M111"/>
    <mergeCell ref="A108:H108"/>
    <mergeCell ref="A109:A110"/>
    <mergeCell ref="A143:B143"/>
    <mergeCell ref="A116:B116"/>
    <mergeCell ref="A113:B113"/>
    <mergeCell ref="A114:B114"/>
    <mergeCell ref="A138:B138"/>
    <mergeCell ref="A139:B139"/>
    <mergeCell ref="A140:B140"/>
    <mergeCell ref="A115:B115"/>
    <mergeCell ref="A141:B141"/>
    <mergeCell ref="A142:B142"/>
    <mergeCell ref="A118:B118"/>
    <mergeCell ref="A119:B119"/>
    <mergeCell ref="A120:B120"/>
    <mergeCell ref="A121:B121"/>
    <mergeCell ref="A122:B122"/>
    <mergeCell ref="C114:F117"/>
    <mergeCell ref="A123:B123"/>
    <mergeCell ref="A131:B131"/>
    <mergeCell ref="A132:B132"/>
    <mergeCell ref="G112:H123"/>
    <mergeCell ref="G125:H136"/>
    <mergeCell ref="G138:H151"/>
    <mergeCell ref="A85:E85"/>
    <mergeCell ref="L107:M107"/>
    <mergeCell ref="L106:M106"/>
    <mergeCell ref="L105:M105"/>
    <mergeCell ref="L104:M104"/>
    <mergeCell ref="L103:M103"/>
    <mergeCell ref="L102:M102"/>
    <mergeCell ref="L101:M101"/>
    <mergeCell ref="G101:H107"/>
    <mergeCell ref="A84:E84"/>
    <mergeCell ref="A99:H99"/>
    <mergeCell ref="A106:B106"/>
    <mergeCell ref="G98:H98"/>
    <mergeCell ref="A38:D38"/>
    <mergeCell ref="E38:H38"/>
    <mergeCell ref="A55:C55"/>
    <mergeCell ref="A56:C56"/>
    <mergeCell ref="D55:H55"/>
    <mergeCell ref="D56:H56"/>
    <mergeCell ref="G47:H47"/>
    <mergeCell ref="D51:H51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C46:E46"/>
    <mergeCell ref="A49:B49"/>
    <mergeCell ref="C49:E49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5:H35"/>
    <mergeCell ref="E11:H11"/>
    <mergeCell ref="A12:D12"/>
    <mergeCell ref="A37:H37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E12:H12"/>
    <mergeCell ref="A13:B13"/>
    <mergeCell ref="C13:H13"/>
    <mergeCell ref="C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4:B14"/>
    <mergeCell ref="A11:D11"/>
    <mergeCell ref="A233:H236"/>
    <mergeCell ref="A232:B232"/>
    <mergeCell ref="E232:F232"/>
    <mergeCell ref="C232:D232"/>
    <mergeCell ref="G232:H232"/>
    <mergeCell ref="A90:H90"/>
    <mergeCell ref="A88:E88"/>
    <mergeCell ref="F88:H88"/>
    <mergeCell ref="A89:E89"/>
    <mergeCell ref="F89:H89"/>
    <mergeCell ref="A111:H111"/>
    <mergeCell ref="A95:B95"/>
    <mergeCell ref="A92:B92"/>
    <mergeCell ref="A228:H228"/>
    <mergeCell ref="A93:H93"/>
    <mergeCell ref="A231:H231"/>
    <mergeCell ref="A229:H229"/>
    <mergeCell ref="A214:H214"/>
    <mergeCell ref="B109:B110"/>
    <mergeCell ref="A137:H137"/>
    <mergeCell ref="B220:H220"/>
    <mergeCell ref="A225:H225"/>
    <mergeCell ref="A226:H226"/>
    <mergeCell ref="A97:H97"/>
    <mergeCell ref="C75:H75"/>
    <mergeCell ref="G92:H92"/>
    <mergeCell ref="C95:D95"/>
    <mergeCell ref="E95:F95"/>
    <mergeCell ref="G95:H95"/>
    <mergeCell ref="F83:H83"/>
    <mergeCell ref="A77:E77"/>
    <mergeCell ref="A80:E80"/>
    <mergeCell ref="A82:E82"/>
    <mergeCell ref="F82:H82"/>
    <mergeCell ref="A83:E83"/>
    <mergeCell ref="F79:H79"/>
    <mergeCell ref="F78:H78"/>
    <mergeCell ref="C94:D94"/>
    <mergeCell ref="G94:H94"/>
    <mergeCell ref="E94:F94"/>
    <mergeCell ref="E91:F91"/>
    <mergeCell ref="F86:H86"/>
    <mergeCell ref="A96:H96"/>
    <mergeCell ref="A91:B91"/>
    <mergeCell ref="F84:H84"/>
    <mergeCell ref="C91:D91"/>
    <mergeCell ref="F80:H80"/>
    <mergeCell ref="F87:H87"/>
    <mergeCell ref="F85:H85"/>
    <mergeCell ref="G91:H91"/>
    <mergeCell ref="A86:E86"/>
    <mergeCell ref="C92:D92"/>
    <mergeCell ref="E92:F92"/>
    <mergeCell ref="A144:B144"/>
    <mergeCell ref="A58:C58"/>
    <mergeCell ref="D57:H57"/>
    <mergeCell ref="A78:E78"/>
    <mergeCell ref="A87:E87"/>
    <mergeCell ref="A79:E79"/>
    <mergeCell ref="C109:C110"/>
    <mergeCell ref="A107:B107"/>
    <mergeCell ref="A101:B101"/>
    <mergeCell ref="A102:B102"/>
    <mergeCell ref="A103:B103"/>
    <mergeCell ref="A104:B104"/>
    <mergeCell ref="A105:B105"/>
    <mergeCell ref="A100:H100"/>
    <mergeCell ref="A81:E81"/>
    <mergeCell ref="F81:H81"/>
    <mergeCell ref="F77:H77"/>
    <mergeCell ref="A74:H74"/>
    <mergeCell ref="A75:B75"/>
    <mergeCell ref="A76:H76"/>
    <mergeCell ref="A63:B63"/>
    <mergeCell ref="E63:F72"/>
    <mergeCell ref="A73:E73"/>
    <mergeCell ref="F73:H73"/>
    <mergeCell ref="A230:H230"/>
    <mergeCell ref="A117:B117"/>
    <mergeCell ref="A227:H227"/>
    <mergeCell ref="A112:B112"/>
    <mergeCell ref="A94:B94"/>
    <mergeCell ref="D109:D110"/>
    <mergeCell ref="E109:E110"/>
    <mergeCell ref="G109:H110"/>
    <mergeCell ref="A145:B145"/>
    <mergeCell ref="A154:B154"/>
    <mergeCell ref="A180:B180"/>
    <mergeCell ref="A124:H124"/>
    <mergeCell ref="B223:H223"/>
    <mergeCell ref="B215:H215"/>
    <mergeCell ref="B216:H216"/>
    <mergeCell ref="B217:H217"/>
    <mergeCell ref="B218:H218"/>
    <mergeCell ref="B219:H219"/>
    <mergeCell ref="A136:B136"/>
    <mergeCell ref="A134:B134"/>
    <mergeCell ref="A170:B170"/>
    <mergeCell ref="A171:B171"/>
    <mergeCell ref="A173:B173"/>
    <mergeCell ref="A174:B174"/>
    <mergeCell ref="L124:M124"/>
    <mergeCell ref="A125:B125"/>
    <mergeCell ref="L168:M168"/>
    <mergeCell ref="A169:B169"/>
    <mergeCell ref="A168:H168"/>
    <mergeCell ref="A126:B126"/>
    <mergeCell ref="A127:B127"/>
    <mergeCell ref="A128:B128"/>
    <mergeCell ref="A129:B129"/>
    <mergeCell ref="A130:B130"/>
    <mergeCell ref="A133:B133"/>
    <mergeCell ref="A135:B135"/>
    <mergeCell ref="A146:B146"/>
    <mergeCell ref="A147:B147"/>
    <mergeCell ref="A155:B155"/>
    <mergeCell ref="A156:B156"/>
    <mergeCell ref="A157:B157"/>
    <mergeCell ref="A158:B158"/>
    <mergeCell ref="A159:B159"/>
    <mergeCell ref="A150:B150"/>
    <mergeCell ref="A149:B149"/>
    <mergeCell ref="A166:B166"/>
    <mergeCell ref="A167:B167"/>
    <mergeCell ref="A161:B161"/>
    <mergeCell ref="C47:E47"/>
    <mergeCell ref="G63:H72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D58:H58"/>
    <mergeCell ref="A57:C57"/>
    <mergeCell ref="B222:H222"/>
    <mergeCell ref="A36:B36"/>
    <mergeCell ref="C36:H36"/>
    <mergeCell ref="A59:B59"/>
    <mergeCell ref="C59:H59"/>
    <mergeCell ref="A61:B61"/>
    <mergeCell ref="C61:H61"/>
    <mergeCell ref="A62:B62"/>
    <mergeCell ref="E62:F62"/>
    <mergeCell ref="G62:H62"/>
    <mergeCell ref="A54:C54"/>
    <mergeCell ref="D54:H54"/>
    <mergeCell ref="A46:B46"/>
    <mergeCell ref="A50:H50"/>
    <mergeCell ref="A51:C51"/>
    <mergeCell ref="A52:C52"/>
    <mergeCell ref="D52:H52"/>
    <mergeCell ref="G49:H49"/>
    <mergeCell ref="C48:H48"/>
    <mergeCell ref="E39:H39"/>
    <mergeCell ref="A39:D39"/>
    <mergeCell ref="A45:B45"/>
    <mergeCell ref="C45:E45"/>
    <mergeCell ref="G45:H4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2" manualBreakCount="2">
    <brk id="236" max="16383" man="1"/>
    <brk id="2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76</v>
      </c>
      <c r="C2" s="173"/>
      <c r="D2" s="173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77</v>
      </c>
      <c r="B4" s="3" t="s">
        <v>78</v>
      </c>
      <c r="C4" s="174" t="s">
        <v>79</v>
      </c>
      <c r="D4" s="174"/>
      <c r="E4" s="174"/>
      <c r="F4" s="4"/>
      <c r="G4" s="174" t="s">
        <v>80</v>
      </c>
      <c r="H4" s="174"/>
      <c r="I4" s="174"/>
      <c r="J4" s="174" t="s">
        <v>81</v>
      </c>
      <c r="K4" s="174"/>
      <c r="L4" s="174"/>
    </row>
    <row r="5" spans="1:12" x14ac:dyDescent="0.35">
      <c r="A5" s="1">
        <v>202</v>
      </c>
      <c r="B5" s="3"/>
      <c r="C5" s="3" t="s">
        <v>82</v>
      </c>
      <c r="D5" s="3" t="s">
        <v>83</v>
      </c>
      <c r="E5" s="3" t="s">
        <v>60</v>
      </c>
      <c r="F5" s="3"/>
      <c r="G5" s="3" t="s">
        <v>82</v>
      </c>
      <c r="H5" s="3" t="s">
        <v>83</v>
      </c>
      <c r="I5" s="3" t="s">
        <v>60</v>
      </c>
      <c r="J5" s="3" t="s">
        <v>82</v>
      </c>
      <c r="K5" s="3" t="s">
        <v>83</v>
      </c>
      <c r="L5" s="3" t="s">
        <v>60</v>
      </c>
    </row>
    <row r="6" spans="1:12" x14ac:dyDescent="0.35">
      <c r="B6" s="5" t="s">
        <v>84</v>
      </c>
      <c r="C6" s="5"/>
      <c r="D6" s="5"/>
      <c r="E6" s="5">
        <f>C6*D6</f>
        <v>0</v>
      </c>
      <c r="F6" s="5" t="s">
        <v>85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86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87</v>
      </c>
      <c r="C9" s="5"/>
      <c r="D9" s="5"/>
      <c r="E9" s="5">
        <f t="shared" si="0"/>
        <v>0</v>
      </c>
      <c r="F9" s="5" t="s">
        <v>85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86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88</v>
      </c>
      <c r="C13" s="5"/>
      <c r="D13" s="5"/>
      <c r="E13" s="5">
        <f t="shared" si="0"/>
        <v>0</v>
      </c>
      <c r="F13" s="5" t="s">
        <v>85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86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89</v>
      </c>
      <c r="C17" s="5"/>
      <c r="D17" s="5"/>
      <c r="E17" s="5">
        <f t="shared" si="0"/>
        <v>0</v>
      </c>
      <c r="F17" s="5" t="s">
        <v>85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86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89</v>
      </c>
      <c r="C20" s="5"/>
      <c r="D20" s="5"/>
      <c r="E20" s="5">
        <f t="shared" si="0"/>
        <v>0</v>
      </c>
      <c r="F20" s="5" t="s">
        <v>85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86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90</v>
      </c>
      <c r="C23" s="5"/>
      <c r="D23" s="5"/>
      <c r="E23" s="5">
        <f t="shared" si="0"/>
        <v>0</v>
      </c>
      <c r="F23" s="5" t="s">
        <v>91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92</v>
      </c>
      <c r="C24" s="5"/>
      <c r="D24" s="5"/>
      <c r="E24" s="5">
        <f t="shared" si="0"/>
        <v>0</v>
      </c>
      <c r="F24" s="5" t="s">
        <v>91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93</v>
      </c>
      <c r="C25" s="5"/>
      <c r="D25" s="5"/>
      <c r="E25" s="5">
        <f t="shared" si="0"/>
        <v>0</v>
      </c>
      <c r="F25" s="5" t="s">
        <v>91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94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95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96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97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61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6"/>
    <col min="2" max="2" width="22.1796875" style="6" customWidth="1"/>
    <col min="3" max="3" width="37" style="6" customWidth="1"/>
    <col min="4" max="5" width="11.453125" style="6" customWidth="1"/>
    <col min="6" max="6" width="14" style="6" customWidth="1"/>
    <col min="7" max="7" width="20" style="6" customWidth="1"/>
    <col min="8" max="8" width="16.453125" style="6" customWidth="1"/>
    <col min="9" max="16384" width="8.7265625" style="6"/>
  </cols>
  <sheetData>
    <row r="1" spans="1:9" ht="15" customHeight="1" x14ac:dyDescent="0.35"/>
    <row r="2" spans="1:9" ht="15" customHeight="1" x14ac:dyDescent="0.3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5">
      <c r="A3" s="7"/>
      <c r="B3" s="175" t="s">
        <v>140</v>
      </c>
      <c r="C3" s="175"/>
      <c r="D3" s="175"/>
      <c r="E3" s="175"/>
      <c r="F3" s="175"/>
      <c r="G3" s="175"/>
      <c r="H3" s="175"/>
    </row>
    <row r="4" spans="1:9" x14ac:dyDescent="0.35">
      <c r="A4" s="7"/>
      <c r="B4" s="8" t="s">
        <v>141</v>
      </c>
      <c r="C4" s="8" t="s">
        <v>142</v>
      </c>
      <c r="D4" s="8" t="s">
        <v>77</v>
      </c>
      <c r="E4" s="8" t="s">
        <v>143</v>
      </c>
      <c r="F4" s="8" t="s">
        <v>150</v>
      </c>
      <c r="G4" s="8" t="s">
        <v>151</v>
      </c>
      <c r="H4" s="8" t="s">
        <v>144</v>
      </c>
    </row>
    <row r="5" spans="1:9" ht="15" customHeight="1" x14ac:dyDescent="0.35">
      <c r="A5" s="7"/>
      <c r="B5" s="10" t="s">
        <v>145</v>
      </c>
      <c r="C5" s="11"/>
      <c r="D5" s="10" t="s">
        <v>146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5">
      <c r="A6" s="7"/>
      <c r="B6" s="10" t="s">
        <v>145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5">
      <c r="A7" s="7"/>
      <c r="B7" s="10" t="s">
        <v>145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5">
      <c r="A8" s="7"/>
      <c r="B8" s="10" t="s">
        <v>145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5">
      <c r="A9" s="7"/>
      <c r="B9" s="10" t="s">
        <v>145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5">
      <c r="A10" s="7"/>
      <c r="B10" s="10" t="s">
        <v>147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5">
      <c r="A11" s="7"/>
      <c r="B11" s="10" t="s">
        <v>147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5">
      <c r="A12" s="7"/>
      <c r="B12" s="15" t="s">
        <v>148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5">
      <c r="B13" s="15" t="s">
        <v>149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2024-11-07T10:11:37Z</cp:lastPrinted>
  <dcterms:created xsi:type="dcterms:W3CDTF">2019-07-16T09:29:46Z</dcterms:created>
  <dcterms:modified xsi:type="dcterms:W3CDTF">2025-08-02T09:49:17Z</dcterms:modified>
</cp:coreProperties>
</file>