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18-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Report!$A$1:$H$680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4" i="1" l="1"/>
  <c r="B160" i="1"/>
  <c r="B146" i="1"/>
  <c r="B132" i="1"/>
  <c r="B118" i="1"/>
  <c r="H146" i="1"/>
  <c r="H118" i="1"/>
  <c r="H160" i="1"/>
  <c r="H132" i="1"/>
  <c r="H174" i="1"/>
  <c r="D186" i="1" l="1"/>
  <c r="D184" i="1"/>
  <c r="D182" i="1"/>
  <c r="D180" i="1"/>
  <c r="D178" i="1"/>
  <c r="D177" i="1"/>
  <c r="J177" i="1"/>
  <c r="J176" i="1"/>
  <c r="J173" i="1"/>
  <c r="J175" i="1" s="1"/>
  <c r="D185" i="1"/>
  <c r="D183" i="1"/>
  <c r="D181" i="1"/>
  <c r="D179" i="1"/>
  <c r="G177" i="1"/>
  <c r="J178" i="1"/>
  <c r="E177" i="1"/>
  <c r="J182" i="1"/>
  <c r="J184" i="1"/>
  <c r="J179" i="1"/>
  <c r="J180" i="1" s="1"/>
  <c r="J185" i="1" s="1"/>
  <c r="J186" i="1" s="1"/>
  <c r="J181" i="1"/>
  <c r="J183" i="1"/>
  <c r="J164" i="1"/>
  <c r="E163" i="1"/>
  <c r="J163" i="1"/>
  <c r="D172" i="1"/>
  <c r="D170" i="1"/>
  <c r="D168" i="1"/>
  <c r="D166" i="1"/>
  <c r="D164" i="1"/>
  <c r="D163" i="1"/>
  <c r="D171" i="1"/>
  <c r="D169" i="1"/>
  <c r="D167" i="1"/>
  <c r="D165" i="1"/>
  <c r="J162" i="1"/>
  <c r="J159" i="1"/>
  <c r="J161" i="1" s="1"/>
  <c r="J165" i="1"/>
  <c r="J166" i="1" s="1"/>
  <c r="J171" i="1" s="1"/>
  <c r="J172" i="1" s="1"/>
  <c r="J167" i="1"/>
  <c r="J169" i="1"/>
  <c r="J168" i="1"/>
  <c r="J170" i="1"/>
  <c r="D158" i="1"/>
  <c r="D156" i="1"/>
  <c r="D154" i="1"/>
  <c r="D152" i="1"/>
  <c r="D157" i="1"/>
  <c r="D155" i="1"/>
  <c r="D153" i="1"/>
  <c r="D151" i="1"/>
  <c r="J149" i="1"/>
  <c r="J150" i="1"/>
  <c r="C149" i="1" s="1"/>
  <c r="D149" i="1" s="1"/>
  <c r="J148" i="1"/>
  <c r="J145" i="1"/>
  <c r="J147" i="1" s="1"/>
  <c r="J154" i="1"/>
  <c r="J156" i="1"/>
  <c r="J151" i="1"/>
  <c r="J152" i="1" s="1"/>
  <c r="J153" i="1"/>
  <c r="J155" i="1"/>
  <c r="D144" i="1"/>
  <c r="D142" i="1"/>
  <c r="D140" i="1"/>
  <c r="D138" i="1"/>
  <c r="J136" i="1"/>
  <c r="C135" i="1" s="1"/>
  <c r="J134" i="1"/>
  <c r="J131" i="1"/>
  <c r="J133" i="1" s="1"/>
  <c r="D143" i="1"/>
  <c r="D141" i="1"/>
  <c r="D139" i="1"/>
  <c r="D137" i="1"/>
  <c r="J135" i="1"/>
  <c r="J137" i="1"/>
  <c r="J138" i="1" s="1"/>
  <c r="J139" i="1"/>
  <c r="J141" i="1"/>
  <c r="J140" i="1"/>
  <c r="J142" i="1"/>
  <c r="J122" i="1"/>
  <c r="C121" i="1" s="1"/>
  <c r="D121" i="1" s="1"/>
  <c r="J120" i="1"/>
  <c r="J117" i="1"/>
  <c r="J119" i="1" s="1"/>
  <c r="D130" i="1"/>
  <c r="D128" i="1"/>
  <c r="D126" i="1"/>
  <c r="D124" i="1"/>
  <c r="D129" i="1"/>
  <c r="D127" i="1"/>
  <c r="D125" i="1"/>
  <c r="D123" i="1"/>
  <c r="J121" i="1"/>
  <c r="J123" i="1"/>
  <c r="J124" i="1" s="1"/>
  <c r="J125" i="1"/>
  <c r="J127" i="1"/>
  <c r="J126" i="1"/>
  <c r="J128" i="1"/>
  <c r="E43" i="1"/>
  <c r="D463" i="1"/>
  <c r="F463" i="1" s="1"/>
  <c r="H463" i="1" s="1"/>
  <c r="D462" i="1"/>
  <c r="F462" i="1" s="1"/>
  <c r="H462" i="1" s="1"/>
  <c r="D461" i="1"/>
  <c r="F461" i="1" s="1"/>
  <c r="H461" i="1" s="1"/>
  <c r="D460" i="1"/>
  <c r="F460" i="1" s="1"/>
  <c r="H460" i="1" s="1"/>
  <c r="D459" i="1"/>
  <c r="F459" i="1" s="1"/>
  <c r="H459" i="1" s="1"/>
  <c r="D458" i="1"/>
  <c r="F458" i="1" s="1"/>
  <c r="H458" i="1" s="1"/>
  <c r="D457" i="1"/>
  <c r="F457" i="1" s="1"/>
  <c r="H457" i="1" s="1"/>
  <c r="I456" i="1"/>
  <c r="D456" i="1"/>
  <c r="F456" i="1" s="1"/>
  <c r="H456" i="1" s="1"/>
  <c r="D454" i="1"/>
  <c r="F454" i="1" s="1"/>
  <c r="H454" i="1" s="1"/>
  <c r="D453" i="1"/>
  <c r="F453" i="1" s="1"/>
  <c r="H453" i="1" s="1"/>
  <c r="D452" i="1"/>
  <c r="F452" i="1" s="1"/>
  <c r="H452" i="1" s="1"/>
  <c r="D451" i="1"/>
  <c r="F451" i="1" s="1"/>
  <c r="H451" i="1" s="1"/>
  <c r="D450" i="1"/>
  <c r="F450" i="1" s="1"/>
  <c r="H450" i="1" s="1"/>
  <c r="D449" i="1"/>
  <c r="F449" i="1" s="1"/>
  <c r="H449" i="1" s="1"/>
  <c r="I448" i="1"/>
  <c r="D448" i="1"/>
  <c r="F448" i="1" s="1"/>
  <c r="H448" i="1" s="1"/>
  <c r="I447" i="1"/>
  <c r="D447" i="1"/>
  <c r="F447" i="1" s="1"/>
  <c r="H447" i="1" s="1"/>
  <c r="D444" i="1"/>
  <c r="F444" i="1" s="1"/>
  <c r="H444" i="1" s="1"/>
  <c r="D443" i="1"/>
  <c r="F443" i="1" s="1"/>
  <c r="H443" i="1" s="1"/>
  <c r="D442" i="1"/>
  <c r="F442" i="1" s="1"/>
  <c r="H442" i="1" s="1"/>
  <c r="D441" i="1"/>
  <c r="F441" i="1" s="1"/>
  <c r="H441" i="1" s="1"/>
  <c r="D440" i="1"/>
  <c r="F440" i="1" s="1"/>
  <c r="H440" i="1" s="1"/>
  <c r="D439" i="1"/>
  <c r="F439" i="1" s="1"/>
  <c r="H439" i="1" s="1"/>
  <c r="D438" i="1"/>
  <c r="F438" i="1" s="1"/>
  <c r="H438" i="1" s="1"/>
  <c r="I437" i="1"/>
  <c r="D437" i="1"/>
  <c r="F437" i="1" s="1"/>
  <c r="H437" i="1" s="1"/>
  <c r="D435" i="1"/>
  <c r="F435" i="1" s="1"/>
  <c r="H435" i="1" s="1"/>
  <c r="D434" i="1"/>
  <c r="F434" i="1" s="1"/>
  <c r="H434" i="1" s="1"/>
  <c r="D433" i="1"/>
  <c r="F433" i="1" s="1"/>
  <c r="H433" i="1" s="1"/>
  <c r="D432" i="1"/>
  <c r="F432" i="1" s="1"/>
  <c r="H432" i="1" s="1"/>
  <c r="D431" i="1"/>
  <c r="F431" i="1" s="1"/>
  <c r="H431" i="1" s="1"/>
  <c r="D430" i="1"/>
  <c r="F430" i="1" s="1"/>
  <c r="H430" i="1" s="1"/>
  <c r="I429" i="1"/>
  <c r="D429" i="1"/>
  <c r="F429" i="1" s="1"/>
  <c r="H429" i="1" s="1"/>
  <c r="I428" i="1"/>
  <c r="D428" i="1"/>
  <c r="F428" i="1" s="1"/>
  <c r="H428" i="1" s="1"/>
  <c r="D405" i="1"/>
  <c r="F405" i="1" s="1"/>
  <c r="H405" i="1" s="1"/>
  <c r="D404" i="1"/>
  <c r="F404" i="1" s="1"/>
  <c r="H404" i="1" s="1"/>
  <c r="D403" i="1"/>
  <c r="F403" i="1" s="1"/>
  <c r="H403" i="1" s="1"/>
  <c r="D402" i="1"/>
  <c r="F402" i="1" s="1"/>
  <c r="H402" i="1" s="1"/>
  <c r="D401" i="1"/>
  <c r="F401" i="1" s="1"/>
  <c r="H401" i="1" s="1"/>
  <c r="D400" i="1"/>
  <c r="F400" i="1" s="1"/>
  <c r="H400" i="1" s="1"/>
  <c r="D399" i="1"/>
  <c r="F399" i="1" s="1"/>
  <c r="H399" i="1" s="1"/>
  <c r="I398" i="1"/>
  <c r="D398" i="1"/>
  <c r="F398" i="1" s="1"/>
  <c r="H398" i="1" s="1"/>
  <c r="D396" i="1"/>
  <c r="F396" i="1" s="1"/>
  <c r="H396" i="1" s="1"/>
  <c r="D395" i="1"/>
  <c r="F395" i="1" s="1"/>
  <c r="H395" i="1" s="1"/>
  <c r="D394" i="1"/>
  <c r="F394" i="1" s="1"/>
  <c r="H394" i="1" s="1"/>
  <c r="D393" i="1"/>
  <c r="F393" i="1" s="1"/>
  <c r="H393" i="1" s="1"/>
  <c r="I392" i="1"/>
  <c r="D392" i="1"/>
  <c r="F392" i="1" s="1"/>
  <c r="H392" i="1" s="1"/>
  <c r="D391" i="1"/>
  <c r="F391" i="1" s="1"/>
  <c r="H391" i="1" s="1"/>
  <c r="D390" i="1"/>
  <c r="F390" i="1" s="1"/>
  <c r="H390" i="1" s="1"/>
  <c r="I389" i="1"/>
  <c r="D389" i="1"/>
  <c r="F389" i="1" s="1"/>
  <c r="H389" i="1" s="1"/>
  <c r="D386" i="1"/>
  <c r="F386" i="1" s="1"/>
  <c r="H386" i="1" s="1"/>
  <c r="D385" i="1"/>
  <c r="F385" i="1" s="1"/>
  <c r="H385" i="1" s="1"/>
  <c r="D384" i="1"/>
  <c r="F384" i="1" s="1"/>
  <c r="H384" i="1" s="1"/>
  <c r="D383" i="1"/>
  <c r="F383" i="1" s="1"/>
  <c r="H383" i="1" s="1"/>
  <c r="D382" i="1"/>
  <c r="F382" i="1" s="1"/>
  <c r="H382" i="1" s="1"/>
  <c r="D381" i="1"/>
  <c r="F381" i="1" s="1"/>
  <c r="H381" i="1" s="1"/>
  <c r="D380" i="1"/>
  <c r="F380" i="1" s="1"/>
  <c r="H380" i="1" s="1"/>
  <c r="I379" i="1"/>
  <c r="D379" i="1"/>
  <c r="F379" i="1" s="1"/>
  <c r="H379" i="1" s="1"/>
  <c r="D377" i="1"/>
  <c r="F377" i="1" s="1"/>
  <c r="H377" i="1" s="1"/>
  <c r="D376" i="1"/>
  <c r="F376" i="1" s="1"/>
  <c r="H376" i="1" s="1"/>
  <c r="D375" i="1"/>
  <c r="F375" i="1" s="1"/>
  <c r="H375" i="1" s="1"/>
  <c r="D374" i="1"/>
  <c r="F374" i="1" s="1"/>
  <c r="H374" i="1" s="1"/>
  <c r="I373" i="1"/>
  <c r="D373" i="1"/>
  <c r="F373" i="1" s="1"/>
  <c r="H373" i="1" s="1"/>
  <c r="D372" i="1"/>
  <c r="F372" i="1" s="1"/>
  <c r="H372" i="1" s="1"/>
  <c r="D371" i="1"/>
  <c r="F371" i="1" s="1"/>
  <c r="H371" i="1" s="1"/>
  <c r="I370" i="1"/>
  <c r="D370" i="1"/>
  <c r="F370" i="1" s="1"/>
  <c r="H370" i="1" s="1"/>
  <c r="D347" i="1"/>
  <c r="F347" i="1" s="1"/>
  <c r="H347" i="1" s="1"/>
  <c r="D346" i="1"/>
  <c r="F346" i="1" s="1"/>
  <c r="H346" i="1" s="1"/>
  <c r="D345" i="1"/>
  <c r="F345" i="1" s="1"/>
  <c r="H345" i="1" s="1"/>
  <c r="D344" i="1"/>
  <c r="F344" i="1" s="1"/>
  <c r="H344" i="1" s="1"/>
  <c r="D343" i="1"/>
  <c r="F343" i="1" s="1"/>
  <c r="H343" i="1" s="1"/>
  <c r="J342" i="1"/>
  <c r="D342" i="1"/>
  <c r="F342" i="1" s="1"/>
  <c r="H342" i="1" s="1"/>
  <c r="D341" i="1"/>
  <c r="F341" i="1" s="1"/>
  <c r="H341" i="1" s="1"/>
  <c r="I340" i="1"/>
  <c r="D340" i="1"/>
  <c r="F340" i="1" s="1"/>
  <c r="H340" i="1" s="1"/>
  <c r="D338" i="1"/>
  <c r="F338" i="1" s="1"/>
  <c r="H338" i="1" s="1"/>
  <c r="D337" i="1"/>
  <c r="F337" i="1" s="1"/>
  <c r="H337" i="1" s="1"/>
  <c r="D336" i="1"/>
  <c r="F336" i="1" s="1"/>
  <c r="H336" i="1" s="1"/>
  <c r="D335" i="1"/>
  <c r="F335" i="1" s="1"/>
  <c r="H335" i="1" s="1"/>
  <c r="D334" i="1"/>
  <c r="F334" i="1" s="1"/>
  <c r="H334" i="1" s="1"/>
  <c r="D333" i="1"/>
  <c r="F333" i="1" s="1"/>
  <c r="H333" i="1" s="1"/>
  <c r="D332" i="1"/>
  <c r="F332" i="1" s="1"/>
  <c r="H332" i="1" s="1"/>
  <c r="I331" i="1"/>
  <c r="D331" i="1"/>
  <c r="F331" i="1" s="1"/>
  <c r="H331" i="1" s="1"/>
  <c r="D328" i="1"/>
  <c r="F328" i="1" s="1"/>
  <c r="H328" i="1" s="1"/>
  <c r="D327" i="1"/>
  <c r="F327" i="1" s="1"/>
  <c r="H327" i="1" s="1"/>
  <c r="D326" i="1"/>
  <c r="F326" i="1" s="1"/>
  <c r="H326" i="1" s="1"/>
  <c r="D325" i="1"/>
  <c r="F325" i="1" s="1"/>
  <c r="H325" i="1" s="1"/>
  <c r="D324" i="1"/>
  <c r="F324" i="1" s="1"/>
  <c r="H324" i="1" s="1"/>
  <c r="J323" i="1"/>
  <c r="D323" i="1"/>
  <c r="F323" i="1" s="1"/>
  <c r="H323" i="1" s="1"/>
  <c r="D322" i="1"/>
  <c r="F322" i="1" s="1"/>
  <c r="H322" i="1" s="1"/>
  <c r="I321" i="1"/>
  <c r="D321" i="1"/>
  <c r="F321" i="1" s="1"/>
  <c r="H321" i="1" s="1"/>
  <c r="D319" i="1"/>
  <c r="F319" i="1" s="1"/>
  <c r="H319" i="1" s="1"/>
  <c r="D318" i="1"/>
  <c r="F318" i="1" s="1"/>
  <c r="H318" i="1" s="1"/>
  <c r="D317" i="1"/>
  <c r="F317" i="1" s="1"/>
  <c r="H317" i="1" s="1"/>
  <c r="D316" i="1"/>
  <c r="F316" i="1" s="1"/>
  <c r="H316" i="1" s="1"/>
  <c r="D315" i="1"/>
  <c r="F315" i="1" s="1"/>
  <c r="H315" i="1" s="1"/>
  <c r="D314" i="1"/>
  <c r="F314" i="1" s="1"/>
  <c r="H314" i="1" s="1"/>
  <c r="D313" i="1"/>
  <c r="F313" i="1" s="1"/>
  <c r="H313" i="1" s="1"/>
  <c r="I312" i="1"/>
  <c r="D312" i="1"/>
  <c r="F312" i="1" s="1"/>
  <c r="H312" i="1" s="1"/>
  <c r="D309" i="1"/>
  <c r="F309" i="1" s="1"/>
  <c r="H309" i="1" s="1"/>
  <c r="D308" i="1"/>
  <c r="F308" i="1" s="1"/>
  <c r="H308" i="1" s="1"/>
  <c r="D307" i="1"/>
  <c r="F307" i="1" s="1"/>
  <c r="H307" i="1" s="1"/>
  <c r="D306" i="1"/>
  <c r="F306" i="1" s="1"/>
  <c r="H306" i="1" s="1"/>
  <c r="D305" i="1"/>
  <c r="F305" i="1" s="1"/>
  <c r="H305" i="1" s="1"/>
  <c r="J304" i="1"/>
  <c r="D304" i="1"/>
  <c r="F304" i="1" s="1"/>
  <c r="H304" i="1" s="1"/>
  <c r="D303" i="1"/>
  <c r="F303" i="1" s="1"/>
  <c r="H303" i="1" s="1"/>
  <c r="I302" i="1"/>
  <c r="D302" i="1"/>
  <c r="F302" i="1" s="1"/>
  <c r="H302" i="1" s="1"/>
  <c r="D300" i="1"/>
  <c r="F300" i="1" s="1"/>
  <c r="H300" i="1" s="1"/>
  <c r="D299" i="1"/>
  <c r="F299" i="1" s="1"/>
  <c r="H299" i="1" s="1"/>
  <c r="D298" i="1"/>
  <c r="F298" i="1" s="1"/>
  <c r="H298" i="1" s="1"/>
  <c r="D297" i="1"/>
  <c r="F297" i="1" s="1"/>
  <c r="H297" i="1" s="1"/>
  <c r="D296" i="1"/>
  <c r="F296" i="1" s="1"/>
  <c r="H296" i="1" s="1"/>
  <c r="D295" i="1"/>
  <c r="F295" i="1" s="1"/>
  <c r="H295" i="1" s="1"/>
  <c r="D294" i="1"/>
  <c r="F294" i="1" s="1"/>
  <c r="H294" i="1" s="1"/>
  <c r="I293" i="1"/>
  <c r="D293" i="1"/>
  <c r="F293" i="1" s="1"/>
  <c r="H293" i="1" s="1"/>
  <c r="D290" i="1"/>
  <c r="F290" i="1" s="1"/>
  <c r="H290" i="1" s="1"/>
  <c r="D289" i="1"/>
  <c r="F289" i="1" s="1"/>
  <c r="H289" i="1" s="1"/>
  <c r="D288" i="1"/>
  <c r="F288" i="1" s="1"/>
  <c r="H288" i="1" s="1"/>
  <c r="D287" i="1"/>
  <c r="F287" i="1" s="1"/>
  <c r="H287" i="1" s="1"/>
  <c r="D286" i="1"/>
  <c r="F286" i="1" s="1"/>
  <c r="H286" i="1" s="1"/>
  <c r="J285" i="1"/>
  <c r="D285" i="1"/>
  <c r="F285" i="1" s="1"/>
  <c r="H285" i="1" s="1"/>
  <c r="D284" i="1"/>
  <c r="F284" i="1" s="1"/>
  <c r="H284" i="1" s="1"/>
  <c r="I283" i="1"/>
  <c r="D283" i="1"/>
  <c r="F283" i="1" s="1"/>
  <c r="H283" i="1" s="1"/>
  <c r="D281" i="1"/>
  <c r="F281" i="1" s="1"/>
  <c r="H281" i="1" s="1"/>
  <c r="D280" i="1"/>
  <c r="F280" i="1" s="1"/>
  <c r="H280" i="1" s="1"/>
  <c r="D279" i="1"/>
  <c r="F279" i="1" s="1"/>
  <c r="H279" i="1" s="1"/>
  <c r="D278" i="1"/>
  <c r="F278" i="1" s="1"/>
  <c r="H278" i="1" s="1"/>
  <c r="D277" i="1"/>
  <c r="F277" i="1" s="1"/>
  <c r="H277" i="1" s="1"/>
  <c r="D276" i="1"/>
  <c r="F276" i="1" s="1"/>
  <c r="H276" i="1" s="1"/>
  <c r="D275" i="1"/>
  <c r="F275" i="1" s="1"/>
  <c r="H275" i="1" s="1"/>
  <c r="I274" i="1"/>
  <c r="D274" i="1"/>
  <c r="F274" i="1" s="1"/>
  <c r="H274" i="1" s="1"/>
  <c r="D252" i="1"/>
  <c r="F252" i="1" s="1"/>
  <c r="H252" i="1" s="1"/>
  <c r="D251" i="1"/>
  <c r="F251" i="1" s="1"/>
  <c r="H251" i="1" s="1"/>
  <c r="D250" i="1"/>
  <c r="F250" i="1" s="1"/>
  <c r="H250" i="1" s="1"/>
  <c r="D249" i="1"/>
  <c r="F249" i="1" s="1"/>
  <c r="H249" i="1" s="1"/>
  <c r="D248" i="1"/>
  <c r="F248" i="1" s="1"/>
  <c r="H248" i="1" s="1"/>
  <c r="J247" i="1"/>
  <c r="D247" i="1"/>
  <c r="F247" i="1" s="1"/>
  <c r="H247" i="1" s="1"/>
  <c r="D246" i="1"/>
  <c r="F246" i="1" s="1"/>
  <c r="H246" i="1" s="1"/>
  <c r="I245" i="1"/>
  <c r="D245" i="1"/>
  <c r="F245" i="1" s="1"/>
  <c r="H245" i="1" s="1"/>
  <c r="D243" i="1"/>
  <c r="F243" i="1" s="1"/>
  <c r="H243" i="1" s="1"/>
  <c r="D242" i="1"/>
  <c r="F242" i="1" s="1"/>
  <c r="H242" i="1" s="1"/>
  <c r="D241" i="1"/>
  <c r="F241" i="1" s="1"/>
  <c r="H241" i="1" s="1"/>
  <c r="D240" i="1"/>
  <c r="F240" i="1" s="1"/>
  <c r="H240" i="1" s="1"/>
  <c r="D239" i="1"/>
  <c r="F239" i="1" s="1"/>
  <c r="H239" i="1" s="1"/>
  <c r="D238" i="1"/>
  <c r="F238" i="1" s="1"/>
  <c r="H238" i="1" s="1"/>
  <c r="D237" i="1"/>
  <c r="F237" i="1" s="1"/>
  <c r="H237" i="1" s="1"/>
  <c r="I236" i="1"/>
  <c r="D236" i="1"/>
  <c r="F236" i="1" s="1"/>
  <c r="H236" i="1" s="1"/>
  <c r="D425" i="1"/>
  <c r="F425" i="1" s="1"/>
  <c r="H425" i="1" s="1"/>
  <c r="D424" i="1"/>
  <c r="F424" i="1" s="1"/>
  <c r="H424" i="1" s="1"/>
  <c r="D423" i="1"/>
  <c r="D422" i="1"/>
  <c r="F422" i="1" s="1"/>
  <c r="H422" i="1" s="1"/>
  <c r="D421" i="1"/>
  <c r="F421" i="1" s="1"/>
  <c r="H421" i="1" s="1"/>
  <c r="D420" i="1"/>
  <c r="F420" i="1" s="1"/>
  <c r="H420" i="1" s="1"/>
  <c r="D419" i="1"/>
  <c r="F419" i="1" s="1"/>
  <c r="H419" i="1" s="1"/>
  <c r="D418" i="1"/>
  <c r="F418" i="1" s="1"/>
  <c r="H418" i="1" s="1"/>
  <c r="D416" i="1"/>
  <c r="F416" i="1" s="1"/>
  <c r="H416" i="1" s="1"/>
  <c r="D415" i="1"/>
  <c r="F415" i="1" s="1"/>
  <c r="H415" i="1" s="1"/>
  <c r="D414" i="1"/>
  <c r="F414" i="1" s="1"/>
  <c r="H414" i="1" s="1"/>
  <c r="D413" i="1"/>
  <c r="F413" i="1" s="1"/>
  <c r="H413" i="1" s="1"/>
  <c r="D412" i="1"/>
  <c r="F412" i="1" s="1"/>
  <c r="H412" i="1" s="1"/>
  <c r="D411" i="1"/>
  <c r="F411" i="1" s="1"/>
  <c r="H411" i="1" s="1"/>
  <c r="D410" i="1"/>
  <c r="F410" i="1" s="1"/>
  <c r="H410" i="1" s="1"/>
  <c r="D409" i="1"/>
  <c r="F409" i="1" s="1"/>
  <c r="H409" i="1" s="1"/>
  <c r="D367" i="1"/>
  <c r="F367" i="1" s="1"/>
  <c r="H367" i="1" s="1"/>
  <c r="D366" i="1"/>
  <c r="F366" i="1" s="1"/>
  <c r="H366" i="1" s="1"/>
  <c r="D365" i="1"/>
  <c r="F365" i="1" s="1"/>
  <c r="H365" i="1" s="1"/>
  <c r="D364" i="1"/>
  <c r="F364" i="1" s="1"/>
  <c r="H364" i="1" s="1"/>
  <c r="D363" i="1"/>
  <c r="F363" i="1" s="1"/>
  <c r="H363" i="1" s="1"/>
  <c r="D362" i="1"/>
  <c r="F362" i="1" s="1"/>
  <c r="H362" i="1" s="1"/>
  <c r="D361" i="1"/>
  <c r="F361" i="1" s="1"/>
  <c r="H361" i="1" s="1"/>
  <c r="D360" i="1"/>
  <c r="F360" i="1" s="1"/>
  <c r="H360" i="1" s="1"/>
  <c r="D358" i="1"/>
  <c r="F358" i="1" s="1"/>
  <c r="H358" i="1" s="1"/>
  <c r="D357" i="1"/>
  <c r="F357" i="1" s="1"/>
  <c r="H357" i="1" s="1"/>
  <c r="D356" i="1"/>
  <c r="F356" i="1" s="1"/>
  <c r="H356" i="1" s="1"/>
  <c r="D355" i="1"/>
  <c r="F355" i="1" s="1"/>
  <c r="H355" i="1" s="1"/>
  <c r="D354" i="1"/>
  <c r="F354" i="1" s="1"/>
  <c r="H354" i="1" s="1"/>
  <c r="D353" i="1"/>
  <c r="F353" i="1" s="1"/>
  <c r="H353" i="1" s="1"/>
  <c r="D352" i="1"/>
  <c r="F352" i="1" s="1"/>
  <c r="H352" i="1" s="1"/>
  <c r="D351" i="1"/>
  <c r="F351" i="1" s="1"/>
  <c r="H351" i="1" s="1"/>
  <c r="D271" i="1"/>
  <c r="F271" i="1" s="1"/>
  <c r="H271" i="1" s="1"/>
  <c r="D270" i="1"/>
  <c r="F270" i="1" s="1"/>
  <c r="H270" i="1" s="1"/>
  <c r="D269" i="1"/>
  <c r="F269" i="1" s="1"/>
  <c r="H269" i="1" s="1"/>
  <c r="D268" i="1"/>
  <c r="F268" i="1" s="1"/>
  <c r="H268" i="1" s="1"/>
  <c r="D267" i="1"/>
  <c r="F267" i="1" s="1"/>
  <c r="H267" i="1" s="1"/>
  <c r="D266" i="1"/>
  <c r="F266" i="1" s="1"/>
  <c r="H266" i="1" s="1"/>
  <c r="D265" i="1"/>
  <c r="F265" i="1" s="1"/>
  <c r="H265" i="1" s="1"/>
  <c r="D264" i="1"/>
  <c r="F264" i="1" s="1"/>
  <c r="H264" i="1" s="1"/>
  <c r="D262" i="1"/>
  <c r="F262" i="1" s="1"/>
  <c r="H262" i="1" s="1"/>
  <c r="D261" i="1"/>
  <c r="F261" i="1" s="1"/>
  <c r="H261" i="1" s="1"/>
  <c r="D260" i="1"/>
  <c r="F260" i="1" s="1"/>
  <c r="H260" i="1" s="1"/>
  <c r="D259" i="1"/>
  <c r="F259" i="1" s="1"/>
  <c r="H259" i="1" s="1"/>
  <c r="D258" i="1"/>
  <c r="D257" i="1"/>
  <c r="D256" i="1"/>
  <c r="D255" i="1"/>
  <c r="J266" i="1"/>
  <c r="I354" i="1"/>
  <c r="F423" i="1"/>
  <c r="H423" i="1" s="1"/>
  <c r="I418" i="1"/>
  <c r="I410" i="1"/>
  <c r="I409" i="1"/>
  <c r="I360" i="1"/>
  <c r="I351" i="1"/>
  <c r="I264" i="1"/>
  <c r="I255" i="1"/>
  <c r="J129" i="1" l="1"/>
  <c r="J130" i="1" s="1"/>
  <c r="C122" i="1" s="1"/>
  <c r="E121" i="1" s="1"/>
  <c r="J174" i="1"/>
  <c r="I174" i="1"/>
  <c r="I175" i="1" s="1"/>
  <c r="I160" i="1"/>
  <c r="I161" i="1" s="1"/>
  <c r="G163" i="1"/>
  <c r="J160" i="1"/>
  <c r="J157" i="1"/>
  <c r="J158" i="1" s="1"/>
  <c r="G149" i="1"/>
  <c r="J143" i="1"/>
  <c r="D135" i="1"/>
  <c r="C208" i="1"/>
  <c r="G217" i="1"/>
  <c r="G211" i="1"/>
  <c r="G210" i="1"/>
  <c r="G215" i="1"/>
  <c r="G209" i="1"/>
  <c r="G216" i="1"/>
  <c r="G207" i="1"/>
  <c r="G212" i="1"/>
  <c r="G214" i="1"/>
  <c r="G218" i="1"/>
  <c r="G213" i="1"/>
  <c r="C211" i="1"/>
  <c r="E210" i="1"/>
  <c r="E216" i="1"/>
  <c r="C212" i="1"/>
  <c r="E214" i="1"/>
  <c r="C213" i="1"/>
  <c r="E211" i="1"/>
  <c r="E217" i="1"/>
  <c r="C214" i="1"/>
  <c r="C215" i="1"/>
  <c r="E212" i="1"/>
  <c r="E218" i="1"/>
  <c r="C216" i="1"/>
  <c r="E207" i="1"/>
  <c r="C217" i="1"/>
  <c r="E213" i="1"/>
  <c r="C218" i="1"/>
  <c r="C207" i="1"/>
  <c r="C209" i="1"/>
  <c r="E209" i="1"/>
  <c r="E215" i="1"/>
  <c r="C210" i="1"/>
  <c r="J144" i="1" l="1"/>
  <c r="C136" i="1"/>
  <c r="E135" i="1" s="1"/>
  <c r="G121" i="1"/>
  <c r="J118" i="1"/>
  <c r="D122" i="1"/>
  <c r="I118" i="1" s="1"/>
  <c r="I119" i="1" s="1"/>
  <c r="I173" i="1"/>
  <c r="C175" i="1" s="1"/>
  <c r="J146" i="1"/>
  <c r="I159" i="1"/>
  <c r="C161" i="1" s="1"/>
  <c r="E149" i="1"/>
  <c r="D150" i="1"/>
  <c r="I146" i="1" s="1"/>
  <c r="C219" i="1"/>
  <c r="B38" i="6"/>
  <c r="B39" i="6" s="1"/>
  <c r="B40" i="6" s="1"/>
  <c r="B41" i="6" s="1"/>
  <c r="B42" i="6" s="1"/>
  <c r="B43" i="6" s="1"/>
  <c r="B44" i="6" s="1"/>
  <c r="B45" i="6" s="1"/>
  <c r="B46" i="6" s="1"/>
  <c r="B47" i="6" s="1"/>
  <c r="B48" i="6" s="1"/>
  <c r="B49" i="6" s="1"/>
  <c r="B50" i="6" s="1"/>
  <c r="B51" i="6" s="1"/>
  <c r="B52" i="6" s="1"/>
  <c r="B53" i="6" s="1"/>
  <c r="J132" i="1" l="1"/>
  <c r="D136" i="1"/>
  <c r="I132" i="1" s="1"/>
  <c r="I133" i="1" s="1"/>
  <c r="G135" i="1"/>
  <c r="I117" i="1"/>
  <c r="C119" i="1" s="1"/>
  <c r="I147" i="1"/>
  <c r="I145" i="1" s="1"/>
  <c r="C147" i="1" s="1"/>
  <c r="F226" i="1"/>
  <c r="H226" i="1" s="1"/>
  <c r="I131" i="1" l="1"/>
  <c r="C133"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516" i="1"/>
  <c r="B491" i="1"/>
  <c r="B490" i="1"/>
  <c r="F487" i="1"/>
  <c r="H487" i="1" s="1"/>
  <c r="F486" i="1"/>
  <c r="H486" i="1" s="1"/>
  <c r="F485" i="1"/>
  <c r="H485" i="1" s="1"/>
  <c r="F484" i="1"/>
  <c r="H484" i="1" s="1"/>
  <c r="F483" i="1"/>
  <c r="H483" i="1" s="1"/>
  <c r="F481" i="1"/>
  <c r="H481" i="1" s="1"/>
  <c r="F480" i="1"/>
  <c r="H480" i="1" s="1"/>
  <c r="F479" i="1"/>
  <c r="H479" i="1" s="1"/>
  <c r="F478" i="1"/>
  <c r="H478" i="1" s="1"/>
  <c r="F477" i="1"/>
  <c r="H477" i="1" s="1"/>
  <c r="F475" i="1"/>
  <c r="H475" i="1" s="1"/>
  <c r="F474" i="1"/>
  <c r="H474" i="1" s="1"/>
  <c r="F473" i="1"/>
  <c r="H473" i="1" s="1"/>
  <c r="F472" i="1"/>
  <c r="H472" i="1" s="1"/>
  <c r="F471" i="1"/>
  <c r="H471" i="1" s="1"/>
  <c r="F469" i="1"/>
  <c r="H469" i="1" s="1"/>
  <c r="F468" i="1"/>
  <c r="H468" i="1" s="1"/>
  <c r="F467" i="1"/>
  <c r="H467" i="1" s="1"/>
  <c r="F466" i="1"/>
  <c r="H466" i="1" s="1"/>
  <c r="F465" i="1"/>
  <c r="H465" i="1" s="1"/>
  <c r="A465" i="1"/>
  <c r="A466" i="1" s="1"/>
  <c r="A467" i="1" s="1"/>
  <c r="A468" i="1" s="1"/>
  <c r="A469" i="1" s="1"/>
  <c r="F258" i="1"/>
  <c r="H258" i="1" s="1"/>
  <c r="F257" i="1"/>
  <c r="H257" i="1" s="1"/>
  <c r="F256" i="1"/>
  <c r="H256" i="1" s="1"/>
  <c r="F255" i="1"/>
  <c r="F229" i="1"/>
  <c r="H229" i="1" s="1"/>
  <c r="F228" i="1"/>
  <c r="H228" i="1" s="1"/>
  <c r="F227" i="1"/>
  <c r="H227" i="1" s="1"/>
  <c r="A227" i="1"/>
  <c r="A228" i="1" s="1"/>
  <c r="A229" i="1" s="1"/>
  <c r="C220" i="1"/>
  <c r="F199" i="1"/>
  <c r="B76" i="1"/>
  <c r="D69" i="1"/>
  <c r="D64" i="1"/>
  <c r="K55" i="1"/>
  <c r="C55" i="1"/>
  <c r="G51" i="1"/>
  <c r="C51" i="1"/>
  <c r="E44" i="1"/>
  <c r="E45" i="1" s="1"/>
  <c r="S33" i="1"/>
  <c r="E31" i="1"/>
  <c r="E28" i="1"/>
  <c r="E26" i="1"/>
  <c r="C16" i="1"/>
  <c r="I15" i="1"/>
  <c r="Z13" i="1"/>
  <c r="E8" i="1"/>
  <c r="E3" i="1"/>
  <c r="B501" i="1" s="1"/>
  <c r="H90" i="1"/>
  <c r="A477" i="1"/>
  <c r="H76" i="1"/>
  <c r="H104" i="1"/>
  <c r="A471" i="1"/>
  <c r="A483" i="1"/>
  <c r="H255" i="1" l="1"/>
  <c r="G208" i="1" s="1"/>
  <c r="G219" i="1" s="1"/>
  <c r="G220" i="1" s="1"/>
  <c r="E208" i="1"/>
  <c r="E219" i="1" s="1"/>
  <c r="E220" i="1" s="1"/>
  <c r="J83" i="1"/>
  <c r="J84" i="1"/>
  <c r="B104" i="1"/>
  <c r="J112" i="1" s="1"/>
  <c r="I42" i="7"/>
  <c r="H42" i="7" s="1"/>
  <c r="L42" i="7"/>
  <c r="K42" i="7" s="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D113" i="1"/>
  <c r="J107" i="1"/>
  <c r="J103" i="1"/>
  <c r="J105" i="1" s="1"/>
  <c r="J106" i="1"/>
  <c r="D111" i="1"/>
  <c r="D116" i="1"/>
  <c r="D110" i="1"/>
  <c r="D115" i="1"/>
  <c r="D109" i="1"/>
  <c r="D112" i="1"/>
  <c r="J108" i="1"/>
  <c r="C107" i="1" s="1"/>
  <c r="D107" i="1" s="1"/>
  <c r="D114" i="1"/>
  <c r="D42" i="7"/>
  <c r="L55" i="1"/>
  <c r="B90" i="1"/>
  <c r="J85" i="1"/>
  <c r="J86" i="1"/>
  <c r="I52" i="1"/>
  <c r="J81" i="1"/>
  <c r="A472" i="1"/>
  <c r="A484" i="1"/>
  <c r="A478" i="1"/>
  <c r="J82" i="1" l="1"/>
  <c r="J87" i="1" s="1"/>
  <c r="J88" i="1" s="1"/>
  <c r="C80" i="1" s="1"/>
  <c r="E79" i="1" s="1"/>
  <c r="J114" i="1"/>
  <c r="J113" i="1"/>
  <c r="D44" i="7"/>
  <c r="E44" i="7"/>
  <c r="J111" i="1"/>
  <c r="J109" i="1"/>
  <c r="J110" i="1" s="1"/>
  <c r="J115" i="1" s="1"/>
  <c r="J116" i="1" s="1"/>
  <c r="C108" i="1" s="1"/>
  <c r="G107" i="1" s="1"/>
  <c r="D79" i="1"/>
  <c r="D93" i="1"/>
  <c r="J98" i="1"/>
  <c r="J95" i="1"/>
  <c r="J96" i="1" s="1"/>
  <c r="J101" i="1" s="1"/>
  <c r="J102" i="1" s="1"/>
  <c r="C94" i="1" s="1"/>
  <c r="J100" i="1"/>
  <c r="J97" i="1"/>
  <c r="J99" i="1"/>
  <c r="A479" i="1"/>
  <c r="A473" i="1"/>
  <c r="A485" i="1"/>
  <c r="D80" i="1" l="1"/>
  <c r="I76" i="1" s="1"/>
  <c r="I77" i="1" s="1"/>
  <c r="G79" i="1"/>
  <c r="D73" i="1" s="1"/>
  <c r="D74" i="1" s="1"/>
  <c r="D108" i="1"/>
  <c r="I104" i="1" s="1"/>
  <c r="I105" i="1" s="1"/>
  <c r="J104" i="1"/>
  <c r="E107" i="1"/>
  <c r="J76" i="1"/>
  <c r="E93" i="1"/>
  <c r="D94" i="1"/>
  <c r="I90" i="1" s="1"/>
  <c r="J90" i="1"/>
  <c r="G93" i="1"/>
  <c r="A486" i="1"/>
  <c r="A474" i="1"/>
  <c r="A480" i="1"/>
  <c r="F74" i="1" l="1"/>
  <c r="I103" i="1"/>
  <c r="C105" i="1" s="1"/>
  <c r="I75" i="1"/>
  <c r="C77" i="1" s="1"/>
  <c r="I91" i="1"/>
  <c r="I89" i="1" s="1"/>
  <c r="C91" i="1" s="1"/>
  <c r="A481" i="1"/>
  <c r="A475" i="1"/>
  <c r="A487"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3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<sst xmlns="http://schemas.openxmlformats.org/spreadsheetml/2006/main" count="1135" uniqueCount="465">
  <si>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</si>
  <si>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</si>
  <si>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</si>
  <si>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</si>
  <si>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</si>
  <si>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</si>
  <si>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</si>
  <si>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</si>
  <si>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</si>
  <si>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</si>
  <si>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</si>
  <si>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</si>
  <si>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</si>
  <si>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</si>
  <si>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</si>
  <si>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</si>
  <si>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</si>
  <si>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</si>
  <si>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</si>
  <si>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</si>
  <si>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</si>
  <si>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</si>
  <si>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</si>
  <si>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</si>
  <si>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</si>
  <si>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</si>
  <si>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</si>
  <si>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</si>
  <si>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</si>
  <si>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</si>
  <si>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</si>
  <si>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</si>
  <si>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</si>
  <si>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</si>
  <si>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</si>
  <si>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</si>
  <si>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</si>
  <si>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</si>
  <si>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</si>
  <si>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</si>
  <si>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</si>
  <si>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</si>
  <si>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</si>
  <si>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</si>
  <si>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</si>
  <si>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</si>
  <si>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</si>
  <si>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</si>
  <si>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</si>
  <si>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</si>
  <si>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</si>
  <si>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</si>
  <si>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</si>
  <si>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</si>
  <si>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</si>
  <si>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</si>
  <si>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</si>
  <si>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</si>
  <si>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</si>
  <si>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</si>
  <si>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</si>
  <si>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</si>
  <si>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</si>
  <si>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</si>
  <si>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</si>
  <si>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</si>
  <si>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</si>
  <si>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</si>
  <si>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</si>
  <si>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</si>
  <si>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</si>
  <si>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</si>
  <si>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</si>
  <si>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</si>
  <si>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</si>
  <si>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</si>
  <si>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</si>
  <si>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</si>
  <si>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</si>
  <si>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</si>
  <si>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</si>
  <si>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</si>
  <si>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</si>
  <si>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</si>
  <si>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</si>
  <si>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</si>
  <si>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</si>
  <si>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</si>
  <si>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</si>
  <si>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</si>
  <si>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</si>
  <si>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</si>
  <si>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</si>
  <si>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</si>
  <si>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</si>
  <si>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</si>
  <si>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</si>
  <si>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</si>
  <si>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</si>
  <si>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</si>
  <si>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</si>
  <si>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</si>
  <si>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</si>
  <si>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</si>
  <si>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</si>
  <si>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</si>
  <si>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</si>
  <si>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</si>
  <si>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</si>
  <si>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</si>
  <si>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</si>
  <si>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</si>
  <si>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</si>
  <si>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</si>
  <si>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</si>
  <si>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</si>
  <si>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</si>
  <si>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</si>
  <si>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</si>
  <si>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</si>
  <si>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</si>
  <si>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</si>
  <si>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</si>
  <si>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</si>
  <si>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</si>
  <si>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</si>
  <si>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</si>
  <si>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</si>
  <si>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</si>
  <si>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</si>
  <si>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</si>
  <si>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</si>
  <si>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</si>
  <si>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</si>
  <si>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</si>
  <si>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</si>
  <si>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</si>
  <si>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</si>
  <si>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</si>
  <si>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</si>
  <si>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</si>
  <si>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</si>
  <si>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</si>
  <si>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</si>
  <si>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</si>
  <si>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</si>
  <si>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</si>
  <si>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</si>
  <si>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</si>
  <si>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</si>
  <si>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</si>
  <si>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</si>
  <si>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Only For MCGM &amp; MHADA or SRA</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</si>
  <si>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</si>
  <si>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</si>
  <si>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</si>
  <si>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</si>
  <si>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</si>
  <si>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</si>
  <si>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</si>
  <si>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</si>
  <si>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</si>
  <si>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</si>
  <si>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</si>
  <si>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</si>
  <si>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</si>
  <si>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</si>
  <si>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</si>
  <si>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</si>
  <si>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</si>
  <si>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</si>
  <si>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</si>
  <si>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</si>
  <si>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</si>
  <si>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</si>
  <si>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</si>
  <si>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</si>
  <si>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</si>
  <si>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</si>
  <si>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</si>
  <si>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</si>
  <si>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</si>
  <si>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</si>
  <si>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</si>
  <si>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</si>
  <si>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</si>
  <si>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</si>
  <si>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</si>
  <si>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</si>
  <si>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</si>
  <si>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</si>
  <si>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</si>
  <si>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</si>
  <si>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</si>
  <si>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</si>
  <si>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</si>
  <si>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</si>
  <si>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</si>
  <si>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</si>
  <si>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</si>
  <si>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</si>
  <si>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</si>
  <si>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</si>
  <si>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</si>
  <si>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</si>
  <si>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</si>
  <si>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</si>
  <si>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</si>
  <si>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</si>
  <si>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</si>
  <si>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</si>
  <si>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</si>
  <si>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</si>
  <si>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</si>
  <si>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</si>
  <si>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</si>
  <si>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</si>
  <si>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</si>
  <si>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</si>
  <si>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</si>
  <si>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</si>
  <si>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</si>
  <si>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</si>
  <si>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</si>
  <si>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</si>
  <si>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</si>
  <si>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</si>
  <si>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</si>
  <si>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</si>
  <si>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</si>
  <si>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</si>
  <si>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</si>
  <si>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</si>
  <si>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</si>
  <si>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</si>
  <si>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</si>
  <si>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</si>
  <si>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</si>
  <si>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</si>
  <si>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</si>
  <si>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</si>
  <si>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</si>
  <si>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</si>
  <si>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</si>
  <si>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</si>
  <si>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</si>
  <si>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</si>
  <si>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</si>
  <si>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</si>
  <si>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</si>
  <si>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</si>
  <si>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</si>
  <si>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</si>
  <si>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</si>
  <si>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</si>
  <si>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</si>
  <si>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</si>
  <si>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</si>
  <si>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</si>
  <si>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</si>
  <si>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</si>
  <si>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</si>
  <si>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</si>
  <si>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</si>
  <si>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</si>
  <si>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</si>
  <si>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</si>
  <si>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</si>
  <si>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</si>
  <si>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</si>
  <si>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</si>
  <si>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</si>
  <si>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</si>
  <si>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</si>
  <si>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</si>
  <si>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</si>
  <si>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</si>
  <si>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</si>
  <si>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</si>
  <si>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</si>
  <si>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</si>
  <si>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</si>
  <si>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</si>
  <si>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</si>
  <si>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</si>
  <si>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</si>
  <si>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</si>
  <si>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</si>
  <si>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</si>
  <si>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</si>
  <si>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</si>
  <si>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</si>
  <si>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</si>
  <si>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</si>
  <si>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</si>
  <si>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</si>
  <si>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</si>
  <si>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</si>
  <si>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</si>
  <si>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</si>
  <si>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</si>
  <si>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</si>
  <si>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</si>
  <si>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</si>
  <si>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</si>
  <si>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</si>
  <si>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</si>
  <si>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</si>
  <si>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</si>
  <si>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</si>
  <si>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</si>
  <si>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</si>
  <si>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</si>
  <si>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</si>
  <si>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</si>
  <si>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</si>
  <si>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</si>
  <si>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</si>
  <si>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</si>
  <si>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</si>
  <si>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</si>
  <si>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</si>
  <si>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</si>
  <si>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</si>
  <si>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</si>
  <si>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</si>
  <si>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</si>
  <si>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</si>
  <si>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</si>
  <si>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</si>
  <si>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</si>
  <si>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</si>
  <si>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</si>
  <si>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</si>
  <si>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</si>
  <si>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</si>
  <si>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</si>
  <si>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</si>
  <si>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</si>
  <si>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</si>
  <si>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</si>
  <si>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</si>
  <si>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</si>
  <si>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</si>
  <si>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</si>
  <si>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</si>
  <si>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</si>
  <si>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</si>
  <si>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</si>
  <si>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</si>
  <si>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</si>
  <si>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</si>
  <si>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</si>
  <si>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</si>
  <si>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</si>
  <si>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</si>
  <si>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</si>
  <si>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</si>
  <si>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</si>
  <si>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</si>
  <si>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</si>
  <si>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</si>
  <si>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</si>
  <si>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</si>
  <si>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</si>
  <si>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</si>
  <si>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</si>
  <si>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</si>
  <si>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</si>
  <si>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</si>
  <si>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</si>
  <si>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</si>
  <si>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</si>
  <si>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</si>
  <si>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</si>
  <si>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</si>
  <si>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</si>
  <si>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</si>
  <si>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</si>
  <si>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</si>
  <si>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</si>
  <si>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</si>
  <si>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Ami Realty Developers LLP</t>
  </si>
  <si>
    <t>Swaraj Complex</t>
  </si>
  <si>
    <t>P52000054894</t>
  </si>
  <si>
    <t>Survey No</t>
  </si>
  <si>
    <t>Other Plot /Nala</t>
  </si>
  <si>
    <t>Other Plot</t>
  </si>
  <si>
    <t>EE/BP/PMAY/A/MHADA/176/2023</t>
  </si>
  <si>
    <t>EE/BP/PMAY/A/MHADA/815/2023</t>
  </si>
  <si>
    <t>This Plinth CC is issued for work upto plinth level only &amp; the work shall be carried out w.e.f from 20/10/2023.</t>
  </si>
  <si>
    <t>SIA/MH/INFRA2/407991/2022</t>
  </si>
  <si>
    <t xml:space="preserve">Building No. 1 to 12 =  Gr + 1st to 7th Floor
</t>
  </si>
  <si>
    <t>As per RERA - 31/03/2028</t>
  </si>
  <si>
    <t>Building No. 1 to 12 =  Gr + 1st to 7th Floor</t>
  </si>
  <si>
    <t xml:space="preserve">Type 1 </t>
  </si>
  <si>
    <t>RERA Carpet area</t>
  </si>
  <si>
    <t>1BHK</t>
  </si>
  <si>
    <t>Ground Floor Residential</t>
  </si>
  <si>
    <t>1st to 7th Floor</t>
  </si>
  <si>
    <t>Type 2</t>
  </si>
  <si>
    <t>1RK</t>
  </si>
  <si>
    <t>Ground Floor Residential, Society Office &amp; Creche</t>
  </si>
  <si>
    <t>Type 3</t>
  </si>
  <si>
    <t>Ground Floor For Residential &amp; Driver's Room</t>
  </si>
  <si>
    <t xml:space="preserve">Details of Residential in Building   </t>
  </si>
  <si>
    <t>Building No. 1</t>
  </si>
  <si>
    <t>Building No. 2</t>
  </si>
  <si>
    <t>Building No. 3</t>
  </si>
  <si>
    <t>Building No. 4</t>
  </si>
  <si>
    <t>Building No. 10</t>
  </si>
  <si>
    <t>Building No. 6</t>
  </si>
  <si>
    <t>Building No. 11</t>
  </si>
  <si>
    <t>Building No. 12</t>
  </si>
  <si>
    <t>Building No.7</t>
  </si>
  <si>
    <t>Building No.8</t>
  </si>
  <si>
    <t>Building No.9</t>
  </si>
  <si>
    <t>Type 1</t>
  </si>
  <si>
    <t>Building No.1</t>
  </si>
  <si>
    <t>Building No.2</t>
  </si>
  <si>
    <t>Building No.3</t>
  </si>
  <si>
    <t>Building No.4</t>
  </si>
  <si>
    <t>Building No.5</t>
  </si>
  <si>
    <t>Building No.6</t>
  </si>
  <si>
    <t>Building No.10</t>
  </si>
  <si>
    <t>Building No.11</t>
  </si>
  <si>
    <t>Building No.12</t>
  </si>
  <si>
    <t>Nitesh Patil</t>
  </si>
  <si>
    <t>Creche, Society Office Driver's Room etc.</t>
  </si>
  <si>
    <t>Flats - 768</t>
  </si>
  <si>
    <t>12MW Road/Non-PMAY Plot 1</t>
  </si>
  <si>
    <t>Existing Road/Other Plot</t>
  </si>
  <si>
    <t>Proposed Built-up Area = 29490.24 sq.m
Building No.1 to 12 = Gr + 1st to 7th Floors
S.No. 170/B, 170/2A/1, 170/2A/2, 170/2A/3, 172/1B</t>
  </si>
  <si>
    <t>12 Buildings</t>
  </si>
  <si>
    <t>We considered Gross carpet area = Net carpet Area.</t>
  </si>
  <si>
    <t>https://maps.app.goo.gl/DSxnTNUin21wJZbb9</t>
  </si>
  <si>
    <t>17.9976855,73.4649027</t>
  </si>
  <si>
    <t>XFV7+MXP, Savantkond, Poladpur, Maharashtra 402303</t>
  </si>
  <si>
    <t>Savantkond</t>
  </si>
  <si>
    <t>Karanjadi East</t>
  </si>
  <si>
    <t>13.6KM from Karanjadi Railway Station</t>
  </si>
  <si>
    <t>National Highway 66</t>
  </si>
  <si>
    <t>Internal Road/Open Plot</t>
  </si>
  <si>
    <t>Open Plot</t>
  </si>
  <si>
    <t>Rural Hospital, Poladpur/Jitendra Shinde Ground</t>
  </si>
  <si>
    <t>Mr. Arif Qureshi 9819806989
Mr. Akshay Satre 9527426316</t>
  </si>
  <si>
    <t>170/B, 170/2A/1, 170/2A/2, 170/2A/3, 172/1A</t>
  </si>
  <si>
    <t xml:space="preserve">Building No. 5 </t>
  </si>
  <si>
    <t>Type 1 = Building No.1 to 5 &amp; 10
Type 2 = Buiding No.6, 11 &amp; 12
Type 3 = Building No. 7, 8 &amp; 9</t>
  </si>
  <si>
    <t>Approved Plans, EC &amp; CC</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</si>
  <si>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</si>
  <si>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</si>
  <si>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</si>
  <si>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Mr. Akshay Satre 9527426316</t>
  </si>
  <si>
    <t>Building No. 1 =  Gr + 1st to 7th Floor</t>
  </si>
  <si>
    <t>Building No. 2 =  Gr + 1st to 7th Floor</t>
  </si>
  <si>
    <t>Building No. 3 =  Gr + 1st to 7th Floor</t>
  </si>
  <si>
    <t>Building No. 4 =  Gr + 1st to 7th Floor</t>
  </si>
  <si>
    <t>Building No. 5, 6 &amp; 7 =  Gr + 1st to 7th Floor</t>
  </si>
  <si>
    <t>Building No. 9 &amp; 12 =  Gr + 1st to 7th Floor</t>
  </si>
  <si>
    <t>Building No. 8 =  Gr + 1st to 7th Floor</t>
  </si>
  <si>
    <t>Building No. 10 &amp; 11 =  Gr + 1st to 7th Floor</t>
  </si>
  <si>
    <t>Please provide revised CC for building no.2, 8, 10 &amp; 11.</t>
  </si>
  <si>
    <t>Pooja Kawale</t>
  </si>
  <si>
    <t xml:space="preserve">Building No.1, 2, 4, 5, 6, 7, 8, 10, 11 =  Construction work is in process at the time of Visit.
Building No.3 = Work is same as last visit (13/05/2025).
Building No.9 &amp; 12 = Work not yet started.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</si>
</sst>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8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 fontId="6" fillId="0" borderId="0" xfId="1" applyNumberFormat="1" applyFont="1" applyAlignment="1">
      <alignment horizontal="left" vertical="center"/>
    </xf>
    <xf numFmtId="0" fontId="6" fillId="0" borderId="0" xfId="1" applyFont="1" applyAlignment="1">
      <alignment horizontal="left" vertical="center"/>
    </xf>
    <xf numFmtId="164" fontId="6" fillId="0" borderId="0" xfId="1" applyNumberFormat="1" applyFont="1" applyAlignment="1">
      <alignment horizontal="left" vertical="center"/>
    </xf>
    <xf numFmtId="1" fontId="6" fillId="0" borderId="1" xfId="1" applyNumberFormat="1" applyFont="1" applyBorder="1" applyAlignment="1">
      <alignment horizontal="center" vertical="center"/>
    </xf>
    <xf numFmtId="0" fontId="23" fillId="0" borderId="1" xfId="0" applyFont="1" applyBorder="1" applyAlignment="1">
      <alignment horizontal="center" vertical="center"/>
    </xf>
    <xf numFmtId="0" fontId="23" fillId="0" borderId="0" xfId="0" applyFont="1"/>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24" fillId="0" borderId="9" xfId="0" applyFont="1" applyBorder="1"/>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1" xfId="0" applyNumberFormat="1" applyFont="1" applyBorder="1" applyAlignment="1" applyProtection="1">
      <alignment horizontal="center" vertical="center" wrapText="1"/>
      <protection locked="0"/>
    </xf>
    <xf numFmtId="1" fontId="5" fillId="0" borderId="3" xfId="0" applyNumberFormat="1" applyFont="1" applyBorder="1" applyAlignment="1" applyProtection="1">
      <alignment horizontal="center" vertical="center" wrapText="1"/>
      <protection locked="0"/>
    </xf>
    <xf numFmtId="1" fontId="5" fillId="0" borderId="38"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5" borderId="8" xfId="1" applyNumberFormat="1" applyFont="1" applyFill="1" applyBorder="1" applyAlignment="1" applyProtection="1">
      <alignment horizontal="center" vertical="center" wrapText="1"/>
      <protection locked="0"/>
    </xf>
    <xf numFmtId="1" fontId="7" fillId="5" borderId="21" xfId="1" applyNumberFormat="1" applyFont="1" applyFill="1" applyBorder="1" applyAlignment="1" applyProtection="1">
      <alignment horizontal="center" vertical="center" wrapText="1"/>
      <protection locked="0"/>
    </xf>
    <xf numFmtId="1" fontId="7" fillId="5" borderId="9" xfId="1" applyNumberFormat="1" applyFont="1" applyFill="1" applyBorder="1" applyAlignment="1" applyProtection="1">
      <alignment horizontal="center" vertical="center" wrapText="1"/>
      <protection locked="0"/>
    </xf>
    <xf numFmtId="1" fontId="7" fillId="8" borderId="8" xfId="1" applyNumberFormat="1" applyFont="1" applyFill="1" applyBorder="1" applyAlignment="1" applyProtection="1">
      <alignment horizontal="center" vertical="center" wrapText="1"/>
      <protection locked="0"/>
    </xf>
    <xf numFmtId="1" fontId="7" fillId="8" borderId="21" xfId="1" applyNumberFormat="1" applyFont="1" applyFill="1" applyBorder="1" applyAlignment="1" applyProtection="1">
      <alignment horizontal="center" vertical="center" wrapText="1"/>
      <protection locked="0"/>
    </xf>
    <xf numFmtId="1" fontId="7" fillId="8" borderId="9" xfId="1" applyNumberFormat="1" applyFont="1" applyFill="1" applyBorder="1" applyAlignment="1" applyProtection="1">
      <alignment horizontal="center" vertical="center" wrapText="1"/>
      <protection locked="0"/>
    </xf>
    <xf numFmtId="1" fontId="7" fillId="7" borderId="8" xfId="1" applyNumberFormat="1" applyFont="1" applyFill="1" applyBorder="1" applyAlignment="1" applyProtection="1">
      <alignment horizontal="center" vertical="center" wrapText="1"/>
      <protection locked="0"/>
    </xf>
    <xf numFmtId="1" fontId="7" fillId="7" borderId="21" xfId="1" applyNumberFormat="1" applyFont="1" applyFill="1" applyBorder="1" applyAlignment="1" applyProtection="1">
      <alignment horizontal="center" vertical="center" wrapText="1"/>
      <protection locked="0"/>
    </xf>
    <xf numFmtId="1" fontId="7" fillId="7" borderId="9" xfId="1" applyNumberFormat="1" applyFont="1" applyFill="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1" fontId="9" fillId="0" borderId="33" xfId="0" applyNumberFormat="1" applyFont="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11" fillId="6" borderId="1" xfId="1" applyFont="1" applyFill="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16" xfId="1" applyFont="1" applyBorder="1" applyAlignment="1" applyProtection="1">
      <alignment horizontal="center" vertical="top"/>
      <protection locked="0"/>
    </xf>
    <xf numFmtId="0" fontId="5" fillId="0" borderId="1" xfId="1" applyFont="1" applyBorder="1" applyAlignment="1" applyProtection="1">
      <alignment vertical="top"/>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11" fillId="0" borderId="2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0" fontId="12" fillId="0" borderId="3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40" xfId="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6.png"/><Relationship Id="rId26" Type="http://schemas.openxmlformats.org/officeDocument/2006/relationships/image" Target="../media/image24.png"/><Relationship Id="rId3" Type="http://schemas.openxmlformats.org/officeDocument/2006/relationships/image" Target="../media/image3.png"/><Relationship Id="rId21" Type="http://schemas.openxmlformats.org/officeDocument/2006/relationships/image" Target="../media/image19.png"/><Relationship Id="rId7" Type="http://schemas.openxmlformats.org/officeDocument/2006/relationships/image" Target="../media/image7.png"/><Relationship Id="rId12" Type="http://schemas.openxmlformats.org/officeDocument/2006/relationships/image" Target="../media/image12.png"/><Relationship Id="rId17" Type="http://schemas.microsoft.com/office/2007/relationships/hdphoto" Target="../media/hdphoto2.wdp"/><Relationship Id="rId25" Type="http://schemas.openxmlformats.org/officeDocument/2006/relationships/image" Target="../media/image23.png"/><Relationship Id="rId2" Type="http://schemas.openxmlformats.org/officeDocument/2006/relationships/image" Target="../media/image2.png"/><Relationship Id="rId16" Type="http://schemas.openxmlformats.org/officeDocument/2006/relationships/image" Target="../media/image15.png"/><Relationship Id="rId20" Type="http://schemas.openxmlformats.org/officeDocument/2006/relationships/image" Target="../media/image18.png"/><Relationship Id="rId29" Type="http://schemas.openxmlformats.org/officeDocument/2006/relationships/image" Target="../media/image27.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2.png"/><Relationship Id="rId5" Type="http://schemas.openxmlformats.org/officeDocument/2006/relationships/image" Target="../media/image5.png"/><Relationship Id="rId15" Type="http://schemas.openxmlformats.org/officeDocument/2006/relationships/image" Target="../media/image14.png"/><Relationship Id="rId23" Type="http://schemas.openxmlformats.org/officeDocument/2006/relationships/image" Target="../media/image21.png"/><Relationship Id="rId28" Type="http://schemas.openxmlformats.org/officeDocument/2006/relationships/image" Target="../media/image26.png"/><Relationship Id="rId10" Type="http://schemas.openxmlformats.org/officeDocument/2006/relationships/image" Target="../media/image10.png"/><Relationship Id="rId19" Type="http://schemas.openxmlformats.org/officeDocument/2006/relationships/image" Target="../media/image17.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 Id="rId22" Type="http://schemas.openxmlformats.org/officeDocument/2006/relationships/image" Target="../media/image20.png"/><Relationship Id="rId27" Type="http://schemas.openxmlformats.org/officeDocument/2006/relationships/image" Target="../media/image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16</xdr:row>
      <xdr:rowOff>114300</xdr:rowOff>
    </xdr:from>
    <xdr:to>
      <xdr:col>15</xdr:col>
      <xdr:colOff>437356</xdr:colOff>
      <xdr:row>21</xdr:row>
      <xdr:rowOff>9413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38900" y="5562600"/>
          <a:ext cx="6352381" cy="895238"/>
        </a:xfrm>
        <a:prstGeom prst="rect">
          <a:avLst/>
        </a:prstGeom>
      </xdr:spPr>
    </xdr:pic>
    <xdr:clientData/>
  </xdr:twoCellAnchor>
  <xdr:twoCellAnchor editAs="oneCell">
    <xdr:from>
      <xdr:col>8</xdr:col>
      <xdr:colOff>485775</xdr:colOff>
      <xdr:row>39</xdr:row>
      <xdr:rowOff>19050</xdr:rowOff>
    </xdr:from>
    <xdr:to>
      <xdr:col>11</xdr:col>
      <xdr:colOff>523183</xdr:colOff>
      <xdr:row>47</xdr:row>
      <xdr:rowOff>123826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00850" y="10439400"/>
          <a:ext cx="2713933" cy="1704976"/>
        </a:xfrm>
        <a:prstGeom prst="rect">
          <a:avLst/>
        </a:prstGeom>
      </xdr:spPr>
    </xdr:pic>
    <xdr:clientData/>
  </xdr:twoCellAnchor>
  <xdr:twoCellAnchor editAs="oneCell">
    <xdr:from>
      <xdr:col>8</xdr:col>
      <xdr:colOff>590550</xdr:colOff>
      <xdr:row>48</xdr:row>
      <xdr:rowOff>9525</xdr:rowOff>
    </xdr:from>
    <xdr:to>
      <xdr:col>11</xdr:col>
      <xdr:colOff>428712</xdr:colOff>
      <xdr:row>53</xdr:row>
      <xdr:rowOff>57150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905625" y="12230100"/>
          <a:ext cx="2514687" cy="1076325"/>
        </a:xfrm>
        <a:prstGeom prst="rect">
          <a:avLst/>
        </a:prstGeom>
      </xdr:spPr>
    </xdr:pic>
    <xdr:clientData/>
  </xdr:twoCellAnchor>
  <xdr:twoCellAnchor editAs="oneCell">
    <xdr:from>
      <xdr:col>8</xdr:col>
      <xdr:colOff>485775</xdr:colOff>
      <xdr:row>230</xdr:row>
      <xdr:rowOff>542925</xdr:rowOff>
    </xdr:from>
    <xdr:to>
      <xdr:col>11</xdr:col>
      <xdr:colOff>28298</xdr:colOff>
      <xdr:row>244</xdr:row>
      <xdr:rowOff>161573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6800850" y="30089475"/>
          <a:ext cx="2219048" cy="2819048"/>
        </a:xfrm>
        <a:prstGeom prst="rect">
          <a:avLst/>
        </a:prstGeom>
      </xdr:spPr>
    </xdr:pic>
    <xdr:clientData/>
  </xdr:twoCellAnchor>
  <xdr:twoCellAnchor editAs="oneCell">
    <xdr:from>
      <xdr:col>11</xdr:col>
      <xdr:colOff>333375</xdr:colOff>
      <xdr:row>231</xdr:row>
      <xdr:rowOff>9525</xdr:rowOff>
    </xdr:from>
    <xdr:to>
      <xdr:col>13</xdr:col>
      <xdr:colOff>761732</xdr:colOff>
      <xdr:row>244</xdr:row>
      <xdr:rowOff>190151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9324975" y="30156150"/>
          <a:ext cx="2142857" cy="2780952"/>
        </a:xfrm>
        <a:prstGeom prst="rect">
          <a:avLst/>
        </a:prstGeom>
      </xdr:spPr>
    </xdr:pic>
    <xdr:clientData/>
  </xdr:twoCellAnchor>
  <xdr:twoCellAnchor editAs="oneCell">
    <xdr:from>
      <xdr:col>8</xdr:col>
      <xdr:colOff>1095375</xdr:colOff>
      <xdr:row>271</xdr:row>
      <xdr:rowOff>161925</xdr:rowOff>
    </xdr:from>
    <xdr:to>
      <xdr:col>14</xdr:col>
      <xdr:colOff>342340</xdr:colOff>
      <xdr:row>285</xdr:row>
      <xdr:rowOff>142527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7410450" y="38052375"/>
          <a:ext cx="4476190" cy="2780952"/>
        </a:xfrm>
        <a:prstGeom prst="rect">
          <a:avLst/>
        </a:prstGeom>
      </xdr:spPr>
    </xdr:pic>
    <xdr:clientData/>
  </xdr:twoCellAnchor>
  <xdr:twoCellAnchor editAs="oneCell">
    <xdr:from>
      <xdr:col>8</xdr:col>
      <xdr:colOff>895350</xdr:colOff>
      <xdr:row>366</xdr:row>
      <xdr:rowOff>0</xdr:rowOff>
    </xdr:from>
    <xdr:to>
      <xdr:col>14</xdr:col>
      <xdr:colOff>28030</xdr:colOff>
      <xdr:row>380</xdr:row>
      <xdr:rowOff>28221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7210425" y="38147625"/>
          <a:ext cx="4361905" cy="2828571"/>
        </a:xfrm>
        <a:prstGeom prst="rect">
          <a:avLst/>
        </a:prstGeom>
      </xdr:spPr>
    </xdr:pic>
    <xdr:clientData/>
  </xdr:twoCellAnchor>
  <xdr:oneCellAnchor>
    <xdr:from>
      <xdr:col>8</xdr:col>
      <xdr:colOff>723900</xdr:colOff>
      <xdr:row>294</xdr:row>
      <xdr:rowOff>38100</xdr:rowOff>
    </xdr:from>
    <xdr:ext cx="4476190" cy="2780952"/>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7038975" y="42529125"/>
          <a:ext cx="4476190" cy="2780952"/>
        </a:xfrm>
        <a:prstGeom prst="rect">
          <a:avLst/>
        </a:prstGeom>
      </xdr:spPr>
    </xdr:pic>
    <xdr:clientData/>
  </xdr:oneCellAnchor>
  <xdr:oneCellAnchor>
    <xdr:from>
      <xdr:col>8</xdr:col>
      <xdr:colOff>781050</xdr:colOff>
      <xdr:row>308</xdr:row>
      <xdr:rowOff>171450</xdr:rowOff>
    </xdr:from>
    <xdr:ext cx="4476190" cy="2780952"/>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a:stretch>
          <a:fillRect/>
        </a:stretch>
      </xdr:blipFill>
      <xdr:spPr>
        <a:xfrm>
          <a:off x="7096125" y="40319325"/>
          <a:ext cx="4476190" cy="2780952"/>
        </a:xfrm>
        <a:prstGeom prst="rect">
          <a:avLst/>
        </a:prstGeom>
      </xdr:spPr>
    </xdr:pic>
    <xdr:clientData/>
  </xdr:oneCellAnchor>
  <xdr:oneCellAnchor>
    <xdr:from>
      <xdr:col>8</xdr:col>
      <xdr:colOff>781050</xdr:colOff>
      <xdr:row>327</xdr:row>
      <xdr:rowOff>171450</xdr:rowOff>
    </xdr:from>
    <xdr:ext cx="4476190" cy="2780952"/>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stretch>
          <a:fillRect/>
        </a:stretch>
      </xdr:blipFill>
      <xdr:spPr>
        <a:xfrm>
          <a:off x="7096125" y="44319825"/>
          <a:ext cx="4476190" cy="2780952"/>
        </a:xfrm>
        <a:prstGeom prst="rect">
          <a:avLst/>
        </a:prstGeom>
      </xdr:spPr>
    </xdr:pic>
    <xdr:clientData/>
  </xdr:oneCellAnchor>
  <xdr:oneCellAnchor>
    <xdr:from>
      <xdr:col>8</xdr:col>
      <xdr:colOff>895350</xdr:colOff>
      <xdr:row>407</xdr:row>
      <xdr:rowOff>66675</xdr:rowOff>
    </xdr:from>
    <xdr:ext cx="4361905" cy="2828571"/>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a:stretch>
          <a:fillRect/>
        </a:stretch>
      </xdr:blipFill>
      <xdr:spPr>
        <a:xfrm>
          <a:off x="7210425" y="65160525"/>
          <a:ext cx="4361905" cy="2828571"/>
        </a:xfrm>
        <a:prstGeom prst="rect">
          <a:avLst/>
        </a:prstGeom>
      </xdr:spPr>
    </xdr:pic>
    <xdr:clientData/>
  </xdr:oneCellAnchor>
  <xdr:twoCellAnchor editAs="oneCell">
    <xdr:from>
      <xdr:col>8</xdr:col>
      <xdr:colOff>876300</xdr:colOff>
      <xdr:row>207</xdr:row>
      <xdr:rowOff>200025</xdr:rowOff>
    </xdr:from>
    <xdr:to>
      <xdr:col>11</xdr:col>
      <xdr:colOff>361680</xdr:colOff>
      <xdr:row>211</xdr:row>
      <xdr:rowOff>218874</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8"/>
        <a:stretch>
          <a:fillRect/>
        </a:stretch>
      </xdr:blipFill>
      <xdr:spPr>
        <a:xfrm>
          <a:off x="7191375" y="25927050"/>
          <a:ext cx="2161905" cy="1619048"/>
        </a:xfrm>
        <a:prstGeom prst="rect">
          <a:avLst/>
        </a:prstGeom>
      </xdr:spPr>
    </xdr:pic>
    <xdr:clientData/>
  </xdr:twoCellAnchor>
  <xdr:twoCellAnchor>
    <xdr:from>
      <xdr:col>0</xdr:col>
      <xdr:colOff>142875</xdr:colOff>
      <xdr:row>597</xdr:row>
      <xdr:rowOff>0</xdr:rowOff>
    </xdr:from>
    <xdr:to>
      <xdr:col>7</xdr:col>
      <xdr:colOff>548164</xdr:colOff>
      <xdr:row>630</xdr:row>
      <xdr:rowOff>139500</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142875" y="113760250"/>
          <a:ext cx="6259989" cy="6635550"/>
          <a:chOff x="142875" y="95011875"/>
          <a:chExt cx="5986939" cy="6740325"/>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476375" y="95011875"/>
            <a:ext cx="3071451"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142875" y="97612200"/>
            <a:ext cx="5986939" cy="4140000"/>
          </a:xfrm>
          <a:prstGeom prst="rect">
            <a:avLst/>
          </a:prstGeom>
          <a:ln>
            <a:solidFill>
              <a:schemeClr val="tx1"/>
            </a:solidFill>
          </a:ln>
        </xdr:spPr>
      </xdr:pic>
    </xdr:grpSp>
    <xdr:clientData/>
  </xdr:twoCellAnchor>
  <xdr:twoCellAnchor>
    <xdr:from>
      <xdr:col>3</xdr:col>
      <xdr:colOff>902671</xdr:colOff>
      <xdr:row>622</xdr:row>
      <xdr:rowOff>9812</xdr:rowOff>
    </xdr:from>
    <xdr:to>
      <xdr:col>4</xdr:col>
      <xdr:colOff>308593</xdr:colOff>
      <xdr:row>624</xdr:row>
      <xdr:rowOff>193386</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rot="5400000">
          <a:off x="3180845" y="100153963"/>
          <a:ext cx="583624" cy="3203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295275</xdr:colOff>
      <xdr:row>618</xdr:row>
      <xdr:rowOff>142875</xdr:rowOff>
    </xdr:from>
    <xdr:to>
      <xdr:col>4</xdr:col>
      <xdr:colOff>581028</xdr:colOff>
      <xdr:row>622</xdr:row>
      <xdr:rowOff>19049</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rot="16200000">
          <a:off x="3424240" y="99550535"/>
          <a:ext cx="676274" cy="285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2</a:t>
          </a:r>
          <a:endParaRPr lang="en-IN" sz="1400" b="1">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3</xdr:col>
      <xdr:colOff>171451</xdr:colOff>
      <xdr:row>618</xdr:row>
      <xdr:rowOff>180974</xdr:rowOff>
    </xdr:from>
    <xdr:to>
      <xdr:col>4</xdr:col>
      <xdr:colOff>104775</xdr:colOff>
      <xdr:row>620</xdr:row>
      <xdr:rowOff>76200</xdr:rowOff>
    </xdr:to>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2581276" y="99393374"/>
          <a:ext cx="84772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11</a:t>
          </a:r>
          <a:endParaRPr lang="en-IN" sz="1400" b="1">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371476</xdr:colOff>
      <xdr:row>614</xdr:row>
      <xdr:rowOff>47092</xdr:rowOff>
    </xdr:from>
    <xdr:to>
      <xdr:col>4</xdr:col>
      <xdr:colOff>581026</xdr:colOff>
      <xdr:row>628</xdr:row>
      <xdr:rowOff>9525</xdr:rowOff>
    </xdr:to>
    <xdr:grpSp>
      <xdr:nvGrpSpPr>
        <xdr:cNvPr id="43" name="Group 42">
          <a:extLst>
            <a:ext uri="{FF2B5EF4-FFF2-40B4-BE49-F238E27FC236}">
              <a16:creationId xmlns:a16="http://schemas.microsoft.com/office/drawing/2014/main" id="{00000000-0008-0000-0000-00002B000000}"/>
            </a:ext>
          </a:extLst>
        </xdr:cNvPr>
        <xdr:cNvGrpSpPr/>
      </xdr:nvGrpSpPr>
      <xdr:grpSpPr>
        <a:xfrm>
          <a:off x="1171576" y="117153792"/>
          <a:ext cx="2895600" cy="2718333"/>
          <a:chOff x="1133476" y="98459392"/>
          <a:chExt cx="2771775" cy="2762783"/>
        </a:xfrm>
      </xdr:grpSpPr>
      <xdr:sp macro="" textlink="">
        <xdr:nvSpPr>
          <xdr:cNvPr id="17" name="Rectangle 16">
            <a:extLst>
              <a:ext uri="{FF2B5EF4-FFF2-40B4-BE49-F238E27FC236}">
                <a16:creationId xmlns:a16="http://schemas.microsoft.com/office/drawing/2014/main" id="{00000000-0008-0000-0000-000011000000}"/>
              </a:ext>
            </a:extLst>
          </xdr:cNvPr>
          <xdr:cNvSpPr/>
        </xdr:nvSpPr>
        <xdr:spPr>
          <a:xfrm>
            <a:off x="2333625" y="100631625"/>
            <a:ext cx="657225" cy="3143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8" name="Rectangle 17">
            <a:extLst>
              <a:ext uri="{FF2B5EF4-FFF2-40B4-BE49-F238E27FC236}">
                <a16:creationId xmlns:a16="http://schemas.microsoft.com/office/drawing/2014/main" id="{00000000-0008-0000-0000-000012000000}"/>
              </a:ext>
            </a:extLst>
          </xdr:cNvPr>
          <xdr:cNvSpPr/>
        </xdr:nvSpPr>
        <xdr:spPr>
          <a:xfrm>
            <a:off x="3000375" y="100622100"/>
            <a:ext cx="619125" cy="3143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9" name="Rectangle 18">
            <a:extLst>
              <a:ext uri="{FF2B5EF4-FFF2-40B4-BE49-F238E27FC236}">
                <a16:creationId xmlns:a16="http://schemas.microsoft.com/office/drawing/2014/main" id="{00000000-0008-0000-0000-000013000000}"/>
              </a:ext>
            </a:extLst>
          </xdr:cNvPr>
          <xdr:cNvSpPr/>
        </xdr:nvSpPr>
        <xdr:spPr>
          <a:xfrm rot="3206307">
            <a:off x="1883227" y="100249448"/>
            <a:ext cx="550905" cy="3143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0" name="Rectangle 19">
            <a:extLst>
              <a:ext uri="{FF2B5EF4-FFF2-40B4-BE49-F238E27FC236}">
                <a16:creationId xmlns:a16="http://schemas.microsoft.com/office/drawing/2014/main" id="{00000000-0008-0000-0000-000014000000}"/>
              </a:ext>
            </a:extLst>
          </xdr:cNvPr>
          <xdr:cNvSpPr/>
        </xdr:nvSpPr>
        <xdr:spPr>
          <a:xfrm rot="279476">
            <a:off x="1295400" y="99898200"/>
            <a:ext cx="619125" cy="3143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rot="19168893">
            <a:off x="1890828" y="99559353"/>
            <a:ext cx="715070" cy="3203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2" name="Rectangle 21">
            <a:extLst>
              <a:ext uri="{FF2B5EF4-FFF2-40B4-BE49-F238E27FC236}">
                <a16:creationId xmlns:a16="http://schemas.microsoft.com/office/drawing/2014/main" id="{00000000-0008-0000-0000-000016000000}"/>
              </a:ext>
            </a:extLst>
          </xdr:cNvPr>
          <xdr:cNvSpPr/>
        </xdr:nvSpPr>
        <xdr:spPr>
          <a:xfrm rot="19168893">
            <a:off x="1428066" y="99398638"/>
            <a:ext cx="682024" cy="3203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3" name="Rectangle 22">
            <a:extLst>
              <a:ext uri="{FF2B5EF4-FFF2-40B4-BE49-F238E27FC236}">
                <a16:creationId xmlns:a16="http://schemas.microsoft.com/office/drawing/2014/main" id="{00000000-0008-0000-0000-000017000000}"/>
              </a:ext>
            </a:extLst>
          </xdr:cNvPr>
          <xdr:cNvSpPr/>
        </xdr:nvSpPr>
        <xdr:spPr>
          <a:xfrm rot="19935724">
            <a:off x="2018616" y="98931914"/>
            <a:ext cx="682024" cy="3203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4" name="Rectangle 23">
            <a:extLst>
              <a:ext uri="{FF2B5EF4-FFF2-40B4-BE49-F238E27FC236}">
                <a16:creationId xmlns:a16="http://schemas.microsoft.com/office/drawing/2014/main" id="{00000000-0008-0000-0000-000018000000}"/>
              </a:ext>
            </a:extLst>
          </xdr:cNvPr>
          <xdr:cNvSpPr/>
        </xdr:nvSpPr>
        <xdr:spPr>
          <a:xfrm>
            <a:off x="2647266" y="99112889"/>
            <a:ext cx="629334" cy="3203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rot="21170325">
            <a:off x="2704595" y="98753788"/>
            <a:ext cx="583624" cy="3203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7" name="Rectangle 26">
            <a:extLst>
              <a:ext uri="{FF2B5EF4-FFF2-40B4-BE49-F238E27FC236}">
                <a16:creationId xmlns:a16="http://schemas.microsoft.com/office/drawing/2014/main" id="{00000000-0008-0000-0000-00001B000000}"/>
              </a:ext>
            </a:extLst>
          </xdr:cNvPr>
          <xdr:cNvSpPr/>
        </xdr:nvSpPr>
        <xdr:spPr>
          <a:xfrm rot="5400000">
            <a:off x="3171320" y="99534838"/>
            <a:ext cx="583624" cy="3203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8" name="Rectangle 27">
            <a:extLst>
              <a:ext uri="{FF2B5EF4-FFF2-40B4-BE49-F238E27FC236}">
                <a16:creationId xmlns:a16="http://schemas.microsoft.com/office/drawing/2014/main" id="{00000000-0008-0000-0000-00001C000000}"/>
              </a:ext>
            </a:extLst>
          </xdr:cNvPr>
          <xdr:cNvSpPr/>
        </xdr:nvSpPr>
        <xdr:spPr>
          <a:xfrm rot="5400000">
            <a:off x="3190370" y="98915713"/>
            <a:ext cx="583624" cy="3203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9" name="TextBox 28">
            <a:extLst>
              <a:ext uri="{FF2B5EF4-FFF2-40B4-BE49-F238E27FC236}">
                <a16:creationId xmlns:a16="http://schemas.microsoft.com/office/drawing/2014/main" id="{00000000-0008-0000-0000-00001D000000}"/>
              </a:ext>
            </a:extLst>
          </xdr:cNvPr>
          <xdr:cNvSpPr txBox="1"/>
        </xdr:nvSpPr>
        <xdr:spPr>
          <a:xfrm rot="16200000">
            <a:off x="3381376" y="98879024"/>
            <a:ext cx="73342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1</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1" name="TextBox 30">
            <a:extLst>
              <a:ext uri="{FF2B5EF4-FFF2-40B4-BE49-F238E27FC236}">
                <a16:creationId xmlns:a16="http://schemas.microsoft.com/office/drawing/2014/main" id="{00000000-0008-0000-0000-00001F000000}"/>
              </a:ext>
            </a:extLst>
          </xdr:cNvPr>
          <xdr:cNvSpPr txBox="1"/>
        </xdr:nvSpPr>
        <xdr:spPr>
          <a:xfrm rot="16200000">
            <a:off x="3390901" y="100126799"/>
            <a:ext cx="73342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3</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2952751" y="100907849"/>
            <a:ext cx="73342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4</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2305051" y="100926899"/>
            <a:ext cx="73342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5</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rot="3098749">
            <a:off x="1600201" y="100422074"/>
            <a:ext cx="73342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6</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133476" y="100183949"/>
            <a:ext cx="73342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7</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7" name="TextBox 36">
            <a:extLst>
              <a:ext uri="{FF2B5EF4-FFF2-40B4-BE49-F238E27FC236}">
                <a16:creationId xmlns:a16="http://schemas.microsoft.com/office/drawing/2014/main" id="{00000000-0008-0000-0000-000025000000}"/>
              </a:ext>
            </a:extLst>
          </xdr:cNvPr>
          <xdr:cNvSpPr txBox="1"/>
        </xdr:nvSpPr>
        <xdr:spPr>
          <a:xfrm rot="19145542">
            <a:off x="1238251" y="99174299"/>
            <a:ext cx="73342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8</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8" name="TextBox 37">
            <a:extLst>
              <a:ext uri="{FF2B5EF4-FFF2-40B4-BE49-F238E27FC236}">
                <a16:creationId xmlns:a16="http://schemas.microsoft.com/office/drawing/2014/main" id="{00000000-0008-0000-0000-000026000000}"/>
              </a:ext>
            </a:extLst>
          </xdr:cNvPr>
          <xdr:cNvSpPr txBox="1"/>
        </xdr:nvSpPr>
        <xdr:spPr>
          <a:xfrm rot="20097964">
            <a:off x="1866902" y="98640900"/>
            <a:ext cx="73342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9</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9" name="TextBox 38">
            <a:extLst>
              <a:ext uri="{FF2B5EF4-FFF2-40B4-BE49-F238E27FC236}">
                <a16:creationId xmlns:a16="http://schemas.microsoft.com/office/drawing/2014/main" id="{00000000-0008-0000-0000-000027000000}"/>
              </a:ext>
            </a:extLst>
          </xdr:cNvPr>
          <xdr:cNvSpPr txBox="1"/>
        </xdr:nvSpPr>
        <xdr:spPr>
          <a:xfrm rot="21134566">
            <a:off x="2591673" y="98459392"/>
            <a:ext cx="773268"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10</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41" name="TextBox 40">
            <a:extLst>
              <a:ext uri="{FF2B5EF4-FFF2-40B4-BE49-F238E27FC236}">
                <a16:creationId xmlns:a16="http://schemas.microsoft.com/office/drawing/2014/main" id="{00000000-0008-0000-0000-000029000000}"/>
              </a:ext>
            </a:extLst>
          </xdr:cNvPr>
          <xdr:cNvSpPr txBox="1"/>
        </xdr:nvSpPr>
        <xdr:spPr>
          <a:xfrm rot="19241184">
            <a:off x="2093687" y="99738808"/>
            <a:ext cx="798634"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B</a:t>
            </a:r>
            <a:r>
              <a:rPr lang="en-IN" sz="1400" b="1" baseline="0">
                <a:solidFill>
                  <a:srgbClr val="FF0000"/>
                </a:solidFill>
                <a:latin typeface="Times New Roman" panose="02020603050405020304" pitchFamily="18" charset="0"/>
                <a:cs typeface="Times New Roman" panose="02020603050405020304" pitchFamily="18" charset="0"/>
              </a:rPr>
              <a:t>ldg 12</a:t>
            </a:r>
            <a:endParaRPr lang="en-IN" sz="1400" b="1">
              <a:solidFill>
                <a:srgbClr val="FF0000"/>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182095</xdr:colOff>
      <xdr:row>639</xdr:row>
      <xdr:rowOff>161365</xdr:rowOff>
    </xdr:from>
    <xdr:to>
      <xdr:col>7</xdr:col>
      <xdr:colOff>495683</xdr:colOff>
      <xdr:row>675</xdr:row>
      <xdr:rowOff>35397</xdr:rowOff>
    </xdr:to>
    <xdr:grpSp>
      <xdr:nvGrpSpPr>
        <xdr:cNvPr id="51" name="Group 50">
          <a:extLst>
            <a:ext uri="{FF2B5EF4-FFF2-40B4-BE49-F238E27FC236}">
              <a16:creationId xmlns:a16="http://schemas.microsoft.com/office/drawing/2014/main" id="{00000000-0008-0000-0000-000033000000}"/>
            </a:ext>
          </a:extLst>
        </xdr:cNvPr>
        <xdr:cNvGrpSpPr/>
      </xdr:nvGrpSpPr>
      <xdr:grpSpPr>
        <a:xfrm>
          <a:off x="182095" y="122189315"/>
          <a:ext cx="6168288" cy="6960632"/>
          <a:chOff x="238125" y="99564825"/>
          <a:chExt cx="5895238" cy="7076613"/>
        </a:xfrm>
      </xdr:grpSpPr>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1"/>
          <a:stretch>
            <a:fillRect/>
          </a:stretch>
        </xdr:blipFill>
        <xdr:spPr>
          <a:xfrm>
            <a:off x="238125" y="99564825"/>
            <a:ext cx="5895238" cy="3219048"/>
          </a:xfrm>
          <a:prstGeom prst="rect">
            <a:avLst/>
          </a:prstGeom>
          <a:ln>
            <a:solidFill>
              <a:schemeClr val="tx1"/>
            </a:solidFill>
          </a:ln>
        </xdr:spPr>
      </xdr:pic>
      <xdr:grpSp>
        <xdr:nvGrpSpPr>
          <xdr:cNvPr id="50" name="Group 49">
            <a:extLst>
              <a:ext uri="{FF2B5EF4-FFF2-40B4-BE49-F238E27FC236}">
                <a16:creationId xmlns:a16="http://schemas.microsoft.com/office/drawing/2014/main" id="{00000000-0008-0000-0000-000032000000}"/>
              </a:ext>
            </a:extLst>
          </xdr:cNvPr>
          <xdr:cNvGrpSpPr/>
        </xdr:nvGrpSpPr>
        <xdr:grpSpPr>
          <a:xfrm>
            <a:off x="400050" y="102946200"/>
            <a:ext cx="5466667" cy="3695238"/>
            <a:chOff x="447675" y="102936675"/>
            <a:chExt cx="5466667" cy="3695238"/>
          </a:xfrm>
        </xdr:grpSpPr>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2"/>
            <a:stretch>
              <a:fillRect/>
            </a:stretch>
          </xdr:blipFill>
          <xdr:spPr>
            <a:xfrm>
              <a:off x="447675" y="102936675"/>
              <a:ext cx="5466667" cy="3695238"/>
            </a:xfrm>
            <a:prstGeom prst="rect">
              <a:avLst/>
            </a:prstGeom>
            <a:ln>
              <a:solidFill>
                <a:schemeClr val="tx1"/>
              </a:solidFill>
            </a:ln>
          </xdr:spPr>
        </xdr:pic>
        <xdr:sp macro="" textlink="">
          <xdr:nvSpPr>
            <xdr:cNvPr id="48" name="Rectangle 47">
              <a:extLst>
                <a:ext uri="{FF2B5EF4-FFF2-40B4-BE49-F238E27FC236}">
                  <a16:creationId xmlns:a16="http://schemas.microsoft.com/office/drawing/2014/main" id="{00000000-0008-0000-0000-000030000000}"/>
                </a:ext>
              </a:extLst>
            </xdr:cNvPr>
            <xdr:cNvSpPr/>
          </xdr:nvSpPr>
          <xdr:spPr>
            <a:xfrm rot="19751235">
              <a:off x="1990725" y="104260650"/>
              <a:ext cx="1924050" cy="108585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1447800" y="104003475"/>
              <a:ext cx="14668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FF00"/>
                  </a:solidFill>
                  <a:latin typeface="Times New Roman" panose="02020603050405020304" pitchFamily="18" charset="0"/>
                  <a:cs typeface="Times New Roman" panose="02020603050405020304" pitchFamily="18" charset="0"/>
                </a:rPr>
                <a:t>Swaraj</a:t>
              </a:r>
              <a:r>
                <a:rPr lang="en-IN" sz="1400" b="1" baseline="0">
                  <a:solidFill>
                    <a:srgbClr val="FFFF00"/>
                  </a:solidFill>
                  <a:latin typeface="Times New Roman" panose="02020603050405020304" pitchFamily="18" charset="0"/>
                  <a:cs typeface="Times New Roman" panose="02020603050405020304" pitchFamily="18" charset="0"/>
                </a:rPr>
                <a:t> Complex</a:t>
              </a:r>
              <a:endParaRPr lang="en-IN" sz="1400" b="1">
                <a:solidFill>
                  <a:srgbClr val="FFFF00"/>
                </a:solidFill>
                <a:latin typeface="Times New Roman" panose="02020603050405020304" pitchFamily="18" charset="0"/>
                <a:cs typeface="Times New Roman" panose="02020603050405020304" pitchFamily="18" charset="0"/>
              </a:endParaRPr>
            </a:p>
          </xdr:txBody>
        </xdr:sp>
      </xdr:grpSp>
    </xdr:grpSp>
    <xdr:clientData/>
  </xdr:twoCellAnchor>
  <xdr:twoCellAnchor>
    <xdr:from>
      <xdr:col>8</xdr:col>
      <xdr:colOff>0</xdr:colOff>
      <xdr:row>515</xdr:row>
      <xdr:rowOff>0</xdr:rowOff>
    </xdr:from>
    <xdr:to>
      <xdr:col>8</xdr:col>
      <xdr:colOff>808867</xdr:colOff>
      <xdr:row>516</xdr:row>
      <xdr:rowOff>175139</xdr:rowOff>
    </xdr:to>
    <xdr:sp macro="" textlink="">
      <xdr:nvSpPr>
        <xdr:cNvPr id="109" name="TextBox 108">
          <a:extLst>
            <a:ext uri="{FF2B5EF4-FFF2-40B4-BE49-F238E27FC236}">
              <a16:creationId xmlns:a16="http://schemas.microsoft.com/office/drawing/2014/main" id="{00000000-0008-0000-0000-000005000000}"/>
            </a:ext>
          </a:extLst>
        </xdr:cNvPr>
        <xdr:cNvSpPr txBox="1"/>
      </xdr:nvSpPr>
      <xdr:spPr>
        <a:xfrm>
          <a:off x="6623050" y="97631250"/>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1</a:t>
          </a:r>
        </a:p>
      </xdr:txBody>
    </xdr:sp>
    <xdr:clientData/>
  </xdr:twoCellAnchor>
  <xdr:twoCellAnchor>
    <xdr:from>
      <xdr:col>0</xdr:col>
      <xdr:colOff>88900</xdr:colOff>
      <xdr:row>516</xdr:row>
      <xdr:rowOff>101600</xdr:rowOff>
    </xdr:from>
    <xdr:to>
      <xdr:col>7</xdr:col>
      <xdr:colOff>666751</xdr:colOff>
      <xdr:row>547</xdr:row>
      <xdr:rowOff>196022</xdr:rowOff>
    </xdr:to>
    <xdr:grpSp>
      <xdr:nvGrpSpPr>
        <xdr:cNvPr id="53" name="Group 52"/>
        <xdr:cNvGrpSpPr/>
      </xdr:nvGrpSpPr>
      <xdr:grpSpPr>
        <a:xfrm>
          <a:off x="88900" y="97929700"/>
          <a:ext cx="6432551" cy="6190422"/>
          <a:chOff x="88900" y="97929700"/>
          <a:chExt cx="6432551" cy="6190422"/>
        </a:xfrm>
      </xdr:grpSpPr>
      <xdr:pic>
        <xdr:nvPicPr>
          <xdr:cNvPr id="110" name="Picture 109"/>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3411079" y="97929700"/>
            <a:ext cx="2876000" cy="2160000"/>
          </a:xfrm>
          <a:prstGeom prst="rect">
            <a:avLst/>
          </a:prstGeom>
          <a:ln>
            <a:solidFill>
              <a:schemeClr val="tx1"/>
            </a:solidFill>
          </a:ln>
        </xdr:spPr>
      </xdr:pic>
      <xdr:pic>
        <xdr:nvPicPr>
          <xdr:cNvPr id="111" name="Picture 11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88900" y="100196911"/>
            <a:ext cx="1340113" cy="1908000"/>
          </a:xfrm>
          <a:prstGeom prst="rect">
            <a:avLst/>
          </a:prstGeom>
          <a:ln>
            <a:solidFill>
              <a:schemeClr val="tx1"/>
            </a:solidFill>
          </a:ln>
        </xdr:spPr>
      </xdr:pic>
      <xdr:pic>
        <xdr:nvPicPr>
          <xdr:cNvPr id="112" name="Picture 111"/>
          <xdr:cNvPicPr>
            <a:picLocks noChangeAspect="1"/>
          </xdr:cNvPicPr>
        </xdr:nvPicPr>
        <xdr:blipFill>
          <a:blip xmlns:r="http://schemas.openxmlformats.org/officeDocument/2006/relationships" r:embed="rId16" cstate="print">
            <a:extLst>
              <a:ext uri="{BEBA8EAE-BF5A-486C-A8C5-ECC9F3942E4B}">
                <a14:imgProps xmlns:a14="http://schemas.microsoft.com/office/drawing/2010/main">
                  <a14:imgLayer r:embed="rId17">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401601" y="97929700"/>
            <a:ext cx="2876000" cy="2160000"/>
          </a:xfrm>
          <a:prstGeom prst="rect">
            <a:avLst/>
          </a:prstGeom>
          <a:ln>
            <a:solidFill>
              <a:schemeClr val="tx1"/>
            </a:solidFill>
          </a:ln>
        </xdr:spPr>
      </xdr:pic>
      <xdr:pic>
        <xdr:nvPicPr>
          <xdr:cNvPr id="113" name="Picture 11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533169" y="100196911"/>
            <a:ext cx="2540467" cy="1908000"/>
          </a:xfrm>
          <a:prstGeom prst="rect">
            <a:avLst/>
          </a:prstGeom>
          <a:ln>
            <a:solidFill>
              <a:schemeClr val="tx1"/>
            </a:solidFill>
          </a:ln>
        </xdr:spPr>
      </xdr:pic>
      <xdr:pic>
        <xdr:nvPicPr>
          <xdr:cNvPr id="114" name="Picture 11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177793" y="100196911"/>
            <a:ext cx="2343658" cy="1908000"/>
          </a:xfrm>
          <a:prstGeom prst="rect">
            <a:avLst/>
          </a:prstGeom>
          <a:ln>
            <a:solidFill>
              <a:schemeClr val="tx1"/>
            </a:solidFill>
          </a:ln>
        </xdr:spPr>
      </xdr:pic>
      <xdr:pic>
        <xdr:nvPicPr>
          <xdr:cNvPr id="115" name="Picture 11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737134" y="102212122"/>
            <a:ext cx="2540467" cy="1908000"/>
          </a:xfrm>
          <a:prstGeom prst="rect">
            <a:avLst/>
          </a:prstGeom>
          <a:ln>
            <a:solidFill>
              <a:schemeClr val="tx1"/>
            </a:solidFill>
          </a:ln>
        </xdr:spPr>
      </xdr:pic>
      <xdr:pic>
        <xdr:nvPicPr>
          <xdr:cNvPr id="116" name="Picture 11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411079" y="102212122"/>
            <a:ext cx="2540467" cy="1908000"/>
          </a:xfrm>
          <a:prstGeom prst="rect">
            <a:avLst/>
          </a:prstGeom>
          <a:ln>
            <a:solidFill>
              <a:schemeClr val="tx1"/>
            </a:solidFill>
          </a:ln>
        </xdr:spPr>
      </xdr:pic>
      <xdr:sp macro="" textlink="">
        <xdr:nvSpPr>
          <xdr:cNvPr id="127" name="TextBox 126">
            <a:extLst>
              <a:ext uri="{FF2B5EF4-FFF2-40B4-BE49-F238E27FC236}">
                <a16:creationId xmlns:a16="http://schemas.microsoft.com/office/drawing/2014/main" id="{00000000-0008-0000-0000-000005000000}"/>
              </a:ext>
            </a:extLst>
          </xdr:cNvPr>
          <xdr:cNvSpPr txBox="1"/>
        </xdr:nvSpPr>
        <xdr:spPr>
          <a:xfrm>
            <a:off x="2014501" y="99167950"/>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1</a:t>
            </a:r>
          </a:p>
        </xdr:txBody>
      </xdr:sp>
      <xdr:sp macro="" textlink="">
        <xdr:nvSpPr>
          <xdr:cNvPr id="128" name="TextBox 127">
            <a:extLst>
              <a:ext uri="{FF2B5EF4-FFF2-40B4-BE49-F238E27FC236}">
                <a16:creationId xmlns:a16="http://schemas.microsoft.com/office/drawing/2014/main" id="{00000000-0008-0000-0000-000005000000}"/>
              </a:ext>
            </a:extLst>
          </xdr:cNvPr>
          <xdr:cNvSpPr txBox="1"/>
        </xdr:nvSpPr>
        <xdr:spPr>
          <a:xfrm>
            <a:off x="4973179" y="99066350"/>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1</a:t>
            </a:r>
          </a:p>
        </xdr:txBody>
      </xdr:sp>
      <xdr:sp macro="" textlink="">
        <xdr:nvSpPr>
          <xdr:cNvPr id="129" name="TextBox 128">
            <a:extLst>
              <a:ext uri="{FF2B5EF4-FFF2-40B4-BE49-F238E27FC236}">
                <a16:creationId xmlns:a16="http://schemas.microsoft.com/office/drawing/2014/main" id="{00000000-0008-0000-0000-000005000000}"/>
              </a:ext>
            </a:extLst>
          </xdr:cNvPr>
          <xdr:cNvSpPr txBox="1"/>
        </xdr:nvSpPr>
        <xdr:spPr>
          <a:xfrm>
            <a:off x="469900" y="101651061"/>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2</a:t>
            </a:r>
          </a:p>
        </xdr:txBody>
      </xdr:sp>
      <xdr:sp macro="" textlink="">
        <xdr:nvSpPr>
          <xdr:cNvPr id="130" name="TextBox 129">
            <a:extLst>
              <a:ext uri="{FF2B5EF4-FFF2-40B4-BE49-F238E27FC236}">
                <a16:creationId xmlns:a16="http://schemas.microsoft.com/office/drawing/2014/main" id="{00000000-0008-0000-0000-000005000000}"/>
              </a:ext>
            </a:extLst>
          </xdr:cNvPr>
          <xdr:cNvSpPr txBox="1"/>
        </xdr:nvSpPr>
        <xdr:spPr>
          <a:xfrm>
            <a:off x="2657119" y="101505011"/>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3</a:t>
            </a:r>
          </a:p>
        </xdr:txBody>
      </xdr:sp>
      <xdr:sp macro="" textlink="">
        <xdr:nvSpPr>
          <xdr:cNvPr id="131" name="TextBox 130">
            <a:extLst>
              <a:ext uri="{FF2B5EF4-FFF2-40B4-BE49-F238E27FC236}">
                <a16:creationId xmlns:a16="http://schemas.microsoft.com/office/drawing/2014/main" id="{00000000-0008-0000-0000-000005000000}"/>
              </a:ext>
            </a:extLst>
          </xdr:cNvPr>
          <xdr:cNvSpPr txBox="1"/>
        </xdr:nvSpPr>
        <xdr:spPr>
          <a:xfrm>
            <a:off x="5079493" y="101505011"/>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4</a:t>
            </a:r>
          </a:p>
        </xdr:txBody>
      </xdr:sp>
      <xdr:sp macro="" textlink="">
        <xdr:nvSpPr>
          <xdr:cNvPr id="132" name="TextBox 131">
            <a:extLst>
              <a:ext uri="{FF2B5EF4-FFF2-40B4-BE49-F238E27FC236}">
                <a16:creationId xmlns:a16="http://schemas.microsoft.com/office/drawing/2014/main" id="{00000000-0008-0000-0000-000005000000}"/>
              </a:ext>
            </a:extLst>
          </xdr:cNvPr>
          <xdr:cNvSpPr txBox="1"/>
        </xdr:nvSpPr>
        <xdr:spPr>
          <a:xfrm>
            <a:off x="1702334" y="103501172"/>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5</a:t>
            </a:r>
          </a:p>
        </xdr:txBody>
      </xdr:sp>
      <xdr:sp macro="" textlink="">
        <xdr:nvSpPr>
          <xdr:cNvPr id="133" name="TextBox 132">
            <a:extLst>
              <a:ext uri="{FF2B5EF4-FFF2-40B4-BE49-F238E27FC236}">
                <a16:creationId xmlns:a16="http://schemas.microsoft.com/office/drawing/2014/main" id="{00000000-0008-0000-0000-000005000000}"/>
              </a:ext>
            </a:extLst>
          </xdr:cNvPr>
          <xdr:cNvSpPr txBox="1"/>
        </xdr:nvSpPr>
        <xdr:spPr>
          <a:xfrm>
            <a:off x="4338179" y="103488472"/>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6</a:t>
            </a:r>
          </a:p>
        </xdr:txBody>
      </xdr:sp>
    </xdr:grpSp>
    <xdr:clientData/>
  </xdr:twoCellAnchor>
  <xdr:twoCellAnchor>
    <xdr:from>
      <xdr:col>0</xdr:col>
      <xdr:colOff>95250</xdr:colOff>
      <xdr:row>554</xdr:row>
      <xdr:rowOff>44450</xdr:rowOff>
    </xdr:from>
    <xdr:to>
      <xdr:col>7</xdr:col>
      <xdr:colOff>675317</xdr:colOff>
      <xdr:row>590</xdr:row>
      <xdr:rowOff>22072</xdr:rowOff>
    </xdr:to>
    <xdr:grpSp>
      <xdr:nvGrpSpPr>
        <xdr:cNvPr id="52" name="Group 51"/>
        <xdr:cNvGrpSpPr/>
      </xdr:nvGrpSpPr>
      <xdr:grpSpPr>
        <a:xfrm>
          <a:off x="95250" y="105346500"/>
          <a:ext cx="6434767" cy="7057872"/>
          <a:chOff x="95250" y="105346500"/>
          <a:chExt cx="6434767" cy="7057872"/>
        </a:xfrm>
      </xdr:grpSpPr>
      <xdr:pic>
        <xdr:nvPicPr>
          <xdr:cNvPr id="119" name="Picture 118"/>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740830" y="110496372"/>
            <a:ext cx="1429013" cy="1908000"/>
          </a:xfrm>
          <a:prstGeom prst="rect">
            <a:avLst/>
          </a:prstGeom>
          <a:ln>
            <a:solidFill>
              <a:schemeClr val="tx1"/>
            </a:solidFill>
          </a:ln>
        </xdr:spPr>
      </xdr:pic>
      <xdr:pic>
        <xdr:nvPicPr>
          <xdr:cNvPr id="120" name="Picture 119"/>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24440" y="110496372"/>
            <a:ext cx="2540467" cy="1908000"/>
          </a:xfrm>
          <a:prstGeom prst="rect">
            <a:avLst/>
          </a:prstGeom>
          <a:ln>
            <a:solidFill>
              <a:schemeClr val="tx1"/>
            </a:solidFill>
          </a:ln>
        </xdr:spPr>
      </xdr:pic>
      <xdr:pic>
        <xdr:nvPicPr>
          <xdr:cNvPr id="121" name="Picture 120"/>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95250" y="107633436"/>
            <a:ext cx="2049151" cy="2736000"/>
          </a:xfrm>
          <a:prstGeom prst="rect">
            <a:avLst/>
          </a:prstGeom>
          <a:ln>
            <a:solidFill>
              <a:schemeClr val="tx1"/>
            </a:solidFill>
          </a:ln>
        </xdr:spPr>
      </xdr:pic>
      <xdr:pic>
        <xdr:nvPicPr>
          <xdr:cNvPr id="122" name="Picture 121"/>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2288058" y="107633436"/>
            <a:ext cx="2049151" cy="2736000"/>
          </a:xfrm>
          <a:prstGeom prst="rect">
            <a:avLst/>
          </a:prstGeom>
          <a:ln>
            <a:solidFill>
              <a:schemeClr val="tx1"/>
            </a:solidFill>
          </a:ln>
        </xdr:spPr>
      </xdr:pic>
      <xdr:pic>
        <xdr:nvPicPr>
          <xdr:cNvPr id="123" name="Picture 122"/>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4480866" y="107633436"/>
            <a:ext cx="2049151" cy="2736000"/>
          </a:xfrm>
          <a:prstGeom prst="rect">
            <a:avLst/>
          </a:prstGeom>
          <a:ln>
            <a:solidFill>
              <a:schemeClr val="tx1"/>
            </a:solidFill>
          </a:ln>
        </xdr:spPr>
      </xdr:pic>
      <xdr:pic>
        <xdr:nvPicPr>
          <xdr:cNvPr id="124" name="Picture 123"/>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188362" y="110496372"/>
            <a:ext cx="1429013" cy="1908000"/>
          </a:xfrm>
          <a:prstGeom prst="rect">
            <a:avLst/>
          </a:prstGeom>
          <a:ln>
            <a:solidFill>
              <a:schemeClr val="tx1"/>
            </a:solidFill>
          </a:ln>
        </xdr:spPr>
      </xdr:pic>
      <xdr:pic>
        <xdr:nvPicPr>
          <xdr:cNvPr id="125" name="Picture 124"/>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386376" y="105346500"/>
            <a:ext cx="2876000" cy="2160000"/>
          </a:xfrm>
          <a:prstGeom prst="rect">
            <a:avLst/>
          </a:prstGeom>
          <a:ln>
            <a:solidFill>
              <a:schemeClr val="tx1"/>
            </a:solidFill>
          </a:ln>
        </xdr:spPr>
      </xdr:pic>
      <xdr:pic>
        <xdr:nvPicPr>
          <xdr:cNvPr id="126" name="Picture 125"/>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3448627" y="105346500"/>
            <a:ext cx="2876000" cy="2160000"/>
          </a:xfrm>
          <a:prstGeom prst="rect">
            <a:avLst/>
          </a:prstGeom>
          <a:ln>
            <a:solidFill>
              <a:schemeClr val="tx1"/>
            </a:solidFill>
          </a:ln>
        </xdr:spPr>
      </xdr:pic>
      <xdr:sp macro="" textlink="">
        <xdr:nvSpPr>
          <xdr:cNvPr id="134" name="TextBox 133">
            <a:extLst>
              <a:ext uri="{FF2B5EF4-FFF2-40B4-BE49-F238E27FC236}">
                <a16:creationId xmlns:a16="http://schemas.microsoft.com/office/drawing/2014/main" id="{00000000-0008-0000-0000-000005000000}"/>
              </a:ext>
            </a:extLst>
          </xdr:cNvPr>
          <xdr:cNvSpPr txBox="1"/>
        </xdr:nvSpPr>
        <xdr:spPr>
          <a:xfrm>
            <a:off x="970576" y="106514900"/>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7</a:t>
            </a:r>
          </a:p>
        </xdr:txBody>
      </xdr:sp>
      <xdr:sp macro="" textlink="">
        <xdr:nvSpPr>
          <xdr:cNvPr id="135" name="TextBox 134">
            <a:extLst>
              <a:ext uri="{FF2B5EF4-FFF2-40B4-BE49-F238E27FC236}">
                <a16:creationId xmlns:a16="http://schemas.microsoft.com/office/drawing/2014/main" id="{00000000-0008-0000-0000-000005000000}"/>
              </a:ext>
            </a:extLst>
          </xdr:cNvPr>
          <xdr:cNvSpPr txBox="1"/>
        </xdr:nvSpPr>
        <xdr:spPr>
          <a:xfrm>
            <a:off x="901700" y="109271736"/>
            <a:ext cx="808867"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8</a:t>
            </a:r>
          </a:p>
        </xdr:txBody>
      </xdr:sp>
      <xdr:sp macro="" textlink="">
        <xdr:nvSpPr>
          <xdr:cNvPr id="136" name="TextBox 135">
            <a:extLst>
              <a:ext uri="{FF2B5EF4-FFF2-40B4-BE49-F238E27FC236}">
                <a16:creationId xmlns:a16="http://schemas.microsoft.com/office/drawing/2014/main" id="{00000000-0008-0000-0000-000005000000}"/>
              </a:ext>
            </a:extLst>
          </xdr:cNvPr>
          <xdr:cNvSpPr txBox="1"/>
        </xdr:nvSpPr>
        <xdr:spPr>
          <a:xfrm>
            <a:off x="2872258" y="109608286"/>
            <a:ext cx="905992"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10</a:t>
            </a:r>
          </a:p>
        </xdr:txBody>
      </xdr:sp>
      <xdr:sp macro="" textlink="">
        <xdr:nvSpPr>
          <xdr:cNvPr id="137" name="TextBox 136">
            <a:extLst>
              <a:ext uri="{FF2B5EF4-FFF2-40B4-BE49-F238E27FC236}">
                <a16:creationId xmlns:a16="http://schemas.microsoft.com/office/drawing/2014/main" id="{00000000-0008-0000-0000-000005000000}"/>
              </a:ext>
            </a:extLst>
          </xdr:cNvPr>
          <xdr:cNvSpPr txBox="1"/>
        </xdr:nvSpPr>
        <xdr:spPr>
          <a:xfrm>
            <a:off x="5001566" y="109646386"/>
            <a:ext cx="905992" cy="37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cap="none" spc="0">
                <a:ln w="0"/>
                <a:solidFill>
                  <a:srgbClr val="FFFF00"/>
                </a:solidFill>
                <a:effectLst>
                  <a:outerShdw blurRad="38100" dist="25400" dir="5400000" algn="ctr" rotWithShape="0">
                    <a:srgbClr val="6E747A">
                      <a:alpha val="43000"/>
                    </a:srgbClr>
                  </a:outerShdw>
                </a:effectLst>
                <a:latin typeface="Times New Roman" panose="02020603050405020304" pitchFamily="18" charset="0"/>
                <a:cs typeface="Times New Roman" panose="02020603050405020304" pitchFamily="18" charset="0"/>
              </a:rPr>
              <a:t>Bldg 11</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SxnTNUin21wJZbb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639"/>
  <sheetViews>
    <sheetView tabSelected="1" view="pageBreakPreview" topLeftCell="A457" zoomScaleNormal="100" zoomScaleSheetLayoutView="100" zoomScalePageLayoutView="85" workbookViewId="0">
      <selection activeCell="J489" sqref="J489"/>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1.2695312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235" t="s">
        <v>379</v>
      </c>
      <c r="B1" s="235"/>
      <c r="C1" s="235"/>
      <c r="D1" s="235"/>
      <c r="E1" s="235"/>
      <c r="F1" s="235"/>
      <c r="G1" s="235"/>
      <c r="H1" s="235"/>
    </row>
    <row r="2" spans="1:26" ht="16.5" customHeight="1" x14ac:dyDescent="0.35">
      <c r="A2" s="236" t="s">
        <v>0</v>
      </c>
      <c r="B2" s="236"/>
      <c r="C2" s="236"/>
      <c r="D2" s="236"/>
      <c r="E2" s="236"/>
      <c r="F2" s="236"/>
      <c r="G2" s="236"/>
      <c r="H2" s="236"/>
    </row>
    <row r="3" spans="1:26" x14ac:dyDescent="0.35">
      <c r="A3" s="201" t="s">
        <v>1</v>
      </c>
      <c r="B3" s="201"/>
      <c r="C3" s="201"/>
      <c r="D3" s="201"/>
      <c r="E3" s="201" t="str">
        <f ca="1">TEXT(TODAY(),"DD/MM/YYYY")</f>
        <v>18/08/2025</v>
      </c>
      <c r="F3" s="201"/>
      <c r="G3" s="201"/>
      <c r="H3" s="201"/>
      <c r="K3" s="49" t="s">
        <v>236</v>
      </c>
      <c r="L3" s="48" t="s">
        <v>234</v>
      </c>
      <c r="M3" s="48" t="s">
        <v>239</v>
      </c>
      <c r="N3" s="48" t="s">
        <v>237</v>
      </c>
      <c r="O3" s="48" t="s">
        <v>357</v>
      </c>
      <c r="P3" s="48" t="s">
        <v>240</v>
      </c>
    </row>
    <row r="4" spans="1:26" ht="15" customHeight="1" x14ac:dyDescent="0.35">
      <c r="A4" s="201" t="s">
        <v>233</v>
      </c>
      <c r="B4" s="201"/>
      <c r="C4" s="201"/>
      <c r="D4" s="201"/>
      <c r="E4" s="201" t="s">
        <v>234</v>
      </c>
      <c r="F4" s="201"/>
      <c r="G4" s="201"/>
      <c r="H4" s="201"/>
      <c r="K4" s="47" t="s">
        <v>235</v>
      </c>
      <c r="L4" s="48" t="s">
        <v>171</v>
      </c>
      <c r="M4" s="48" t="s">
        <v>244</v>
      </c>
      <c r="N4" s="48" t="s">
        <v>246</v>
      </c>
      <c r="O4" s="48" t="s">
        <v>341</v>
      </c>
      <c r="P4" s="48"/>
    </row>
    <row r="5" spans="1:26" ht="15" customHeight="1" x14ac:dyDescent="0.35">
      <c r="A5" s="201" t="s">
        <v>2</v>
      </c>
      <c r="B5" s="201"/>
      <c r="C5" s="201"/>
      <c r="D5" s="201"/>
      <c r="E5" s="201" t="s">
        <v>242</v>
      </c>
      <c r="F5" s="201"/>
      <c r="G5" s="201"/>
      <c r="H5" s="201"/>
      <c r="K5" s="47"/>
      <c r="L5" s="48" t="s">
        <v>241</v>
      </c>
      <c r="M5" s="48" t="s">
        <v>245</v>
      </c>
      <c r="N5" s="48" t="s">
        <v>247</v>
      </c>
      <c r="O5" s="48" t="s">
        <v>342</v>
      </c>
      <c r="P5" s="48"/>
    </row>
    <row r="6" spans="1:26" x14ac:dyDescent="0.35">
      <c r="A6" s="153" t="s">
        <v>3</v>
      </c>
      <c r="B6" s="153"/>
      <c r="C6" s="153"/>
      <c r="D6" s="153"/>
      <c r="E6" s="237">
        <v>45886</v>
      </c>
      <c r="F6" s="201"/>
      <c r="G6" s="201"/>
      <c r="H6" s="201"/>
      <c r="K6" s="47"/>
      <c r="L6" s="48" t="s">
        <v>242</v>
      </c>
      <c r="M6" s="48" t="s">
        <v>355</v>
      </c>
      <c r="N6" s="48"/>
      <c r="O6" s="48" t="s">
        <v>343</v>
      </c>
      <c r="P6" s="48"/>
    </row>
    <row r="7" spans="1:26" ht="16.5" customHeight="1" x14ac:dyDescent="0.35">
      <c r="A7" s="201" t="s">
        <v>4</v>
      </c>
      <c r="B7" s="201"/>
      <c r="C7" s="201"/>
      <c r="D7" s="201"/>
      <c r="E7" s="201" t="s">
        <v>382</v>
      </c>
      <c r="F7" s="201"/>
      <c r="G7" s="201"/>
      <c r="H7" s="201"/>
      <c r="K7" s="47"/>
      <c r="L7" s="48" t="s">
        <v>243</v>
      </c>
      <c r="M7" s="48"/>
      <c r="N7" s="48"/>
      <c r="O7" s="48" t="s">
        <v>343</v>
      </c>
      <c r="P7" s="48"/>
    </row>
    <row r="8" spans="1:26" ht="15" customHeight="1" x14ac:dyDescent="0.35">
      <c r="A8" s="201" t="s">
        <v>5</v>
      </c>
      <c r="B8" s="201"/>
      <c r="C8" s="201"/>
      <c r="D8" s="201"/>
      <c r="E8" s="201" t="str">
        <f>E7</f>
        <v>Ami Realty Developers LLP</v>
      </c>
      <c r="F8" s="201"/>
      <c r="G8" s="201"/>
      <c r="H8" s="201"/>
      <c r="K8" s="47"/>
      <c r="L8" s="48"/>
      <c r="M8" s="48"/>
      <c r="N8" s="48"/>
      <c r="O8" s="48" t="s">
        <v>344</v>
      </c>
      <c r="P8" s="48"/>
    </row>
    <row r="9" spans="1:26" x14ac:dyDescent="0.35">
      <c r="A9" s="201" t="s">
        <v>6</v>
      </c>
      <c r="B9" s="201"/>
      <c r="C9" s="201"/>
      <c r="D9" s="201"/>
      <c r="E9" s="146" t="s">
        <v>383</v>
      </c>
      <c r="F9" s="146"/>
      <c r="G9" s="146"/>
      <c r="H9" s="146"/>
      <c r="K9" s="47"/>
      <c r="L9" s="48"/>
      <c r="M9" s="48"/>
      <c r="N9" s="48"/>
      <c r="O9" s="48" t="s">
        <v>345</v>
      </c>
      <c r="P9" s="48"/>
    </row>
    <row r="10" spans="1:26" ht="32.25" customHeight="1" x14ac:dyDescent="0.35">
      <c r="A10" s="201" t="s">
        <v>168</v>
      </c>
      <c r="B10" s="201"/>
      <c r="C10" s="201"/>
      <c r="D10" s="201"/>
      <c r="E10" s="167" t="s">
        <v>445</v>
      </c>
      <c r="F10" s="201"/>
      <c r="G10" s="201"/>
      <c r="H10" s="201"/>
      <c r="K10" s="47"/>
      <c r="L10" s="48"/>
      <c r="M10" s="48"/>
      <c r="N10" s="48"/>
      <c r="O10" s="48" t="s">
        <v>346</v>
      </c>
      <c r="P10" s="48"/>
    </row>
    <row r="11" spans="1:26" x14ac:dyDescent="0.35">
      <c r="A11" s="153" t="s">
        <v>169</v>
      </c>
      <c r="B11" s="153"/>
      <c r="C11" s="153"/>
      <c r="D11" s="153"/>
      <c r="E11" s="201" t="s">
        <v>453</v>
      </c>
      <c r="F11" s="201"/>
      <c r="G11" s="201"/>
      <c r="H11" s="201"/>
      <c r="O11" s="48" t="s">
        <v>347</v>
      </c>
    </row>
    <row r="12" spans="1:26" ht="50.25" customHeight="1" x14ac:dyDescent="0.35">
      <c r="A12" s="201" t="s">
        <v>7</v>
      </c>
      <c r="B12" s="201"/>
      <c r="C12" s="201"/>
      <c r="D12" s="201"/>
      <c r="E12" s="167" t="s">
        <v>448</v>
      </c>
      <c r="F12" s="201"/>
      <c r="G12" s="201"/>
      <c r="H12" s="201"/>
    </row>
    <row r="13" spans="1:26" s="20" customFormat="1" x14ac:dyDescent="0.35">
      <c r="A13" s="201" t="s">
        <v>172</v>
      </c>
      <c r="B13" s="201"/>
      <c r="C13" s="201"/>
      <c r="D13" s="201"/>
      <c r="E13" s="201" t="s">
        <v>28</v>
      </c>
      <c r="F13" s="201"/>
      <c r="G13" s="201"/>
      <c r="H13" s="201"/>
      <c r="S13" s="90" t="s">
        <v>180</v>
      </c>
      <c r="T13" s="90" t="s">
        <v>189</v>
      </c>
      <c r="U13" s="90" t="s">
        <v>173</v>
      </c>
      <c r="V13" s="90" t="s">
        <v>194</v>
      </c>
      <c r="W13" s="90" t="s">
        <v>212</v>
      </c>
      <c r="X13" s="91"/>
      <c r="Y13" s="91" t="s">
        <v>194</v>
      </c>
      <c r="Z13" s="91" t="e">
        <f ca="1">OFFSET($S$13,1,MATCH($G20,$S$13:$W$13,0)-1,15,1)</f>
        <v>#VALUE!</v>
      </c>
    </row>
    <row r="14" spans="1:26" s="20" customFormat="1" x14ac:dyDescent="0.35">
      <c r="A14" s="201" t="s">
        <v>279</v>
      </c>
      <c r="B14" s="201"/>
      <c r="C14" s="201"/>
      <c r="D14" s="201"/>
      <c r="E14" s="167" t="s">
        <v>449</v>
      </c>
      <c r="F14" s="167"/>
      <c r="G14" s="167"/>
      <c r="H14" s="167"/>
      <c r="S14" s="90" t="s">
        <v>180</v>
      </c>
      <c r="T14" s="90" t="s">
        <v>187</v>
      </c>
      <c r="U14" s="90" t="s">
        <v>209</v>
      </c>
      <c r="V14" s="90" t="s">
        <v>195</v>
      </c>
      <c r="W14" s="90" t="s">
        <v>213</v>
      </c>
      <c r="X14" s="91"/>
      <c r="Y14" s="91"/>
      <c r="Z14" s="91"/>
    </row>
    <row r="15" spans="1:26" x14ac:dyDescent="0.35">
      <c r="A15" s="153" t="s">
        <v>8</v>
      </c>
      <c r="B15" s="153"/>
      <c r="C15" s="153"/>
      <c r="D15" s="153"/>
      <c r="E15" s="167" t="s">
        <v>384</v>
      </c>
      <c r="F15" s="201"/>
      <c r="G15" s="201"/>
      <c r="H15" s="201"/>
      <c r="I15" s="252" t="e">
        <f ca="1">OFFSET($D$5,1,MATCH($J13,$D$5:$H$5,0)-1,15,1)</f>
        <v>#N/A</v>
      </c>
      <c r="J15" s="253"/>
      <c r="K15" s="253"/>
      <c r="L15" s="253"/>
      <c r="M15" s="253"/>
      <c r="N15" s="253"/>
      <c r="O15" s="253"/>
      <c r="P15" s="253"/>
      <c r="S15" s="48" t="s">
        <v>181</v>
      </c>
      <c r="T15" s="48" t="s">
        <v>188</v>
      </c>
      <c r="U15" s="48" t="s">
        <v>210</v>
      </c>
      <c r="V15" s="48" t="s">
        <v>196</v>
      </c>
      <c r="W15" s="48" t="s">
        <v>226</v>
      </c>
      <c r="X15"/>
      <c r="Y15"/>
      <c r="Z15"/>
    </row>
    <row r="16" spans="1:26" ht="48.75" customHeight="1" x14ac:dyDescent="0.35">
      <c r="A16" s="179" t="s">
        <v>9</v>
      </c>
      <c r="B16" s="179"/>
      <c r="C16" s="179" t="str">
        <f>CONCATENATE((IF(OR(E9="",E9="NA"),"",E9)),", ",(IF(OR(A17="",A17="NA"),"",A17)),".",(IF(OR(C17="",C17="NA"),"",C17)),", near ",(IF(OR(C22="",C22="NA"),"",C22)),", ",(IF(OR(C19="",C19="NA"),"",C19)),", ",(IF(OR(C18="",C18="NA"),"",C18)),", ",(IF(OR(G19="",G19="NA"),"",G19)),", ",(IF(OR(C20="",C20="NA"),"",C20)),", ",(IF(OR(C21="",C21="NA"),"",C21)),", ",(IF(OR(G20="",G20="NA"),"",G20))," - ",(IF(OR(G21="",G21="NA"),"",G21)),".")</f>
        <v>Swaraj Complex, Survey No.170/B, 170/2A/1, 170/2A/2, 170/2A/3, 172/1A, near Rural Hospital, Poladpur/Jitendra Shinde Ground, National Highway 66, Savantkond, Poladpur, Karanjadi East, Poladpur, Raigad - 402303.</v>
      </c>
      <c r="D16" s="179"/>
      <c r="E16" s="179"/>
      <c r="F16" s="179"/>
      <c r="G16" s="179"/>
      <c r="H16" s="179"/>
      <c r="S16" s="48" t="s">
        <v>182</v>
      </c>
      <c r="T16" s="48" t="s">
        <v>190</v>
      </c>
      <c r="U16" s="48" t="s">
        <v>211</v>
      </c>
      <c r="V16" s="48" t="s">
        <v>197</v>
      </c>
      <c r="W16" s="48" t="s">
        <v>214</v>
      </c>
      <c r="X16"/>
      <c r="Y16"/>
      <c r="Z16"/>
    </row>
    <row r="17" spans="1:26" x14ac:dyDescent="0.35">
      <c r="A17" s="167" t="s">
        <v>385</v>
      </c>
      <c r="B17" s="167"/>
      <c r="C17" s="167" t="s">
        <v>446</v>
      </c>
      <c r="D17" s="167"/>
      <c r="E17" s="167"/>
      <c r="F17" s="167"/>
      <c r="G17" s="167"/>
      <c r="H17" s="167"/>
      <c r="S17" s="48" t="s">
        <v>183</v>
      </c>
      <c r="T17" s="48" t="s">
        <v>191</v>
      </c>
      <c r="U17" s="48" t="s">
        <v>173</v>
      </c>
      <c r="V17" s="48" t="s">
        <v>198</v>
      </c>
      <c r="W17" s="48" t="s">
        <v>215</v>
      </c>
      <c r="X17"/>
      <c r="Y17"/>
      <c r="Z17"/>
    </row>
    <row r="18" spans="1:26" ht="15.75" customHeight="1" x14ac:dyDescent="0.35">
      <c r="A18" s="167" t="s">
        <v>164</v>
      </c>
      <c r="B18" s="167"/>
      <c r="C18" s="167" t="s">
        <v>438</v>
      </c>
      <c r="D18" s="167"/>
      <c r="E18" s="167"/>
      <c r="F18" s="167"/>
      <c r="G18" s="167"/>
      <c r="H18" s="167"/>
      <c r="S18" s="48" t="s">
        <v>184</v>
      </c>
      <c r="T18" s="48" t="s">
        <v>189</v>
      </c>
      <c r="U18" s="48"/>
      <c r="V18" s="48" t="s">
        <v>199</v>
      </c>
      <c r="W18" s="48" t="s">
        <v>216</v>
      </c>
      <c r="X18"/>
      <c r="Y18"/>
      <c r="Z18"/>
    </row>
    <row r="19" spans="1:26" ht="15.75" customHeight="1" x14ac:dyDescent="0.35">
      <c r="A19" s="167" t="s">
        <v>10</v>
      </c>
      <c r="B19" s="167"/>
      <c r="C19" s="201" t="s">
        <v>441</v>
      </c>
      <c r="D19" s="201"/>
      <c r="E19" s="167" t="s">
        <v>69</v>
      </c>
      <c r="F19" s="167"/>
      <c r="G19" s="167" t="s">
        <v>205</v>
      </c>
      <c r="H19" s="167"/>
      <c r="S19" s="48" t="s">
        <v>185</v>
      </c>
      <c r="T19" s="48" t="s">
        <v>192</v>
      </c>
      <c r="U19" s="48"/>
      <c r="V19" s="48" t="s">
        <v>200</v>
      </c>
      <c r="W19" s="48" t="s">
        <v>217</v>
      </c>
      <c r="X19"/>
      <c r="Y19"/>
      <c r="Z19"/>
    </row>
    <row r="20" spans="1:26" x14ac:dyDescent="0.35">
      <c r="A20" s="201" t="s">
        <v>12</v>
      </c>
      <c r="B20" s="201"/>
      <c r="C20" s="167" t="s">
        <v>439</v>
      </c>
      <c r="D20" s="167"/>
      <c r="E20" s="167" t="s">
        <v>11</v>
      </c>
      <c r="F20" s="167"/>
      <c r="G20" s="234" t="s">
        <v>194</v>
      </c>
      <c r="H20" s="234"/>
      <c r="S20" s="48" t="s">
        <v>186</v>
      </c>
      <c r="T20" s="48" t="s">
        <v>193</v>
      </c>
      <c r="U20" s="48"/>
      <c r="V20" s="48" t="s">
        <v>201</v>
      </c>
      <c r="W20" s="48" t="s">
        <v>218</v>
      </c>
      <c r="X20"/>
      <c r="Y20"/>
      <c r="Z20"/>
    </row>
    <row r="21" spans="1:26" x14ac:dyDescent="0.35">
      <c r="A21" s="201" t="s">
        <v>70</v>
      </c>
      <c r="B21" s="201"/>
      <c r="C21" s="167" t="s">
        <v>205</v>
      </c>
      <c r="D21" s="167"/>
      <c r="E21" s="167" t="s">
        <v>13</v>
      </c>
      <c r="F21" s="167"/>
      <c r="G21" s="167">
        <v>402303</v>
      </c>
      <c r="H21" s="167"/>
      <c r="S21" s="48"/>
      <c r="T21" s="48"/>
      <c r="U21" s="48"/>
      <c r="V21" s="48" t="s">
        <v>202</v>
      </c>
      <c r="W21" s="48" t="s">
        <v>219</v>
      </c>
      <c r="X21"/>
      <c r="Y21"/>
      <c r="Z21"/>
    </row>
    <row r="22" spans="1:26" ht="50.25" customHeight="1" x14ac:dyDescent="0.35">
      <c r="A22" s="201" t="s">
        <v>119</v>
      </c>
      <c r="B22" s="201"/>
      <c r="C22" s="167" t="s">
        <v>444</v>
      </c>
      <c r="D22" s="167"/>
      <c r="E22" s="167" t="s">
        <v>14</v>
      </c>
      <c r="F22" s="167"/>
      <c r="G22" s="167" t="s">
        <v>440</v>
      </c>
      <c r="H22" s="167"/>
      <c r="S22" s="48"/>
      <c r="T22" s="48"/>
      <c r="U22" s="48"/>
      <c r="V22" s="48" t="s">
        <v>203</v>
      </c>
      <c r="W22" s="48" t="s">
        <v>220</v>
      </c>
      <c r="X22"/>
      <c r="Y22"/>
      <c r="Z22"/>
    </row>
    <row r="23" spans="1:26" ht="15" customHeight="1" x14ac:dyDescent="0.35">
      <c r="A23" s="179" t="s">
        <v>72</v>
      </c>
      <c r="B23" s="179"/>
      <c r="C23" s="179"/>
      <c r="D23" s="179"/>
      <c r="E23" s="201" t="s">
        <v>15</v>
      </c>
      <c r="F23" s="201"/>
      <c r="G23" s="201"/>
      <c r="H23" s="201"/>
      <c r="S23" s="48"/>
      <c r="T23" s="48"/>
      <c r="U23" s="48"/>
      <c r="V23" s="48" t="s">
        <v>204</v>
      </c>
      <c r="W23" s="48" t="s">
        <v>221</v>
      </c>
      <c r="X23"/>
      <c r="Y23"/>
      <c r="Z23"/>
    </row>
    <row r="24" spans="1:26" ht="18.75" customHeight="1" x14ac:dyDescent="0.35">
      <c r="A24" s="179"/>
      <c r="B24" s="179"/>
      <c r="C24" s="179"/>
      <c r="D24" s="179"/>
      <c r="E24" s="201"/>
      <c r="F24" s="201"/>
      <c r="G24" s="201"/>
      <c r="H24" s="201"/>
      <c r="I24" s="18" t="s">
        <v>437</v>
      </c>
      <c r="S24" s="48"/>
      <c r="T24" s="48"/>
      <c r="U24" s="48"/>
      <c r="V24" s="48" t="s">
        <v>205</v>
      </c>
      <c r="W24" s="48" t="s">
        <v>222</v>
      </c>
      <c r="X24"/>
      <c r="Y24"/>
      <c r="Z24"/>
    </row>
    <row r="25" spans="1:26" ht="15" customHeight="1" x14ac:dyDescent="0.35">
      <c r="A25" s="179" t="s">
        <v>16</v>
      </c>
      <c r="B25" s="179"/>
      <c r="C25" s="179"/>
      <c r="D25" s="179"/>
      <c r="E25" s="167" t="s">
        <v>17</v>
      </c>
      <c r="F25" s="167"/>
      <c r="G25" s="167"/>
      <c r="H25" s="167"/>
      <c r="S25" s="48"/>
      <c r="T25" s="48"/>
      <c r="U25" s="48"/>
      <c r="V25" s="48" t="s">
        <v>206</v>
      </c>
      <c r="W25" s="48" t="s">
        <v>223</v>
      </c>
      <c r="X25"/>
      <c r="Y25"/>
      <c r="Z25"/>
    </row>
    <row r="26" spans="1:26" ht="15" customHeight="1" x14ac:dyDescent="0.35">
      <c r="A26" s="153" t="s">
        <v>18</v>
      </c>
      <c r="B26" s="153"/>
      <c r="C26" s="153"/>
      <c r="D26" s="153"/>
      <c r="E26" s="167" t="str">
        <f>IF(AND(G20="Mumbai"),"Upper Class","Middle Class")</f>
        <v>Middle Class</v>
      </c>
      <c r="F26" s="167"/>
      <c r="G26" s="167"/>
      <c r="H26" s="167"/>
      <c r="S26" s="48"/>
      <c r="T26" s="48"/>
      <c r="U26" s="48"/>
      <c r="V26" s="48" t="s">
        <v>207</v>
      </c>
      <c r="W26" s="48" t="s">
        <v>224</v>
      </c>
      <c r="X26"/>
      <c r="Y26"/>
      <c r="Z26"/>
    </row>
    <row r="27" spans="1:26" x14ac:dyDescent="0.35">
      <c r="A27" s="153" t="s">
        <v>19</v>
      </c>
      <c r="B27" s="153"/>
      <c r="C27" s="153"/>
      <c r="D27" s="153"/>
      <c r="E27" s="167" t="s">
        <v>20</v>
      </c>
      <c r="F27" s="167"/>
      <c r="G27" s="167"/>
      <c r="H27" s="167"/>
      <c r="S27" s="48"/>
      <c r="T27" s="48"/>
      <c r="U27" s="48"/>
      <c r="V27" s="48" t="s">
        <v>208</v>
      </c>
      <c r="W27" s="48" t="s">
        <v>225</v>
      </c>
      <c r="X27"/>
      <c r="Y27"/>
      <c r="Z27"/>
    </row>
    <row r="28" spans="1:26" ht="15.75" customHeight="1" x14ac:dyDescent="0.35">
      <c r="A28" s="153" t="s">
        <v>21</v>
      </c>
      <c r="B28" s="153"/>
      <c r="C28" s="153"/>
      <c r="D28" s="153"/>
      <c r="E28" s="167" t="str">
        <f>IF(AND(G20="Mumbai"),"Developed","Developing")</f>
        <v>Developing</v>
      </c>
      <c r="F28" s="167"/>
      <c r="G28" s="167"/>
      <c r="H28" s="167"/>
    </row>
    <row r="29" spans="1:26" x14ac:dyDescent="0.35">
      <c r="A29" s="153" t="s">
        <v>22</v>
      </c>
      <c r="B29" s="153"/>
      <c r="C29" s="153"/>
      <c r="D29" s="153"/>
      <c r="E29" s="167" t="s">
        <v>23</v>
      </c>
      <c r="F29" s="167"/>
      <c r="G29" s="167"/>
      <c r="H29" s="167"/>
    </row>
    <row r="30" spans="1:26" ht="15.75" customHeight="1" x14ac:dyDescent="0.35">
      <c r="A30" s="153" t="s">
        <v>77</v>
      </c>
      <c r="B30" s="153"/>
      <c r="C30" s="153"/>
      <c r="D30" s="153"/>
      <c r="E30" s="167" t="s">
        <v>78</v>
      </c>
      <c r="F30" s="167"/>
      <c r="G30" s="167"/>
      <c r="H30" s="167"/>
    </row>
    <row r="31" spans="1:26" ht="15" customHeight="1" x14ac:dyDescent="0.35">
      <c r="A31" s="153" t="s">
        <v>30</v>
      </c>
      <c r="B31" s="153"/>
      <c r="C31" s="153"/>
      <c r="D31" s="153"/>
      <c r="E31" s="167"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67"/>
      <c r="G31" s="167"/>
      <c r="H31" s="167"/>
    </row>
    <row r="32" spans="1:26" ht="15.75" customHeight="1" x14ac:dyDescent="0.35">
      <c r="A32" s="153" t="s">
        <v>89</v>
      </c>
      <c r="B32" s="153"/>
      <c r="C32" s="153"/>
      <c r="D32" s="153"/>
      <c r="E32" s="167" t="s">
        <v>31</v>
      </c>
      <c r="F32" s="167"/>
      <c r="G32" s="167"/>
      <c r="H32" s="167"/>
    </row>
    <row r="33" spans="1:19" s="19" customFormat="1" x14ac:dyDescent="0.35">
      <c r="A33" s="232" t="s">
        <v>90</v>
      </c>
      <c r="B33" s="232"/>
      <c r="C33" s="229" t="s">
        <v>174</v>
      </c>
      <c r="D33" s="230"/>
      <c r="E33" s="231"/>
      <c r="F33" s="229" t="s">
        <v>29</v>
      </c>
      <c r="G33" s="230"/>
      <c r="H33" s="231"/>
      <c r="S33" s="19" t="e">
        <f ca="1">OFFSET($S$13,1,MATCH($G20,$S$13:$W$13,0)-1,15,1)</f>
        <v>#VALUE!</v>
      </c>
    </row>
    <row r="34" spans="1:19" s="19" customFormat="1" x14ac:dyDescent="0.35">
      <c r="A34" s="228" t="s">
        <v>24</v>
      </c>
      <c r="B34" s="228" t="s">
        <v>28</v>
      </c>
      <c r="C34" s="181" t="s">
        <v>430</v>
      </c>
      <c r="D34" s="182"/>
      <c r="E34" s="183"/>
      <c r="F34" s="181" t="s">
        <v>441</v>
      </c>
      <c r="G34" s="182"/>
      <c r="H34" s="183"/>
    </row>
    <row r="35" spans="1:19" x14ac:dyDescent="0.35">
      <c r="A35" s="228" t="s">
        <v>25</v>
      </c>
      <c r="B35" s="228" t="s">
        <v>28</v>
      </c>
      <c r="C35" s="181" t="s">
        <v>387</v>
      </c>
      <c r="D35" s="182"/>
      <c r="E35" s="183"/>
      <c r="F35" s="181" t="s">
        <v>443</v>
      </c>
      <c r="G35" s="182"/>
      <c r="H35" s="183"/>
    </row>
    <row r="36" spans="1:19" s="19" customFormat="1" x14ac:dyDescent="0.35">
      <c r="A36" s="228" t="s">
        <v>27</v>
      </c>
      <c r="B36" s="228" t="s">
        <v>28</v>
      </c>
      <c r="C36" s="181" t="s">
        <v>431</v>
      </c>
      <c r="D36" s="182"/>
      <c r="E36" s="183"/>
      <c r="F36" s="181" t="s">
        <v>442</v>
      </c>
      <c r="G36" s="182"/>
      <c r="H36" s="183"/>
    </row>
    <row r="37" spans="1:19" x14ac:dyDescent="0.35">
      <c r="A37" s="228" t="s">
        <v>26</v>
      </c>
      <c r="B37" s="228" t="s">
        <v>28</v>
      </c>
      <c r="C37" s="181" t="s">
        <v>386</v>
      </c>
      <c r="D37" s="182"/>
      <c r="E37" s="183"/>
      <c r="F37" s="181" t="s">
        <v>443</v>
      </c>
      <c r="G37" s="182"/>
      <c r="H37" s="183"/>
    </row>
    <row r="38" spans="1:19" x14ac:dyDescent="0.35">
      <c r="A38" s="153" t="s">
        <v>280</v>
      </c>
      <c r="B38" s="153"/>
      <c r="C38" s="153"/>
      <c r="D38" s="153"/>
      <c r="E38" s="153"/>
      <c r="F38" s="153"/>
      <c r="G38" s="153"/>
      <c r="H38" s="153"/>
    </row>
    <row r="39" spans="1:19" ht="15.75" customHeight="1" x14ac:dyDescent="0.35">
      <c r="A39" s="153" t="s">
        <v>166</v>
      </c>
      <c r="B39" s="153"/>
      <c r="C39" s="189" t="s">
        <v>436</v>
      </c>
      <c r="D39" s="189"/>
      <c r="E39" s="189"/>
      <c r="F39" s="189"/>
      <c r="G39" s="189"/>
      <c r="H39" s="189"/>
    </row>
    <row r="40" spans="1:19" x14ac:dyDescent="0.35">
      <c r="A40" s="153" t="s">
        <v>163</v>
      </c>
      <c r="B40" s="153"/>
      <c r="C40" s="166" t="s">
        <v>435</v>
      </c>
      <c r="D40" s="167"/>
      <c r="E40" s="167"/>
      <c r="F40" s="167"/>
      <c r="G40" s="167"/>
      <c r="H40" s="167"/>
    </row>
    <row r="41" spans="1:19" x14ac:dyDescent="0.35">
      <c r="A41" s="189" t="s">
        <v>32</v>
      </c>
      <c r="B41" s="189"/>
      <c r="C41" s="189"/>
      <c r="D41" s="189"/>
      <c r="E41" s="189"/>
      <c r="F41" s="189"/>
      <c r="G41" s="189"/>
      <c r="H41" s="189"/>
    </row>
    <row r="42" spans="1:19" x14ac:dyDescent="0.35">
      <c r="A42" s="153" t="s">
        <v>33</v>
      </c>
      <c r="B42" s="153"/>
      <c r="C42" s="153"/>
      <c r="D42" s="153"/>
      <c r="E42" s="233">
        <v>14894.9</v>
      </c>
      <c r="F42" s="233"/>
      <c r="G42" s="233"/>
      <c r="H42" s="233"/>
    </row>
    <row r="43" spans="1:19" x14ac:dyDescent="0.35">
      <c r="A43" s="201" t="s">
        <v>34</v>
      </c>
      <c r="B43" s="201"/>
      <c r="C43" s="201"/>
      <c r="D43" s="201"/>
      <c r="E43" s="207">
        <f>29789.8/E42</f>
        <v>2</v>
      </c>
      <c r="F43" s="207"/>
      <c r="G43" s="207"/>
      <c r="H43" s="207"/>
    </row>
    <row r="44" spans="1:19" x14ac:dyDescent="0.35">
      <c r="A44" s="201" t="s">
        <v>35</v>
      </c>
      <c r="B44" s="201"/>
      <c r="C44" s="201"/>
      <c r="D44" s="201"/>
      <c r="E44" s="207">
        <f>E46/E42-E43</f>
        <v>-2.2939395363513748E-2</v>
      </c>
      <c r="F44" s="207"/>
      <c r="G44" s="207"/>
      <c r="H44" s="207"/>
    </row>
    <row r="45" spans="1:19" x14ac:dyDescent="0.35">
      <c r="A45" s="201" t="s">
        <v>36</v>
      </c>
      <c r="B45" s="201"/>
      <c r="C45" s="201"/>
      <c r="D45" s="201"/>
      <c r="E45" s="207">
        <f>E43+E44</f>
        <v>1.9770606046364863</v>
      </c>
      <c r="F45" s="207"/>
      <c r="G45" s="207"/>
      <c r="H45" s="207"/>
    </row>
    <row r="46" spans="1:19" x14ac:dyDescent="0.35">
      <c r="A46" s="201" t="s">
        <v>88</v>
      </c>
      <c r="B46" s="201"/>
      <c r="C46" s="201"/>
      <c r="D46" s="201"/>
      <c r="E46" s="208">
        <v>29448.12</v>
      </c>
      <c r="F46" s="208"/>
      <c r="G46" s="208"/>
      <c r="H46" s="208"/>
    </row>
    <row r="47" spans="1:19" x14ac:dyDescent="0.35">
      <c r="A47" s="201" t="s">
        <v>37</v>
      </c>
      <c r="B47" s="201"/>
      <c r="C47" s="201"/>
      <c r="D47" s="201"/>
      <c r="E47" s="201" t="s">
        <v>433</v>
      </c>
      <c r="F47" s="201"/>
      <c r="G47" s="201"/>
      <c r="H47" s="201"/>
    </row>
    <row r="48" spans="1:19" x14ac:dyDescent="0.35">
      <c r="A48" s="189" t="s">
        <v>38</v>
      </c>
      <c r="B48" s="189"/>
      <c r="C48" s="189"/>
      <c r="D48" s="189"/>
      <c r="E48" s="189"/>
      <c r="F48" s="189"/>
      <c r="G48" s="189"/>
      <c r="H48" s="189"/>
    </row>
    <row r="49" spans="1:24" ht="33.75" customHeight="1" x14ac:dyDescent="0.35">
      <c r="A49" s="184" t="s">
        <v>151</v>
      </c>
      <c r="B49" s="186"/>
      <c r="C49" s="212" t="s">
        <v>256</v>
      </c>
      <c r="D49" s="213"/>
      <c r="E49" s="213"/>
      <c r="F49" s="213"/>
      <c r="G49" s="213"/>
      <c r="H49" s="214"/>
      <c r="R49" t="s">
        <v>253</v>
      </c>
      <c r="S49" s="50" t="s">
        <v>173</v>
      </c>
      <c r="T49" s="50" t="s">
        <v>180</v>
      </c>
      <c r="U49" s="50" t="s">
        <v>194</v>
      </c>
      <c r="V49" s="50" t="s">
        <v>189</v>
      </c>
    </row>
    <row r="50" spans="1:24" ht="15.75" customHeight="1" x14ac:dyDescent="0.35">
      <c r="A50" s="184" t="s">
        <v>39</v>
      </c>
      <c r="B50" s="186"/>
      <c r="C50" s="184" t="s">
        <v>388</v>
      </c>
      <c r="D50" s="185"/>
      <c r="E50" s="186"/>
      <c r="F50" s="17" t="s">
        <v>40</v>
      </c>
      <c r="G50" s="187">
        <v>44986</v>
      </c>
      <c r="H50" s="188"/>
      <c r="R50"/>
      <c r="S50" s="50" t="s">
        <v>254</v>
      </c>
      <c r="T50" s="50" t="s">
        <v>259</v>
      </c>
      <c r="U50" s="50" t="s">
        <v>270</v>
      </c>
      <c r="V50" s="50" t="s">
        <v>275</v>
      </c>
    </row>
    <row r="51" spans="1:24" x14ac:dyDescent="0.35">
      <c r="A51" s="184" t="s">
        <v>41</v>
      </c>
      <c r="B51" s="186"/>
      <c r="C51" s="184" t="str">
        <f>C50</f>
        <v>EE/BP/PMAY/A/MHADA/176/2023</v>
      </c>
      <c r="D51" s="185"/>
      <c r="E51" s="186"/>
      <c r="F51" s="17" t="s">
        <v>40</v>
      </c>
      <c r="G51" s="187">
        <f>G50</f>
        <v>44986</v>
      </c>
      <c r="H51" s="188"/>
      <c r="R51"/>
      <c r="S51" s="50" t="s">
        <v>255</v>
      </c>
      <c r="T51" s="50" t="s">
        <v>358</v>
      </c>
      <c r="U51" s="50" t="s">
        <v>268</v>
      </c>
      <c r="V51" s="50" t="s">
        <v>276</v>
      </c>
    </row>
    <row r="52" spans="1:24" s="20" customFormat="1" ht="15.75" customHeight="1" x14ac:dyDescent="0.35">
      <c r="A52" s="193" t="s">
        <v>156</v>
      </c>
      <c r="B52" s="194"/>
      <c r="C52" s="193" t="s">
        <v>389</v>
      </c>
      <c r="D52" s="199"/>
      <c r="E52" s="194"/>
      <c r="F52" s="17" t="s">
        <v>40</v>
      </c>
      <c r="G52" s="187">
        <v>45218</v>
      </c>
      <c r="H52" s="188"/>
      <c r="I52" s="19" t="str">
        <f ca="1">IF(G52&gt;EDATE(E3,-48),"NO REMARK","CC REMARK FOR CC")</f>
        <v>NO REMARK</v>
      </c>
      <c r="J52" s="69"/>
      <c r="R52"/>
      <c r="S52" s="50" t="s">
        <v>256</v>
      </c>
      <c r="T52" s="50" t="s">
        <v>261</v>
      </c>
      <c r="U52" s="50" t="s">
        <v>258</v>
      </c>
      <c r="V52" s="50" t="s">
        <v>277</v>
      </c>
    </row>
    <row r="53" spans="1:24" s="20" customFormat="1" ht="33.75" hidden="1" customHeight="1" x14ac:dyDescent="0.35">
      <c r="A53" s="195"/>
      <c r="B53" s="196"/>
      <c r="C53" s="197"/>
      <c r="D53" s="200"/>
      <c r="E53" s="198"/>
      <c r="F53" s="17" t="s">
        <v>118</v>
      </c>
      <c r="G53" s="184" t="s">
        <v>152</v>
      </c>
      <c r="H53" s="186"/>
      <c r="R53"/>
      <c r="S53" s="50" t="s">
        <v>257</v>
      </c>
      <c r="T53" s="50" t="s">
        <v>264</v>
      </c>
      <c r="U53" s="50" t="s">
        <v>271</v>
      </c>
      <c r="V53" s="65" t="s">
        <v>350</v>
      </c>
    </row>
    <row r="54" spans="1:24" s="20" customFormat="1" ht="33.75" customHeight="1" x14ac:dyDescent="0.35">
      <c r="A54" s="197"/>
      <c r="B54" s="198"/>
      <c r="C54" s="184" t="s">
        <v>390</v>
      </c>
      <c r="D54" s="185"/>
      <c r="E54" s="185"/>
      <c r="F54" s="185"/>
      <c r="G54" s="185"/>
      <c r="H54" s="186"/>
      <c r="R54"/>
      <c r="S54" s="50"/>
      <c r="T54" s="50"/>
      <c r="U54" s="50"/>
      <c r="V54" s="65"/>
    </row>
    <row r="55" spans="1:24" s="20" customFormat="1" hidden="1" x14ac:dyDescent="0.35">
      <c r="A55" s="260" t="s">
        <v>281</v>
      </c>
      <c r="B55" s="261"/>
      <c r="C55" s="184">
        <f>C53</f>
        <v>0</v>
      </c>
      <c r="D55" s="185"/>
      <c r="E55" s="186"/>
      <c r="F55" s="17" t="s">
        <v>40</v>
      </c>
      <c r="G55" s="187"/>
      <c r="H55" s="188"/>
      <c r="K55" s="70">
        <f>EDATE(G52,-48)</f>
        <v>43757</v>
      </c>
      <c r="L55" s="20" t="str">
        <f ca="1">IF(G52&gt;EDATE(E3,-48),"NO REMARK","CC REMARK FOR CC")</f>
        <v>NO REMARK</v>
      </c>
      <c r="R55"/>
      <c r="S55" s="50" t="s">
        <v>256</v>
      </c>
      <c r="T55" s="50" t="s">
        <v>261</v>
      </c>
      <c r="U55" s="50" t="s">
        <v>258</v>
      </c>
      <c r="V55" s="50" t="s">
        <v>277</v>
      </c>
    </row>
    <row r="56" spans="1:24" s="20" customFormat="1" ht="32.25" hidden="1" customHeight="1" x14ac:dyDescent="0.35">
      <c r="A56" s="262"/>
      <c r="B56" s="263"/>
      <c r="C56" s="190"/>
      <c r="D56" s="191"/>
      <c r="E56" s="191"/>
      <c r="F56" s="191"/>
      <c r="G56" s="191"/>
      <c r="H56" s="192"/>
      <c r="R56"/>
      <c r="S56" s="50" t="s">
        <v>258</v>
      </c>
      <c r="T56" s="50" t="s">
        <v>262</v>
      </c>
      <c r="U56" s="50" t="s">
        <v>272</v>
      </c>
      <c r="V56" s="66"/>
      <c r="W56" s="18"/>
      <c r="X56" s="18"/>
    </row>
    <row r="57" spans="1:24" s="20" customFormat="1" ht="34.5" customHeight="1" x14ac:dyDescent="0.35">
      <c r="A57" s="202" t="s">
        <v>282</v>
      </c>
      <c r="B57" s="203"/>
      <c r="C57" s="184" t="s">
        <v>391</v>
      </c>
      <c r="D57" s="185"/>
      <c r="E57" s="186"/>
      <c r="F57" s="17" t="s">
        <v>40</v>
      </c>
      <c r="G57" s="187">
        <v>45027</v>
      </c>
      <c r="H57" s="188"/>
      <c r="R57"/>
      <c r="S57" s="66"/>
      <c r="T57" s="50" t="s">
        <v>263</v>
      </c>
      <c r="U57" s="50" t="s">
        <v>273</v>
      </c>
      <c r="V57" s="66"/>
      <c r="W57" s="18"/>
      <c r="X57" s="18"/>
    </row>
    <row r="58" spans="1:24" s="20" customFormat="1" ht="51" customHeight="1" x14ac:dyDescent="0.35">
      <c r="A58" s="204"/>
      <c r="B58" s="205"/>
      <c r="C58" s="184" t="s">
        <v>432</v>
      </c>
      <c r="D58" s="185"/>
      <c r="E58" s="185"/>
      <c r="F58" s="185"/>
      <c r="G58" s="185"/>
      <c r="H58" s="186"/>
      <c r="R58"/>
      <c r="S58" s="66"/>
      <c r="T58" s="50" t="s">
        <v>265</v>
      </c>
      <c r="U58" s="50" t="s">
        <v>274</v>
      </c>
      <c r="V58" s="66"/>
      <c r="W58" s="18"/>
      <c r="X58" s="18"/>
    </row>
    <row r="59" spans="1:24" s="20" customFormat="1" ht="15.75" hidden="1" customHeight="1" x14ac:dyDescent="0.35">
      <c r="A59" s="260" t="s">
        <v>353</v>
      </c>
      <c r="B59" s="261"/>
      <c r="C59" s="222"/>
      <c r="D59" s="223"/>
      <c r="E59" s="224"/>
      <c r="F59" s="17" t="s">
        <v>40</v>
      </c>
      <c r="G59" s="187"/>
      <c r="H59" s="188"/>
      <c r="R59"/>
      <c r="S59" s="66"/>
      <c r="T59" s="50" t="s">
        <v>266</v>
      </c>
      <c r="U59" s="66" t="s">
        <v>296</v>
      </c>
      <c r="V59" s="66"/>
      <c r="W59" s="18"/>
      <c r="X59" s="18"/>
    </row>
    <row r="60" spans="1:24" s="20" customFormat="1" ht="33.75" hidden="1" customHeight="1" x14ac:dyDescent="0.35">
      <c r="A60" s="269"/>
      <c r="B60" s="270"/>
      <c r="C60" s="225"/>
      <c r="D60" s="226"/>
      <c r="E60" s="227"/>
      <c r="F60" s="17" t="s">
        <v>354</v>
      </c>
      <c r="G60" s="187"/>
      <c r="H60" s="188"/>
      <c r="R60"/>
      <c r="S60" s="66"/>
      <c r="T60" s="50" t="s">
        <v>267</v>
      </c>
      <c r="U60" s="66"/>
      <c r="V60" s="66"/>
      <c r="W60" s="18"/>
      <c r="X60" s="18"/>
    </row>
    <row r="61" spans="1:24" s="20" customFormat="1" ht="33.75" hidden="1" customHeight="1" x14ac:dyDescent="0.35">
      <c r="A61" s="262"/>
      <c r="B61" s="263"/>
      <c r="C61" s="184" t="s">
        <v>376</v>
      </c>
      <c r="D61" s="185"/>
      <c r="E61" s="185"/>
      <c r="F61" s="185"/>
      <c r="G61" s="185"/>
      <c r="H61" s="186"/>
      <c r="R61"/>
      <c r="S61" s="66"/>
      <c r="T61" s="50"/>
      <c r="U61" s="66"/>
      <c r="V61" s="66"/>
      <c r="W61" s="18"/>
      <c r="X61" s="18"/>
    </row>
    <row r="62" spans="1:24" x14ac:dyDescent="0.35">
      <c r="A62" s="255" t="s">
        <v>42</v>
      </c>
      <c r="B62" s="256"/>
      <c r="C62" s="255" t="s">
        <v>102</v>
      </c>
      <c r="D62" s="257"/>
      <c r="E62" s="256"/>
      <c r="F62" s="40" t="s">
        <v>40</v>
      </c>
      <c r="G62" s="258" t="s">
        <v>28</v>
      </c>
      <c r="H62" s="259"/>
      <c r="R62"/>
      <c r="S62" s="66"/>
      <c r="T62" s="50" t="s">
        <v>269</v>
      </c>
      <c r="U62" s="66"/>
      <c r="V62" s="66"/>
    </row>
    <row r="63" spans="1:24" x14ac:dyDescent="0.35">
      <c r="A63" s="218" t="s">
        <v>44</v>
      </c>
      <c r="B63" s="218"/>
      <c r="C63" s="218"/>
      <c r="D63" s="218"/>
      <c r="E63" s="218"/>
      <c r="F63" s="218"/>
      <c r="G63" s="218"/>
      <c r="H63" s="218"/>
      <c r="S63" s="66"/>
      <c r="T63" s="50" t="s">
        <v>278</v>
      </c>
      <c r="U63" s="66"/>
      <c r="V63" s="66"/>
    </row>
    <row r="64" spans="1:24" x14ac:dyDescent="0.35">
      <c r="A64" s="179" t="s">
        <v>87</v>
      </c>
      <c r="B64" s="179"/>
      <c r="C64" s="179"/>
      <c r="D64" s="153">
        <f>E46</f>
        <v>29448.12</v>
      </c>
      <c r="E64" s="153"/>
      <c r="F64" s="153"/>
      <c r="G64" s="153"/>
      <c r="H64" s="153"/>
      <c r="R64"/>
    </row>
    <row r="65" spans="1:19" x14ac:dyDescent="0.35">
      <c r="A65" s="167" t="s">
        <v>45</v>
      </c>
      <c r="B65" s="201"/>
      <c r="C65" s="201"/>
      <c r="D65" s="201" t="s">
        <v>429</v>
      </c>
      <c r="E65" s="201"/>
      <c r="F65" s="201"/>
      <c r="G65" s="201"/>
      <c r="H65" s="201"/>
      <c r="I65" s="21"/>
      <c r="R65"/>
    </row>
    <row r="66" spans="1:19" x14ac:dyDescent="0.35">
      <c r="A66" s="202" t="s">
        <v>46</v>
      </c>
      <c r="B66" s="211"/>
      <c r="C66" s="203"/>
      <c r="D66" s="209" t="s">
        <v>392</v>
      </c>
      <c r="E66" s="210"/>
      <c r="F66" s="210"/>
      <c r="G66" s="210"/>
      <c r="H66" s="210"/>
      <c r="R66"/>
    </row>
    <row r="67" spans="1:19" ht="15.75" customHeight="1" x14ac:dyDescent="0.35">
      <c r="A67" s="202" t="s">
        <v>85</v>
      </c>
      <c r="B67" s="211"/>
      <c r="C67" s="211"/>
      <c r="D67" s="215" t="s">
        <v>394</v>
      </c>
      <c r="E67" s="216"/>
      <c r="F67" s="216"/>
      <c r="G67" s="216"/>
      <c r="H67" s="217"/>
      <c r="R67"/>
    </row>
    <row r="68" spans="1:19" ht="15.75" customHeight="1" x14ac:dyDescent="0.35">
      <c r="A68" s="153" t="s">
        <v>43</v>
      </c>
      <c r="B68" s="153"/>
      <c r="C68" s="153"/>
      <c r="D68" s="180" t="s">
        <v>393</v>
      </c>
      <c r="E68" s="180"/>
      <c r="F68" s="180"/>
      <c r="G68" s="180"/>
      <c r="H68" s="180"/>
      <c r="J68" s="22"/>
      <c r="K68" s="21"/>
      <c r="N68" s="21"/>
      <c r="S68"/>
    </row>
    <row r="69" spans="1:19" ht="15.75" customHeight="1" x14ac:dyDescent="0.35">
      <c r="A69" s="153" t="s">
        <v>83</v>
      </c>
      <c r="B69" s="153"/>
      <c r="C69" s="153"/>
      <c r="D69" s="206" t="str">
        <f>(IF(G62="NA","60 Years After Completion",IF(G62&lt;&gt;"NA",""&amp;60-ROUNDDOWN((E3-G62)/360,0)&amp;" Years"," ")))</f>
        <v>60 Years After Completion</v>
      </c>
      <c r="E69" s="206"/>
      <c r="F69" s="206"/>
      <c r="G69" s="206"/>
      <c r="H69" s="206"/>
      <c r="N69" s="21"/>
      <c r="S69"/>
    </row>
    <row r="70" spans="1:19" ht="15.75" customHeight="1" x14ac:dyDescent="0.35">
      <c r="A70" s="153" t="s">
        <v>84</v>
      </c>
      <c r="B70" s="153"/>
      <c r="C70" s="153"/>
      <c r="D70" s="179" t="s">
        <v>23</v>
      </c>
      <c r="E70" s="179"/>
      <c r="F70" s="179"/>
      <c r="G70" s="179"/>
      <c r="H70" s="179"/>
      <c r="J70" s="23"/>
      <c r="K70" s="23"/>
      <c r="S70"/>
    </row>
    <row r="71" spans="1:19" x14ac:dyDescent="0.35">
      <c r="A71" s="219" t="s">
        <v>450</v>
      </c>
      <c r="B71" s="219"/>
      <c r="C71" s="219"/>
      <c r="D71" s="167" t="s">
        <v>428</v>
      </c>
      <c r="E71" s="179"/>
      <c r="F71" s="179"/>
      <c r="G71" s="179"/>
      <c r="H71" s="179"/>
      <c r="S71"/>
    </row>
    <row r="72" spans="1:19" x14ac:dyDescent="0.35">
      <c r="A72" s="179" t="s">
        <v>147</v>
      </c>
      <c r="B72" s="179"/>
      <c r="C72" s="179"/>
      <c r="D72" s="179" t="s">
        <v>28</v>
      </c>
      <c r="E72" s="179"/>
      <c r="F72" s="179"/>
      <c r="G72" s="179"/>
      <c r="H72" s="179"/>
      <c r="I72" s="24"/>
      <c r="J72" s="24"/>
      <c r="K72" s="24"/>
      <c r="L72" s="24"/>
      <c r="M72" s="24"/>
      <c r="N72" s="24"/>
    </row>
    <row r="73" spans="1:19" ht="15.75" customHeight="1" x14ac:dyDescent="0.35">
      <c r="A73" s="221" t="s">
        <v>82</v>
      </c>
      <c r="B73" s="221"/>
      <c r="C73" s="221"/>
      <c r="D73" s="209" t="str">
        <f ca="1">(IF(G79&gt;95%,"Nothing",IF(G79&gt;0%,"Cement, Aggregate, Steel, etc",IF(G79=0%,"Work not yet Started"))))</f>
        <v>Cement, Aggregate, Steel, etc</v>
      </c>
      <c r="E73" s="209"/>
      <c r="F73" s="209"/>
      <c r="G73" s="209"/>
      <c r="H73" s="209"/>
      <c r="J73" s="23"/>
      <c r="S73"/>
    </row>
    <row r="74" spans="1:19" ht="33.75" customHeight="1" thickBot="1" x14ac:dyDescent="0.4">
      <c r="A74" s="220" t="s">
        <v>115</v>
      </c>
      <c r="B74" s="220"/>
      <c r="C74" s="220"/>
      <c r="D74" s="209" t="str">
        <f ca="1">(IF(D73="Nothing","Yes",IF(D73="Cement, Aggregate, Steel, etc","Under Construction",IF(D73="Work not yet Started","Work not yet Started"))))</f>
        <v>Under Construction</v>
      </c>
      <c r="E74" s="209"/>
      <c r="F74" s="209" t="str">
        <f ca="1">(IF(D73="Nothing","Yes",IF(D73="Cement, Aggregate, Steel, etc","Under Construction",IF(D73="Work not yet Started","Work not yet Started"))))</f>
        <v>Under Construction</v>
      </c>
      <c r="G74" s="209"/>
      <c r="H74" s="209"/>
      <c r="S74"/>
    </row>
    <row r="75" spans="1:19" ht="15.75" customHeight="1" x14ac:dyDescent="0.35">
      <c r="A75" s="140" t="s">
        <v>137</v>
      </c>
      <c r="B75" s="141"/>
      <c r="C75" s="142" t="s">
        <v>454</v>
      </c>
      <c r="D75" s="143"/>
      <c r="E75" s="143"/>
      <c r="F75" s="143"/>
      <c r="G75" s="143"/>
      <c r="H75" s="144"/>
      <c r="I75" s="43" t="str">
        <f ca="1">IF(D88=100%,"All work Completed. Possession granted to the Building.",IF(D87=100%,"All work Completed, Waiting for OC",I76&amp;""&amp;I77&amp;""&amp;J76&amp;""&amp;J75&amp;" "&amp;J77))</f>
        <v xml:space="preserve">Excavation, Plinth Completed </v>
      </c>
      <c r="J75" s="44"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35">
      <c r="A76" s="15" t="s">
        <v>139</v>
      </c>
      <c r="B76" s="42">
        <f>IF(AND(ISNUMBER(SEARCH("1B",C75))),1,IF(AND(ISNUMBER(SEARCH("2B",C75))),2,IF(AND(ISNUMBER(SEARCH("3B",C75))),3,IF(AND(ISNUMBER(SEARCH("4B",C75))),4,IF(ISNUMBER(SEARCH("5B",C75)),5,0)))))</f>
        <v>0</v>
      </c>
      <c r="C76" s="42" t="s">
        <v>68</v>
      </c>
      <c r="D76" s="42">
        <v>1</v>
      </c>
      <c r="E76" s="42" t="s">
        <v>67</v>
      </c>
      <c r="F76" s="42">
        <v>0</v>
      </c>
      <c r="G76" s="42" t="s">
        <v>76</v>
      </c>
      <c r="H76" s="16">
        <f ca="1">--TRIM(RIGHT(SUBSTITUTE(LEFT(C75,_xlfn.AGGREGATE(16,6,FIND({0,1,2,3,4,5,6,7,8,9},C75,ROW(INDIRECT("1:"&amp;LEN(C75)))),1))," ",REPT(" ",LEN(C75))),LEN(C75)))</f>
        <v>7</v>
      </c>
      <c r="I76" s="45" t="str">
        <f ca="1">IF(D79=100%,"Excavation","")&amp;IF(D80=100%,", Plinth","")&amp;IF(D81=100%,", RCC Slab","")&amp;IF(D82=100%,", Brickwork","")&amp;IF(D83=100%,", Internal Plaster","")&amp;IF(D84=100%,", External Plaster","")&amp;IF(D85=100%,", Flooring","")&amp;IF(D86=100%,", Painting","")&amp;IF(D87=100%,", Building common Amenities","")</f>
        <v>Excavation, Plinth</v>
      </c>
      <c r="J76" s="46"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5">
      <c r="A77" s="145" t="s">
        <v>86</v>
      </c>
      <c r="B77" s="146"/>
      <c r="C77" s="147" t="str">
        <f ca="1">I75</f>
        <v xml:space="preserve">Excavation, Plinth Completed </v>
      </c>
      <c r="D77" s="147"/>
      <c r="E77" s="147"/>
      <c r="F77" s="147"/>
      <c r="G77" s="147"/>
      <c r="H77" s="148"/>
      <c r="I77" s="45" t="str">
        <f ca="1">IF(I76&lt;&gt;""," Completed","")</f>
        <v xml:space="preserve"> Completed</v>
      </c>
      <c r="J77" s="46" t="str">
        <f ca="1">IF(J75&lt;&gt;"","Completed","")</f>
        <v/>
      </c>
      <c r="S77"/>
    </row>
    <row r="78" spans="1:19" ht="15.75" customHeight="1" x14ac:dyDescent="0.35">
      <c r="A78" s="132" t="s">
        <v>47</v>
      </c>
      <c r="B78" s="133"/>
      <c r="C78" s="96" t="s">
        <v>136</v>
      </c>
      <c r="D78" s="96" t="s">
        <v>79</v>
      </c>
      <c r="E78" s="133" t="s">
        <v>81</v>
      </c>
      <c r="F78" s="133"/>
      <c r="G78" s="133" t="s">
        <v>80</v>
      </c>
      <c r="H78" s="149"/>
      <c r="I78" s="13" t="s">
        <v>138</v>
      </c>
      <c r="J78" s="25">
        <f ca="1">H76*25%</f>
        <v>1.75</v>
      </c>
      <c r="S78"/>
    </row>
    <row r="79" spans="1:19" x14ac:dyDescent="0.35">
      <c r="A79" s="132" t="s">
        <v>125</v>
      </c>
      <c r="B79" s="133"/>
      <c r="C79" s="96">
        <f ca="1">J80</f>
        <v>7</v>
      </c>
      <c r="D79" s="97">
        <f ca="1">((100/H76)*C79)/100</f>
        <v>1</v>
      </c>
      <c r="E79" s="134">
        <f ca="1">(((C80/H76*10)+(40/(D76+F76+H76)*C81)+(7.5/(H76)*C82)+(7.5/(H76)*C83)+(10/H76*C84)+(10/H76*C85)+(5/H76*C86)+(5/H76*C87)+(5/H76*C88))/100)</f>
        <v>0.1</v>
      </c>
      <c r="F79" s="135"/>
      <c r="G79" s="134">
        <f ca="1">((((C79/H76)*20)+((C80/H76)*25)+(30/(H76+F76+D76)*C81)+(5/H76*C82)+(5/H76*C83)+(5/H76*C84)+(5/H76*C85)+(0/H76*C86)+(0/H76*C87)+(5/H76*C88))/100)</f>
        <v>0.45</v>
      </c>
      <c r="H79" s="150"/>
      <c r="I79" s="13" t="s">
        <v>97</v>
      </c>
      <c r="J79" s="26">
        <f ca="1">H76*50%</f>
        <v>3.5</v>
      </c>
    </row>
    <row r="80" spans="1:19" x14ac:dyDescent="0.35">
      <c r="A80" s="132" t="s">
        <v>48</v>
      </c>
      <c r="B80" s="133"/>
      <c r="C80" s="98">
        <f ca="1">J88</f>
        <v>7</v>
      </c>
      <c r="D80" s="97">
        <f ca="1">((100/H76)*C80)/100</f>
        <v>1</v>
      </c>
      <c r="E80" s="136"/>
      <c r="F80" s="137"/>
      <c r="G80" s="136"/>
      <c r="H80" s="151"/>
      <c r="I80" s="13" t="s">
        <v>98</v>
      </c>
      <c r="J80" s="26">
        <f ca="1">H76</f>
        <v>7</v>
      </c>
      <c r="S80"/>
    </row>
    <row r="81" spans="1:19" ht="15.75" customHeight="1" x14ac:dyDescent="0.35">
      <c r="A81" s="132" t="s">
        <v>126</v>
      </c>
      <c r="B81" s="133"/>
      <c r="C81" s="96">
        <v>0</v>
      </c>
      <c r="D81" s="97">
        <f ca="1">((100/(D76+F76+H76))*C81)/100</f>
        <v>0</v>
      </c>
      <c r="E81" s="136"/>
      <c r="F81" s="137"/>
      <c r="G81" s="136"/>
      <c r="H81" s="151"/>
      <c r="I81" s="13" t="s">
        <v>99</v>
      </c>
      <c r="J81" s="27">
        <f ca="1">(IF(B76&gt;1,(H76/(B76+2)),H76/4))</f>
        <v>1.75</v>
      </c>
      <c r="S81"/>
    </row>
    <row r="82" spans="1:19" ht="15.75" customHeight="1" x14ac:dyDescent="0.35">
      <c r="A82" s="132" t="s">
        <v>133</v>
      </c>
      <c r="B82" s="133" t="s">
        <v>127</v>
      </c>
      <c r="C82" s="96">
        <v>0</v>
      </c>
      <c r="D82" s="97">
        <f ca="1">((100/H76)*C82)/100</f>
        <v>0</v>
      </c>
      <c r="E82" s="136"/>
      <c r="F82" s="137"/>
      <c r="G82" s="136"/>
      <c r="H82" s="151"/>
      <c r="I82" s="13" t="s">
        <v>100</v>
      </c>
      <c r="J82" s="27">
        <f ca="1">(IF(B76&gt;1,(H76/(B76+2)+J81),H76/4+J81))</f>
        <v>3.5</v>
      </c>
    </row>
    <row r="83" spans="1:19" ht="15.75" customHeight="1" x14ac:dyDescent="0.35">
      <c r="A83" s="132" t="s">
        <v>134</v>
      </c>
      <c r="B83" s="133" t="s">
        <v>127</v>
      </c>
      <c r="C83" s="96">
        <v>0</v>
      </c>
      <c r="D83" s="97">
        <f ca="1">((100/H76)*C83)/100</f>
        <v>0</v>
      </c>
      <c r="E83" s="136"/>
      <c r="F83" s="137"/>
      <c r="G83" s="136"/>
      <c r="H83" s="151"/>
      <c r="I83" s="13" t="s">
        <v>145</v>
      </c>
      <c r="J83" s="27">
        <f>(IF(B76&gt;1,(H76/(B76+2)+J82),0))</f>
        <v>0</v>
      </c>
    </row>
    <row r="84" spans="1:19" ht="15" customHeight="1" x14ac:dyDescent="0.35">
      <c r="A84" s="132" t="s">
        <v>132</v>
      </c>
      <c r="B84" s="133" t="s">
        <v>129</v>
      </c>
      <c r="C84" s="96">
        <v>0</v>
      </c>
      <c r="D84" s="97">
        <f ca="1">((100/(H76))*C84)/100</f>
        <v>0</v>
      </c>
      <c r="E84" s="136"/>
      <c r="F84" s="137"/>
      <c r="G84" s="136"/>
      <c r="H84" s="151"/>
      <c r="I84" s="13" t="s">
        <v>140</v>
      </c>
      <c r="J84" s="27">
        <f>(IF(B76&gt;2,(H76/(B76+2)+J83),0))</f>
        <v>0</v>
      </c>
    </row>
    <row r="85" spans="1:19" ht="15.75" customHeight="1" x14ac:dyDescent="0.35">
      <c r="A85" s="132" t="s">
        <v>128</v>
      </c>
      <c r="B85" s="133" t="s">
        <v>128</v>
      </c>
      <c r="C85" s="96">
        <v>0</v>
      </c>
      <c r="D85" s="97">
        <f ca="1">((100/H76)*C85)/100</f>
        <v>0</v>
      </c>
      <c r="E85" s="136"/>
      <c r="F85" s="137"/>
      <c r="G85" s="136"/>
      <c r="H85" s="151"/>
      <c r="I85" s="13" t="s">
        <v>141</v>
      </c>
      <c r="J85" s="28">
        <f>(IF(B76&gt;3,(H76/(B76+2)+J84),0))</f>
        <v>0</v>
      </c>
    </row>
    <row r="86" spans="1:19" ht="15.75" customHeight="1" x14ac:dyDescent="0.35">
      <c r="A86" s="132" t="s">
        <v>135</v>
      </c>
      <c r="B86" s="133"/>
      <c r="C86" s="96">
        <v>0</v>
      </c>
      <c r="D86" s="97">
        <f ca="1">((100/H76)*C86)/100</f>
        <v>0</v>
      </c>
      <c r="E86" s="136"/>
      <c r="F86" s="137"/>
      <c r="G86" s="136"/>
      <c r="H86" s="151"/>
      <c r="I86" s="13" t="s">
        <v>142</v>
      </c>
      <c r="J86" s="27">
        <f>(IF(B76&gt;4,(H76/(B76+2)+J85),0))</f>
        <v>0</v>
      </c>
    </row>
    <row r="87" spans="1:19" ht="15.75" customHeight="1" x14ac:dyDescent="0.35">
      <c r="A87" s="132" t="s">
        <v>130</v>
      </c>
      <c r="B87" s="133" t="s">
        <v>130</v>
      </c>
      <c r="C87" s="96">
        <v>0</v>
      </c>
      <c r="D87" s="97">
        <f ca="1">((100/(H76))*C87)/100</f>
        <v>0</v>
      </c>
      <c r="E87" s="136"/>
      <c r="F87" s="137"/>
      <c r="G87" s="136"/>
      <c r="H87" s="151"/>
      <c r="I87" s="13" t="s">
        <v>146</v>
      </c>
      <c r="J87" s="27">
        <f ca="1">(IF(B76=1,(H76/(B76+3)+J82),IF(B76=0,(H76/4+J82),IF(B76&gt;1,0))))</f>
        <v>5.25</v>
      </c>
    </row>
    <row r="88" spans="1:19" ht="16" thickBot="1" x14ac:dyDescent="0.4">
      <c r="A88" s="128" t="s">
        <v>131</v>
      </c>
      <c r="B88" s="129"/>
      <c r="C88" s="99">
        <v>0</v>
      </c>
      <c r="D88" s="100">
        <f ca="1">((100/(H76))*C88)/100</f>
        <v>0</v>
      </c>
      <c r="E88" s="138"/>
      <c r="F88" s="139"/>
      <c r="G88" s="138"/>
      <c r="H88" s="152"/>
      <c r="I88" s="14" t="s">
        <v>101</v>
      </c>
      <c r="J88" s="29">
        <f ca="1">(IF(B76&gt;1.5,(H76/(B76+2)+J82+MAX(0,J83-J82)+MAX(0,J84-J83)+MAX(0,J85-J84)+MAX(0,J86-J85)+MAX(0,J87-J86)),IF(B76=1,(H76/(B76+3)+J87),IF(B76=0,H76/4+J87))))</f>
        <v>7</v>
      </c>
    </row>
    <row r="89" spans="1:19" ht="15.75" customHeight="1" x14ac:dyDescent="0.35">
      <c r="A89" s="140" t="s">
        <v>137</v>
      </c>
      <c r="B89" s="141"/>
      <c r="C89" s="142" t="s">
        <v>455</v>
      </c>
      <c r="D89" s="143"/>
      <c r="E89" s="143"/>
      <c r="F89" s="143"/>
      <c r="G89" s="143"/>
      <c r="H89" s="144"/>
      <c r="I89" s="43" t="str">
        <f ca="1">IF(D102=100%,"All work Completed. Possession granted to the Building.",IF(D101=100%,"All work Completed, Waiting for OC",I90&amp;""&amp;I91&amp;""&amp;J90&amp;""&amp;J89&amp;" "&amp;J91))</f>
        <v>Excavation, Plinth Completed, RCC upto 7 Slab, Brickwork upto 4 Floor Completed</v>
      </c>
      <c r="J89" s="44"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7 Slab, Brickwork upto 4 Floor</v>
      </c>
      <c r="S89"/>
    </row>
    <row r="90" spans="1:19" x14ac:dyDescent="0.35">
      <c r="A90" s="15" t="s">
        <v>139</v>
      </c>
      <c r="B90" s="42">
        <f>IF(AND(ISNUMBER(SEARCH("1B",C89))),1,IF(AND(ISNUMBER(SEARCH("2B",C89))),2,IF(AND(ISNUMBER(SEARCH("3B",C89))),3,IF(AND(ISNUMBER(SEARCH("4B",C89))),4,IF(ISNUMBER(SEARCH("5B",C89)),5,0)))))</f>
        <v>0</v>
      </c>
      <c r="C90" s="42" t="s">
        <v>68</v>
      </c>
      <c r="D90" s="42">
        <v>1</v>
      </c>
      <c r="E90" s="42" t="s">
        <v>67</v>
      </c>
      <c r="F90" s="42">
        <v>0</v>
      </c>
      <c r="G90" s="42" t="s">
        <v>76</v>
      </c>
      <c r="H90" s="16">
        <f ca="1">--TRIM(RIGHT(SUBSTITUTE(LEFT(C89,_xlfn.AGGREGATE(16,6,FIND({0,1,2,3,4,5,6,7,8,9},C89,ROW(INDIRECT("1:"&amp;LEN(C89)))),1))," ",REPT(" ",LEN(C89))),LEN(C89)))</f>
        <v>7</v>
      </c>
      <c r="I90" s="45" t="str">
        <f ca="1">IF(D93=100%,"Excavation","")&amp;IF(D94=100%,", Plinth","")&amp;IF(D95=100%,", RCC Slab","")&amp;IF(D96=100%,", Brickwork","")&amp;IF(D97=100%,", Internal Plaster","")&amp;IF(D98=100%,", External Plaster","")&amp;IF(D99=100%,", Flooring","")&amp;IF(D100=100%,", Painting","")&amp;IF(D101=100%,", Building common Amenities","")</f>
        <v>Excavation, Plinth</v>
      </c>
      <c r="J90" s="46"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customHeight="1" x14ac:dyDescent="0.35">
      <c r="A91" s="145" t="s">
        <v>86</v>
      </c>
      <c r="B91" s="146"/>
      <c r="C91" s="147" t="str">
        <f ca="1">I89</f>
        <v>Excavation, Plinth Completed, RCC upto 7 Slab, Brickwork upto 4 Floor Completed</v>
      </c>
      <c r="D91" s="147"/>
      <c r="E91" s="147"/>
      <c r="F91" s="147"/>
      <c r="G91" s="147"/>
      <c r="H91" s="148"/>
      <c r="I91" s="45" t="str">
        <f ca="1">IF(I90&lt;&gt;""," Completed","")</f>
        <v xml:space="preserve"> Completed</v>
      </c>
      <c r="J91" s="46" t="str">
        <f ca="1">IF(J89&lt;&gt;"","Completed","")</f>
        <v>Completed</v>
      </c>
      <c r="S91"/>
    </row>
    <row r="92" spans="1:19" ht="15.75" customHeight="1" x14ac:dyDescent="0.35">
      <c r="A92" s="132" t="s">
        <v>47</v>
      </c>
      <c r="B92" s="133"/>
      <c r="C92" s="96" t="s">
        <v>136</v>
      </c>
      <c r="D92" s="96" t="s">
        <v>79</v>
      </c>
      <c r="E92" s="133" t="s">
        <v>81</v>
      </c>
      <c r="F92" s="133"/>
      <c r="G92" s="133" t="s">
        <v>80</v>
      </c>
      <c r="H92" s="149"/>
      <c r="I92" s="13" t="s">
        <v>138</v>
      </c>
      <c r="J92" s="25">
        <f ca="1">H90*25%</f>
        <v>1.75</v>
      </c>
      <c r="S92"/>
    </row>
    <row r="93" spans="1:19" x14ac:dyDescent="0.35">
      <c r="A93" s="132" t="s">
        <v>125</v>
      </c>
      <c r="B93" s="133"/>
      <c r="C93" s="96">
        <f ca="1">J94</f>
        <v>7</v>
      </c>
      <c r="D93" s="97">
        <f ca="1">((100/H90)*C93)/100</f>
        <v>1</v>
      </c>
      <c r="E93" s="134">
        <f ca="1">(((C94/H90*10)+(40/(D90+F90+H90)*C95)+(7.5/(H90)*C96)+(7.5/(H90)*C97)+(10/H90*C98)+(10/H90*C99)+(5/H90*C100)+(5/H90*C101)+(5/H90*C102))/100)</f>
        <v>0.49285714285714283</v>
      </c>
      <c r="F93" s="135"/>
      <c r="G93" s="134">
        <f ca="1">((((C93/H90)*20)+((C94/H90)*25)+(30/(H90+F90+D90)*C95)+(5/H90*C96)+(5/H90*C97)+(5/H90*C98)+(5/H90*C99)+(0/H90*C100)+(0/H90*C101)+(5/H90*C102))/100)</f>
        <v>0.7410714285714286</v>
      </c>
      <c r="H93" s="150"/>
      <c r="I93" s="13" t="s">
        <v>97</v>
      </c>
      <c r="J93" s="26">
        <f ca="1">H90*50%</f>
        <v>3.5</v>
      </c>
    </row>
    <row r="94" spans="1:19" x14ac:dyDescent="0.35">
      <c r="A94" s="132" t="s">
        <v>48</v>
      </c>
      <c r="B94" s="133"/>
      <c r="C94" s="96">
        <f ca="1">J102</f>
        <v>7</v>
      </c>
      <c r="D94" s="97">
        <f ca="1">((100/H90)*C94)/100</f>
        <v>1</v>
      </c>
      <c r="E94" s="136"/>
      <c r="F94" s="137"/>
      <c r="G94" s="136"/>
      <c r="H94" s="151"/>
      <c r="I94" s="13" t="s">
        <v>98</v>
      </c>
      <c r="J94" s="26">
        <f ca="1">H90</f>
        <v>7</v>
      </c>
      <c r="S94"/>
    </row>
    <row r="95" spans="1:19" ht="15.75" customHeight="1" x14ac:dyDescent="0.35">
      <c r="A95" s="132" t="s">
        <v>126</v>
      </c>
      <c r="B95" s="133"/>
      <c r="C95" s="96">
        <v>7</v>
      </c>
      <c r="D95" s="97">
        <f ca="1">((100/(D90+F90+H90))*C95)/100</f>
        <v>0.875</v>
      </c>
      <c r="E95" s="136"/>
      <c r="F95" s="137"/>
      <c r="G95" s="136"/>
      <c r="H95" s="151"/>
      <c r="I95" s="13" t="s">
        <v>99</v>
      </c>
      <c r="J95" s="27">
        <f ca="1">(IF(B90&gt;1,(H90/(B90+2)),H90/4))</f>
        <v>1.75</v>
      </c>
      <c r="S95"/>
    </row>
    <row r="96" spans="1:19" ht="15.75" customHeight="1" x14ac:dyDescent="0.35">
      <c r="A96" s="132" t="s">
        <v>133</v>
      </c>
      <c r="B96" s="133" t="s">
        <v>127</v>
      </c>
      <c r="C96" s="96">
        <v>4</v>
      </c>
      <c r="D96" s="97">
        <f ca="1">((100/H90)*C96)/100</f>
        <v>0.57142857142857151</v>
      </c>
      <c r="E96" s="136"/>
      <c r="F96" s="137"/>
      <c r="G96" s="136"/>
      <c r="H96" s="151"/>
      <c r="I96" s="13" t="s">
        <v>100</v>
      </c>
      <c r="J96" s="27">
        <f ca="1">(IF(B90&gt;1,(H90/(B90+2)+J95),H90/4+J95))</f>
        <v>3.5</v>
      </c>
    </row>
    <row r="97" spans="1:19" ht="15.75" customHeight="1" x14ac:dyDescent="0.35">
      <c r="A97" s="132" t="s">
        <v>134</v>
      </c>
      <c r="B97" s="133" t="s">
        <v>127</v>
      </c>
      <c r="C97" s="96">
        <v>0</v>
      </c>
      <c r="D97" s="97">
        <f ca="1">((100/H90)*C97)/100</f>
        <v>0</v>
      </c>
      <c r="E97" s="136"/>
      <c r="F97" s="137"/>
      <c r="G97" s="136"/>
      <c r="H97" s="151"/>
      <c r="I97" s="13" t="s">
        <v>145</v>
      </c>
      <c r="J97" s="27">
        <f>(IF(B90&gt;1,(H90/(B90+2)+J96),0))</f>
        <v>0</v>
      </c>
    </row>
    <row r="98" spans="1:19" ht="15" customHeight="1" x14ac:dyDescent="0.35">
      <c r="A98" s="132" t="s">
        <v>132</v>
      </c>
      <c r="B98" s="133" t="s">
        <v>129</v>
      </c>
      <c r="C98" s="96">
        <v>0</v>
      </c>
      <c r="D98" s="97">
        <f ca="1">((100/(H90))*C98)/100</f>
        <v>0</v>
      </c>
      <c r="E98" s="136"/>
      <c r="F98" s="137"/>
      <c r="G98" s="136"/>
      <c r="H98" s="151"/>
      <c r="I98" s="13" t="s">
        <v>140</v>
      </c>
      <c r="J98" s="27">
        <f>(IF(B90&gt;2,(H90/(B90+2)+J97),0))</f>
        <v>0</v>
      </c>
    </row>
    <row r="99" spans="1:19" ht="15.75" customHeight="1" x14ac:dyDescent="0.35">
      <c r="A99" s="132" t="s">
        <v>128</v>
      </c>
      <c r="B99" s="133" t="s">
        <v>128</v>
      </c>
      <c r="C99" s="96">
        <v>0</v>
      </c>
      <c r="D99" s="97">
        <f ca="1">((100/H90)*C99)/100</f>
        <v>0</v>
      </c>
      <c r="E99" s="136"/>
      <c r="F99" s="137"/>
      <c r="G99" s="136"/>
      <c r="H99" s="151"/>
      <c r="I99" s="13" t="s">
        <v>141</v>
      </c>
      <c r="J99" s="28">
        <f>(IF(B90&gt;3,(H90/(B90+2)+J98),0))</f>
        <v>0</v>
      </c>
    </row>
    <row r="100" spans="1:19" ht="15.75" customHeight="1" x14ac:dyDescent="0.35">
      <c r="A100" s="132" t="s">
        <v>135</v>
      </c>
      <c r="B100" s="133"/>
      <c r="C100" s="96">
        <v>0</v>
      </c>
      <c r="D100" s="97">
        <f ca="1">((100/H90)*C100)/100</f>
        <v>0</v>
      </c>
      <c r="E100" s="136"/>
      <c r="F100" s="137"/>
      <c r="G100" s="136"/>
      <c r="H100" s="151"/>
      <c r="I100" s="13" t="s">
        <v>142</v>
      </c>
      <c r="J100" s="27">
        <f>(IF(B90&gt;4,(H90/(B90+2)+J99),0))</f>
        <v>0</v>
      </c>
    </row>
    <row r="101" spans="1:19" ht="15.75" customHeight="1" x14ac:dyDescent="0.35">
      <c r="A101" s="132" t="s">
        <v>130</v>
      </c>
      <c r="B101" s="133" t="s">
        <v>130</v>
      </c>
      <c r="C101" s="96">
        <v>0</v>
      </c>
      <c r="D101" s="97">
        <f ca="1">((100/(H90))*C101)/100</f>
        <v>0</v>
      </c>
      <c r="E101" s="136"/>
      <c r="F101" s="137"/>
      <c r="G101" s="136"/>
      <c r="H101" s="151"/>
      <c r="I101" s="13" t="s">
        <v>146</v>
      </c>
      <c r="J101" s="27">
        <f ca="1">(IF(B90=1,(H90/(B90+3)+J96),IF(B90=0,(H90/4+J96),IF(B90&gt;1,0))))</f>
        <v>5.25</v>
      </c>
    </row>
    <row r="102" spans="1:19" ht="16" thickBot="1" x14ac:dyDescent="0.4">
      <c r="A102" s="128" t="s">
        <v>131</v>
      </c>
      <c r="B102" s="129"/>
      <c r="C102" s="99">
        <v>0</v>
      </c>
      <c r="D102" s="100">
        <f ca="1">((100/(H90))*C102)/100</f>
        <v>0</v>
      </c>
      <c r="E102" s="138"/>
      <c r="F102" s="139"/>
      <c r="G102" s="138"/>
      <c r="H102" s="152"/>
      <c r="I102" s="14" t="s">
        <v>101</v>
      </c>
      <c r="J102" s="29">
        <f ca="1">(IF(B90&gt;1.5,(H90/(B90+2)+J96+MAX(0,J97-J96)+MAX(0,J98-J97)+MAX(0,J99-J98)+MAX(0,J100-J99)+MAX(0,J101-J100)),IF(B90=1,(H90/(B90+3)+J101),IF(B90=0,H90/4+J101))))</f>
        <v>7</v>
      </c>
    </row>
    <row r="103" spans="1:19" ht="15.75" customHeight="1" x14ac:dyDescent="0.35">
      <c r="A103" s="140" t="s">
        <v>137</v>
      </c>
      <c r="B103" s="141"/>
      <c r="C103" s="142" t="s">
        <v>456</v>
      </c>
      <c r="D103" s="143"/>
      <c r="E103" s="143"/>
      <c r="F103" s="143"/>
      <c r="G103" s="143"/>
      <c r="H103" s="144"/>
      <c r="I103" s="43" t="str">
        <f ca="1">IF(D116=100%,"All work Completed. Possession granted to the Building.",IF(D115=100%,"All work Completed, Waiting for OC",I104&amp;""&amp;I105&amp;""&amp;J104&amp;""&amp;J103&amp;" "&amp;J105))</f>
        <v xml:space="preserve">Excavation, Plinth Completed </v>
      </c>
      <c r="J103" s="44"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x14ac:dyDescent="0.35">
      <c r="A104" s="15" t="s">
        <v>139</v>
      </c>
      <c r="B104" s="42">
        <f>IF(AND(ISNUMBER(SEARCH("1B",C103))),1,IF(AND(ISNUMBER(SEARCH("2B",C103))),2,IF(AND(ISNUMBER(SEARCH("3B",C103))),3,IF(AND(ISNUMBER(SEARCH("4B",C103))),4,IF(ISNUMBER(SEARCH("5B",C103)),5,0)))))</f>
        <v>0</v>
      </c>
      <c r="C104" s="42" t="s">
        <v>68</v>
      </c>
      <c r="D104" s="42">
        <v>1</v>
      </c>
      <c r="E104" s="42" t="s">
        <v>67</v>
      </c>
      <c r="F104" s="42">
        <v>0</v>
      </c>
      <c r="G104" s="42" t="s">
        <v>76</v>
      </c>
      <c r="H104" s="16">
        <f ca="1">--TRIM(RIGHT(SUBSTITUTE(LEFT(C103,_xlfn.AGGREGATE(16,6,FIND({0,1,2,3,4,5,6,7,8,9},C103,ROW(INDIRECT("1:"&amp;LEN(C103)))),1))," ",REPT(" ",LEN(C103))),LEN(C103)))</f>
        <v>7</v>
      </c>
      <c r="I104" s="45" t="str">
        <f ca="1">IF(D107=100%,"Excavation","")&amp;IF(D108=100%,", Plinth","")&amp;IF(D109=100%,", RCC Slab","")&amp;IF(D110=100%,", Brickwork","")&amp;IF(D111=100%,", Internal Plaster","")&amp;IF(D112=100%,", External Plaster","")&amp;IF(D113=100%,", Flooring","")&amp;IF(D114=100%,", Painting","")&amp;IF(D115=100%,", Building common Amenities","")</f>
        <v>Excavation, Plinth</v>
      </c>
      <c r="J104" s="46"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x14ac:dyDescent="0.35">
      <c r="A105" s="145" t="s">
        <v>86</v>
      </c>
      <c r="B105" s="146"/>
      <c r="C105" s="147" t="str">
        <f ca="1">I103</f>
        <v xml:space="preserve">Excavation, Plinth Completed </v>
      </c>
      <c r="D105" s="147"/>
      <c r="E105" s="147"/>
      <c r="F105" s="147"/>
      <c r="G105" s="147"/>
      <c r="H105" s="148"/>
      <c r="I105" s="45" t="str">
        <f ca="1">IF(I104&lt;&gt;""," Completed","")</f>
        <v xml:space="preserve"> Completed</v>
      </c>
      <c r="J105" s="46" t="str">
        <f ca="1">IF(J103&lt;&gt;"","Completed","")</f>
        <v/>
      </c>
      <c r="S105"/>
    </row>
    <row r="106" spans="1:19" ht="15.75" customHeight="1" x14ac:dyDescent="0.35">
      <c r="A106" s="132" t="s">
        <v>47</v>
      </c>
      <c r="B106" s="133"/>
      <c r="C106" s="96" t="s">
        <v>136</v>
      </c>
      <c r="D106" s="96" t="s">
        <v>79</v>
      </c>
      <c r="E106" s="133" t="s">
        <v>81</v>
      </c>
      <c r="F106" s="133"/>
      <c r="G106" s="133" t="s">
        <v>80</v>
      </c>
      <c r="H106" s="149"/>
      <c r="I106" s="13" t="s">
        <v>138</v>
      </c>
      <c r="J106" s="25">
        <f ca="1">H104*25%</f>
        <v>1.75</v>
      </c>
      <c r="S106"/>
    </row>
    <row r="107" spans="1:19" x14ac:dyDescent="0.35">
      <c r="A107" s="132" t="s">
        <v>125</v>
      </c>
      <c r="B107" s="133"/>
      <c r="C107" s="96">
        <f ca="1">J108</f>
        <v>7</v>
      </c>
      <c r="D107" s="97">
        <f ca="1">((100/H104)*C107)/100</f>
        <v>1</v>
      </c>
      <c r="E107" s="134">
        <f ca="1">(((C108/H104*10)+(40/(D104+F104+H104)*C109)+(7.5/(H104)*C110)+(7.5/(H104)*C111)+(10/H104*C112)+(10/H104*C113)+(5/H104*C114)+(5/H104*C115)+(5/H104*C116))/100)</f>
        <v>0.1</v>
      </c>
      <c r="F107" s="135"/>
      <c r="G107" s="134">
        <f ca="1">((((C107/H104)*20)+((C108/H104)*25)+(30/(H104+F104+D104)*C109)+(5/H104*C110)+(5/H104*C111)+(5/H104*C112)+(5/H104*C113)+(0/H104*C114)+(0/H104*C115)+(5/H104*C116))/100)</f>
        <v>0.45</v>
      </c>
      <c r="H107" s="150"/>
      <c r="I107" s="13" t="s">
        <v>97</v>
      </c>
      <c r="J107" s="26">
        <f ca="1">H104*50%</f>
        <v>3.5</v>
      </c>
    </row>
    <row r="108" spans="1:19" x14ac:dyDescent="0.35">
      <c r="A108" s="132" t="s">
        <v>48</v>
      </c>
      <c r="B108" s="133"/>
      <c r="C108" s="96">
        <f ca="1">J116</f>
        <v>7</v>
      </c>
      <c r="D108" s="97">
        <f ca="1">((100/H104)*C108)/100</f>
        <v>1</v>
      </c>
      <c r="E108" s="136"/>
      <c r="F108" s="137"/>
      <c r="G108" s="136"/>
      <c r="H108" s="151"/>
      <c r="I108" s="13" t="s">
        <v>98</v>
      </c>
      <c r="J108" s="26">
        <f ca="1">H104</f>
        <v>7</v>
      </c>
      <c r="S108"/>
    </row>
    <row r="109" spans="1:19" ht="15.75" customHeight="1" x14ac:dyDescent="0.35">
      <c r="A109" s="132" t="s">
        <v>126</v>
      </c>
      <c r="B109" s="133"/>
      <c r="C109" s="96">
        <v>0</v>
      </c>
      <c r="D109" s="97">
        <f ca="1">((100/(D104+F104+H104))*C109)/100</f>
        <v>0</v>
      </c>
      <c r="E109" s="136"/>
      <c r="F109" s="137"/>
      <c r="G109" s="136"/>
      <c r="H109" s="151"/>
      <c r="I109" s="13" t="s">
        <v>99</v>
      </c>
      <c r="J109" s="27">
        <f ca="1">(IF(B104&gt;1,(H104/(B104+2)),H104/4))</f>
        <v>1.75</v>
      </c>
      <c r="S109"/>
    </row>
    <row r="110" spans="1:19" ht="15.75" customHeight="1" x14ac:dyDescent="0.35">
      <c r="A110" s="132" t="s">
        <v>133</v>
      </c>
      <c r="B110" s="133" t="s">
        <v>127</v>
      </c>
      <c r="C110" s="96">
        <v>0</v>
      </c>
      <c r="D110" s="97">
        <f ca="1">((100/H104)*C110)/100</f>
        <v>0</v>
      </c>
      <c r="E110" s="136"/>
      <c r="F110" s="137"/>
      <c r="G110" s="136"/>
      <c r="H110" s="151"/>
      <c r="I110" s="13" t="s">
        <v>100</v>
      </c>
      <c r="J110" s="27">
        <f ca="1">(IF(B104&gt;1,(H104/(B104+2)+J109),H104/4+J109))</f>
        <v>3.5</v>
      </c>
    </row>
    <row r="111" spans="1:19" ht="15.75" customHeight="1" x14ac:dyDescent="0.35">
      <c r="A111" s="132" t="s">
        <v>134</v>
      </c>
      <c r="B111" s="133" t="s">
        <v>127</v>
      </c>
      <c r="C111" s="96">
        <v>0</v>
      </c>
      <c r="D111" s="97">
        <f ca="1">((100/H104)*C111)/100</f>
        <v>0</v>
      </c>
      <c r="E111" s="136"/>
      <c r="F111" s="137"/>
      <c r="G111" s="136"/>
      <c r="H111" s="151"/>
      <c r="I111" s="13" t="s">
        <v>145</v>
      </c>
      <c r="J111" s="27">
        <f>(IF(B104&gt;1,(H104/(B104+2)+J110),0))</f>
        <v>0</v>
      </c>
    </row>
    <row r="112" spans="1:19" ht="15" customHeight="1" x14ac:dyDescent="0.35">
      <c r="A112" s="132" t="s">
        <v>132</v>
      </c>
      <c r="B112" s="133" t="s">
        <v>129</v>
      </c>
      <c r="C112" s="96">
        <v>0</v>
      </c>
      <c r="D112" s="97">
        <f ca="1">((100/(H104))*C112)/100</f>
        <v>0</v>
      </c>
      <c r="E112" s="136"/>
      <c r="F112" s="137"/>
      <c r="G112" s="136"/>
      <c r="H112" s="151"/>
      <c r="I112" s="13" t="s">
        <v>140</v>
      </c>
      <c r="J112" s="27">
        <f>(IF(B104&gt;2,(H104/(B104+2)+J111),0))</f>
        <v>0</v>
      </c>
    </row>
    <row r="113" spans="1:19" ht="15.75" customHeight="1" x14ac:dyDescent="0.35">
      <c r="A113" s="132" t="s">
        <v>128</v>
      </c>
      <c r="B113" s="133" t="s">
        <v>128</v>
      </c>
      <c r="C113" s="96">
        <v>0</v>
      </c>
      <c r="D113" s="97">
        <f ca="1">((100/H104)*C113)/100</f>
        <v>0</v>
      </c>
      <c r="E113" s="136"/>
      <c r="F113" s="137"/>
      <c r="G113" s="136"/>
      <c r="H113" s="151"/>
      <c r="I113" s="13" t="s">
        <v>141</v>
      </c>
      <c r="J113" s="28">
        <f>(IF(B104&gt;3,(H104/(B104+2)+J112),0))</f>
        <v>0</v>
      </c>
    </row>
    <row r="114" spans="1:19" ht="15.75" customHeight="1" x14ac:dyDescent="0.35">
      <c r="A114" s="132" t="s">
        <v>135</v>
      </c>
      <c r="B114" s="133"/>
      <c r="C114" s="96">
        <v>0</v>
      </c>
      <c r="D114" s="97">
        <f ca="1">((100/H104)*C114)/100</f>
        <v>0</v>
      </c>
      <c r="E114" s="136"/>
      <c r="F114" s="137"/>
      <c r="G114" s="136"/>
      <c r="H114" s="151"/>
      <c r="I114" s="13" t="s">
        <v>142</v>
      </c>
      <c r="J114" s="27">
        <f>(IF(B104&gt;4,(H104/(B104+2)+J113),0))</f>
        <v>0</v>
      </c>
    </row>
    <row r="115" spans="1:19" ht="15.75" customHeight="1" x14ac:dyDescent="0.35">
      <c r="A115" s="132" t="s">
        <v>130</v>
      </c>
      <c r="B115" s="133" t="s">
        <v>130</v>
      </c>
      <c r="C115" s="96">
        <v>0</v>
      </c>
      <c r="D115" s="97">
        <f ca="1">((100/(H104))*C115)/100</f>
        <v>0</v>
      </c>
      <c r="E115" s="136"/>
      <c r="F115" s="137"/>
      <c r="G115" s="136"/>
      <c r="H115" s="151"/>
      <c r="I115" s="13" t="s">
        <v>146</v>
      </c>
      <c r="J115" s="27">
        <f ca="1">(IF(B104=1,(H104/(B104+3)+J110),IF(B104=0,(H104/4+J110),IF(B104&gt;1,0))))</f>
        <v>5.25</v>
      </c>
    </row>
    <row r="116" spans="1:19" ht="16" thickBot="1" x14ac:dyDescent="0.4">
      <c r="A116" s="128" t="s">
        <v>131</v>
      </c>
      <c r="B116" s="129"/>
      <c r="C116" s="99">
        <v>0</v>
      </c>
      <c r="D116" s="100">
        <f ca="1">((100/(H104))*C116)/100</f>
        <v>0</v>
      </c>
      <c r="E116" s="138"/>
      <c r="F116" s="139"/>
      <c r="G116" s="138"/>
      <c r="H116" s="152"/>
      <c r="I116" s="14" t="s">
        <v>101</v>
      </c>
      <c r="J116" s="29">
        <f ca="1">(IF(B104&gt;1.5,(H104/(B104+2)+J110+MAX(0,J111-J110)+MAX(0,J112-J111)+MAX(0,J113-J112)+MAX(0,J114-J113)+MAX(0,J115-J114)),IF(B104=1,(H104/(B104+3)+J115),IF(B104=0,H104/4+J115))))</f>
        <v>7</v>
      </c>
    </row>
    <row r="117" spans="1:19" ht="15.75" customHeight="1" x14ac:dyDescent="0.35">
      <c r="A117" s="140" t="s">
        <v>137</v>
      </c>
      <c r="B117" s="141"/>
      <c r="C117" s="142" t="s">
        <v>457</v>
      </c>
      <c r="D117" s="143"/>
      <c r="E117" s="143"/>
      <c r="F117" s="143"/>
      <c r="G117" s="143"/>
      <c r="H117" s="144"/>
      <c r="I117" s="43" t="str">
        <f ca="1">IF(D130=100%,"All work Completed. Possession granted to the Building.",IF(D129=100%,"All work Completed, Waiting for OC",I118&amp;""&amp;I119&amp;""&amp;J118&amp;""&amp;J117&amp;" "&amp;J119))</f>
        <v xml:space="preserve">Excavation, Plinth Completed </v>
      </c>
      <c r="J117" s="44" t="str">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
      </c>
      <c r="S117"/>
    </row>
    <row r="118" spans="1:19" x14ac:dyDescent="0.35">
      <c r="A118" s="15" t="s">
        <v>139</v>
      </c>
      <c r="B118" s="42">
        <f>IF(AND(ISNUMBER(SEARCH("1B",C117))),1,IF(AND(ISNUMBER(SEARCH("2B",C117))),2,IF(AND(ISNUMBER(SEARCH("3B",C117))),3,IF(AND(ISNUMBER(SEARCH("4B",C117))),4,IF(ISNUMBER(SEARCH("5B",C117)),5,0)))))</f>
        <v>0</v>
      </c>
      <c r="C118" s="42" t="s">
        <v>68</v>
      </c>
      <c r="D118" s="42">
        <v>1</v>
      </c>
      <c r="E118" s="42" t="s">
        <v>67</v>
      </c>
      <c r="F118" s="42">
        <v>0</v>
      </c>
      <c r="G118" s="42" t="s">
        <v>76</v>
      </c>
      <c r="H118" s="16">
        <f ca="1">--TRIM(RIGHT(SUBSTITUTE(LEFT(C117,_xlfn.AGGREGATE(16,6,FIND({0,1,2,3,4,5,6,7,8,9},C117,ROW(INDIRECT("1:"&amp;LEN(C117)))),1))," ",REPT(" ",LEN(C117))),LEN(C117)))</f>
        <v>7</v>
      </c>
      <c r="I118" s="45" t="str">
        <f ca="1">IF(D121=100%,"Excavation","")&amp;IF(D122=100%,", Plinth","")&amp;IF(D123=100%,", RCC Slab","")&amp;IF(D124=100%,", Brickwork","")&amp;IF(D125=100%,", Internal Plaster","")&amp;IF(D126=100%,", External Plaster","")&amp;IF(D127=100%,", Flooring","")&amp;IF(D128=100%,", Painting","")&amp;IF(D129=100%,", Building common Amenities","")</f>
        <v>Excavation, Plinth</v>
      </c>
      <c r="J118" s="46" t="str">
        <f ca="1">(IF(C121=0,"Work not yet Started.",IF(D121=25%,"Piling work in process",IF(D121=50%,"Excavation work in process",IF(D121=100%,"","0")))))&amp;(IF(C122=0%,"",IF(C122=J123,", Footing work is process",IF(C122=J124,", Footing work Completed",IF(C122=J125,", 1st Basement Completed",IF(C122=J126,", 1st &amp; 2nd Basement Completed",IF(C122=J127,", 1st to 3rd Basement Completed",IF(C122=J128,", 1st to 4th Basement Completed",IF(C122=J129,", Plinth work is process",IF(C122=J130,"","0"))))))))))</f>
        <v/>
      </c>
      <c r="S118"/>
    </row>
    <row r="119" spans="1:19" x14ac:dyDescent="0.35">
      <c r="A119" s="145" t="s">
        <v>86</v>
      </c>
      <c r="B119" s="146"/>
      <c r="C119" s="147" t="str">
        <f ca="1">I117</f>
        <v xml:space="preserve">Excavation, Plinth Completed </v>
      </c>
      <c r="D119" s="147"/>
      <c r="E119" s="147"/>
      <c r="F119" s="147"/>
      <c r="G119" s="147"/>
      <c r="H119" s="148"/>
      <c r="I119" s="45" t="str">
        <f ca="1">IF(I118&lt;&gt;""," Completed","")</f>
        <v xml:space="preserve"> Completed</v>
      </c>
      <c r="J119" s="46" t="str">
        <f ca="1">IF(J117&lt;&gt;"","Completed","")</f>
        <v/>
      </c>
      <c r="S119"/>
    </row>
    <row r="120" spans="1:19" ht="15.75" customHeight="1" x14ac:dyDescent="0.35">
      <c r="A120" s="132" t="s">
        <v>47</v>
      </c>
      <c r="B120" s="133"/>
      <c r="C120" s="96" t="s">
        <v>136</v>
      </c>
      <c r="D120" s="96" t="s">
        <v>79</v>
      </c>
      <c r="E120" s="133" t="s">
        <v>81</v>
      </c>
      <c r="F120" s="133"/>
      <c r="G120" s="133" t="s">
        <v>80</v>
      </c>
      <c r="H120" s="149"/>
      <c r="I120" s="13" t="s">
        <v>138</v>
      </c>
      <c r="J120" s="25">
        <f ca="1">H118*25%</f>
        <v>1.75</v>
      </c>
      <c r="S120"/>
    </row>
    <row r="121" spans="1:19" x14ac:dyDescent="0.35">
      <c r="A121" s="132" t="s">
        <v>125</v>
      </c>
      <c r="B121" s="133"/>
      <c r="C121" s="96">
        <f ca="1">J122</f>
        <v>7</v>
      </c>
      <c r="D121" s="97">
        <f ca="1">((100/H118)*C121)/100</f>
        <v>1</v>
      </c>
      <c r="E121" s="134">
        <f ca="1">(((C122/H118*10)+(40/(D118+F118+H118)*C123)+(7.5/(H118)*C124)+(7.5/(H118)*C125)+(10/H118*C126)+(10/H118*C127)+(5/H118*C128)+(5/H118*C129)+(5/H118*C130))/100)</f>
        <v>0.1</v>
      </c>
      <c r="F121" s="135"/>
      <c r="G121" s="134">
        <f ca="1">((((C121/H118)*20)+((C122/H118)*25)+(30/(H118+F118+D118)*C123)+(5/H118*C124)+(5/H118*C125)+(5/H118*C126)+(5/H118*C127)+(0/H118*C128)+(0/H118*C129)+(5/H118*C130))/100)</f>
        <v>0.45</v>
      </c>
      <c r="H121" s="150"/>
      <c r="I121" s="13" t="s">
        <v>97</v>
      </c>
      <c r="J121" s="26">
        <f ca="1">H118*50%</f>
        <v>3.5</v>
      </c>
    </row>
    <row r="122" spans="1:19" x14ac:dyDescent="0.35">
      <c r="A122" s="132" t="s">
        <v>48</v>
      </c>
      <c r="B122" s="133"/>
      <c r="C122" s="98">
        <f ca="1">J130</f>
        <v>7</v>
      </c>
      <c r="D122" s="97">
        <f ca="1">((100/H118)*C122)/100</f>
        <v>1</v>
      </c>
      <c r="E122" s="136"/>
      <c r="F122" s="137"/>
      <c r="G122" s="136"/>
      <c r="H122" s="151"/>
      <c r="I122" s="13" t="s">
        <v>98</v>
      </c>
      <c r="J122" s="26">
        <f ca="1">H118</f>
        <v>7</v>
      </c>
      <c r="S122"/>
    </row>
    <row r="123" spans="1:19" ht="15.75" customHeight="1" x14ac:dyDescent="0.35">
      <c r="A123" s="132" t="s">
        <v>126</v>
      </c>
      <c r="B123" s="133"/>
      <c r="C123" s="96">
        <v>0</v>
      </c>
      <c r="D123" s="97">
        <f ca="1">((100/(D118+F118+H118))*C123)/100</f>
        <v>0</v>
      </c>
      <c r="E123" s="136"/>
      <c r="F123" s="137"/>
      <c r="G123" s="136"/>
      <c r="H123" s="151"/>
      <c r="I123" s="13" t="s">
        <v>99</v>
      </c>
      <c r="J123" s="27">
        <f ca="1">(IF(B118&gt;1,(H118/(B118+2)),H118/4))</f>
        <v>1.75</v>
      </c>
      <c r="S123"/>
    </row>
    <row r="124" spans="1:19" ht="15.75" customHeight="1" x14ac:dyDescent="0.35">
      <c r="A124" s="132" t="s">
        <v>133</v>
      </c>
      <c r="B124" s="133" t="s">
        <v>127</v>
      </c>
      <c r="C124" s="96">
        <v>0</v>
      </c>
      <c r="D124" s="97">
        <f ca="1">((100/H118)*C124)/100</f>
        <v>0</v>
      </c>
      <c r="E124" s="136"/>
      <c r="F124" s="137"/>
      <c r="G124" s="136"/>
      <c r="H124" s="151"/>
      <c r="I124" s="13" t="s">
        <v>100</v>
      </c>
      <c r="J124" s="27">
        <f ca="1">(IF(B118&gt;1,(H118/(B118+2)+J123),H118/4+J123))</f>
        <v>3.5</v>
      </c>
    </row>
    <row r="125" spans="1:19" ht="15.75" customHeight="1" x14ac:dyDescent="0.35">
      <c r="A125" s="132" t="s">
        <v>134</v>
      </c>
      <c r="B125" s="133" t="s">
        <v>127</v>
      </c>
      <c r="C125" s="96">
        <v>0</v>
      </c>
      <c r="D125" s="97">
        <f ca="1">((100/H118)*C125)/100</f>
        <v>0</v>
      </c>
      <c r="E125" s="136"/>
      <c r="F125" s="137"/>
      <c r="G125" s="136"/>
      <c r="H125" s="151"/>
      <c r="I125" s="13" t="s">
        <v>145</v>
      </c>
      <c r="J125" s="27">
        <f>(IF(B118&gt;1,(H118/(B118+2)+J124),0))</f>
        <v>0</v>
      </c>
    </row>
    <row r="126" spans="1:19" ht="15" customHeight="1" x14ac:dyDescent="0.35">
      <c r="A126" s="132" t="s">
        <v>132</v>
      </c>
      <c r="B126" s="133" t="s">
        <v>129</v>
      </c>
      <c r="C126" s="96">
        <v>0</v>
      </c>
      <c r="D126" s="97">
        <f ca="1">((100/(H118))*C126)/100</f>
        <v>0</v>
      </c>
      <c r="E126" s="136"/>
      <c r="F126" s="137"/>
      <c r="G126" s="136"/>
      <c r="H126" s="151"/>
      <c r="I126" s="13" t="s">
        <v>140</v>
      </c>
      <c r="J126" s="27">
        <f>(IF(B118&gt;2,(H118/(B118+2)+J125),0))</f>
        <v>0</v>
      </c>
    </row>
    <row r="127" spans="1:19" ht="15.75" customHeight="1" x14ac:dyDescent="0.35">
      <c r="A127" s="132" t="s">
        <v>128</v>
      </c>
      <c r="B127" s="133" t="s">
        <v>128</v>
      </c>
      <c r="C127" s="96">
        <v>0</v>
      </c>
      <c r="D127" s="97">
        <f ca="1">((100/H118)*C127)/100</f>
        <v>0</v>
      </c>
      <c r="E127" s="136"/>
      <c r="F127" s="137"/>
      <c r="G127" s="136"/>
      <c r="H127" s="151"/>
      <c r="I127" s="13" t="s">
        <v>141</v>
      </c>
      <c r="J127" s="28">
        <f>(IF(B118&gt;3,(H118/(B118+2)+J126),0))</f>
        <v>0</v>
      </c>
    </row>
    <row r="128" spans="1:19" ht="15.75" customHeight="1" x14ac:dyDescent="0.35">
      <c r="A128" s="132" t="s">
        <v>135</v>
      </c>
      <c r="B128" s="133"/>
      <c r="C128" s="96">
        <v>0</v>
      </c>
      <c r="D128" s="97">
        <f ca="1">((100/H118)*C128)/100</f>
        <v>0</v>
      </c>
      <c r="E128" s="136"/>
      <c r="F128" s="137"/>
      <c r="G128" s="136"/>
      <c r="H128" s="151"/>
      <c r="I128" s="13" t="s">
        <v>142</v>
      </c>
      <c r="J128" s="27">
        <f>(IF(B118&gt;4,(H118/(B118+2)+J127),0))</f>
        <v>0</v>
      </c>
    </row>
    <row r="129" spans="1:19" ht="15.75" customHeight="1" x14ac:dyDescent="0.35">
      <c r="A129" s="132" t="s">
        <v>130</v>
      </c>
      <c r="B129" s="133" t="s">
        <v>130</v>
      </c>
      <c r="C129" s="96">
        <v>0</v>
      </c>
      <c r="D129" s="97">
        <f ca="1">((100/(H118))*C129)/100</f>
        <v>0</v>
      </c>
      <c r="E129" s="136"/>
      <c r="F129" s="137"/>
      <c r="G129" s="136"/>
      <c r="H129" s="151"/>
      <c r="I129" s="13" t="s">
        <v>146</v>
      </c>
      <c r="J129" s="27">
        <f ca="1">(IF(B118=1,(H118/(B118+3)+J124),IF(B118=0,(H118/4+J124),IF(B118&gt;1,0))))</f>
        <v>5.25</v>
      </c>
    </row>
    <row r="130" spans="1:19" ht="16" thickBot="1" x14ac:dyDescent="0.4">
      <c r="A130" s="128" t="s">
        <v>131</v>
      </c>
      <c r="B130" s="129"/>
      <c r="C130" s="99">
        <v>0</v>
      </c>
      <c r="D130" s="100">
        <f ca="1">((100/(H118))*C130)/100</f>
        <v>0</v>
      </c>
      <c r="E130" s="138"/>
      <c r="F130" s="139"/>
      <c r="G130" s="138"/>
      <c r="H130" s="152"/>
      <c r="I130" s="14" t="s">
        <v>101</v>
      </c>
      <c r="J130" s="29">
        <f ca="1">(IF(B118&gt;1.5,(H118/(B118+2)+J124+MAX(0,J125-J124)+MAX(0,J126-J125)+MAX(0,J127-J126)+MAX(0,J128-J127)+MAX(0,J129-J128)),IF(B118=1,(H118/(B118+3)+J129),IF(B118=0,H118/4+J129))))</f>
        <v>7</v>
      </c>
    </row>
    <row r="131" spans="1:19" ht="15.75" customHeight="1" x14ac:dyDescent="0.35">
      <c r="A131" s="140" t="s">
        <v>137</v>
      </c>
      <c r="B131" s="141"/>
      <c r="C131" s="142" t="s">
        <v>458</v>
      </c>
      <c r="D131" s="143"/>
      <c r="E131" s="143"/>
      <c r="F131" s="143"/>
      <c r="G131" s="143"/>
      <c r="H131" s="144"/>
      <c r="I131" s="43" t="str">
        <f ca="1">IF(D144=100%,"All work Completed. Possession granted to the Building.",IF(D143=100%,"All work Completed, Waiting for OC",I132&amp;""&amp;I133&amp;""&amp;J132&amp;""&amp;J131&amp;" "&amp;J133))</f>
        <v xml:space="preserve">Excavation Completed, Plinth work is process </v>
      </c>
      <c r="J131" s="44" t="str">
        <f ca="1">(IF(C137=(D132+F132+H132),"",IF(C137&gt;0,", RCC upto "&amp;C137&amp;" Slab","")))&amp;(IF(C138=H132,"",IF(C138&gt;0,", Brickwork upto "&amp;C138&amp;" Floor","")))&amp;(IF(C139=H132,"",IF(C139&gt;0,", Internal Plaster upto "&amp;C139&amp;" Floor","")))&amp;(IF(C140=H132,"",IF(C140&gt;0,", External Plaster upto "&amp;C140&amp;" Floor","")))&amp;(IF(C141=H132,"",IF(C141&gt;0,", Flooring upto "&amp;C141&amp;" Floor","")))&amp;(IF(C142=H132,"",IF(C142&gt;0,", Painting upto "&amp;C142&amp;" Floor","")))&amp;(IF(C143=H132,"",IF(C143&gt;0,", Finishing upto "&amp;C143&amp;" Floor","")))&amp;(IF(C144=H132,"",IF(C144&gt;0,", Possession upto "&amp;C144&amp;" Floor","")))</f>
        <v/>
      </c>
      <c r="S131"/>
    </row>
    <row r="132" spans="1:19" x14ac:dyDescent="0.35">
      <c r="A132" s="15" t="s">
        <v>139</v>
      </c>
      <c r="B132" s="42">
        <f>IF(AND(ISNUMBER(SEARCH("1B",C131))),1,IF(AND(ISNUMBER(SEARCH("2B",C131))),2,IF(AND(ISNUMBER(SEARCH("3B",C131))),3,IF(AND(ISNUMBER(SEARCH("4B",C131))),4,IF(ISNUMBER(SEARCH("5B",C131)),5,0)))))</f>
        <v>0</v>
      </c>
      <c r="C132" s="42" t="s">
        <v>68</v>
      </c>
      <c r="D132" s="42">
        <v>1</v>
      </c>
      <c r="E132" s="42" t="s">
        <v>67</v>
      </c>
      <c r="F132" s="42">
        <v>0</v>
      </c>
      <c r="G132" s="42" t="s">
        <v>76</v>
      </c>
      <c r="H132" s="16">
        <f ca="1">--TRIM(RIGHT(SUBSTITUTE(LEFT(C131,_xlfn.AGGREGATE(16,6,FIND({0,1,2,3,4,5,6,7,8,9},C131,ROW(INDIRECT("1:"&amp;LEN(C131)))),1))," ",REPT(" ",LEN(C131))),LEN(C131)))</f>
        <v>7</v>
      </c>
      <c r="I132" s="45" t="str">
        <f ca="1">IF(D135=100%,"Excavation","")&amp;IF(D136=100%,", Plinth","")&amp;IF(D137=100%,", RCC Slab","")&amp;IF(D138=100%,", Brickwork","")&amp;IF(D139=100%,", Internal Plaster","")&amp;IF(D140=100%,", External Plaster","")&amp;IF(D141=100%,", Flooring","")&amp;IF(D142=100%,", Painting","")&amp;IF(D143=100%,", Building common Amenities","")</f>
        <v>Excavation</v>
      </c>
      <c r="J132" s="46" t="str">
        <f ca="1">(IF(C135=0,"Work not yet Started.",IF(D135=25%,"Piling work in process",IF(D135=50%,"Excavation work in process",IF(D135=100%,"","0")))))&amp;(IF(C136=0%,"",IF(C136=J137,", Footing work is process",IF(C136=J138,", Footing work Completed",IF(C136=J139,", 1st Basement Completed",IF(C136=J140,", 1st &amp; 2nd Basement Completed",IF(C136=J141,", 1st to 3rd Basement Completed",IF(C136=J142,", 1st to 4th Basement Completed",IF(C136=J143,", Plinth work is process",IF(C136=J144,"","0"))))))))))</f>
        <v>, Plinth work is process</v>
      </c>
      <c r="S132"/>
    </row>
    <row r="133" spans="1:19" x14ac:dyDescent="0.35">
      <c r="A133" s="145" t="s">
        <v>86</v>
      </c>
      <c r="B133" s="146"/>
      <c r="C133" s="147" t="str">
        <f ca="1">I131</f>
        <v xml:space="preserve">Excavation Completed, Plinth work is process </v>
      </c>
      <c r="D133" s="147"/>
      <c r="E133" s="147"/>
      <c r="F133" s="147"/>
      <c r="G133" s="147"/>
      <c r="H133" s="148"/>
      <c r="I133" s="45" t="str">
        <f ca="1">IF(I132&lt;&gt;""," Completed","")</f>
        <v xml:space="preserve"> Completed</v>
      </c>
      <c r="J133" s="46" t="str">
        <f ca="1">IF(J131&lt;&gt;"","Completed","")</f>
        <v/>
      </c>
      <c r="S133"/>
    </row>
    <row r="134" spans="1:19" ht="15.75" customHeight="1" x14ac:dyDescent="0.35">
      <c r="A134" s="132" t="s">
        <v>47</v>
      </c>
      <c r="B134" s="133"/>
      <c r="C134" s="96" t="s">
        <v>136</v>
      </c>
      <c r="D134" s="96" t="s">
        <v>79</v>
      </c>
      <c r="E134" s="133" t="s">
        <v>81</v>
      </c>
      <c r="F134" s="133"/>
      <c r="G134" s="133" t="s">
        <v>80</v>
      </c>
      <c r="H134" s="149"/>
      <c r="I134" s="13" t="s">
        <v>138</v>
      </c>
      <c r="J134" s="25">
        <f ca="1">H132*25%</f>
        <v>1.75</v>
      </c>
      <c r="S134"/>
    </row>
    <row r="135" spans="1:19" x14ac:dyDescent="0.35">
      <c r="A135" s="132" t="s">
        <v>125</v>
      </c>
      <c r="B135" s="133"/>
      <c r="C135" s="96">
        <f ca="1">J136</f>
        <v>7</v>
      </c>
      <c r="D135" s="97">
        <f ca="1">((100/H132)*C135)/100</f>
        <v>1</v>
      </c>
      <c r="E135" s="134">
        <f ca="1">(((C136/H132*10)+(40/(D132+F132+H132)*C137)+(7.5/(H132)*C138)+(7.5/(H132)*C139)+(10/H132*C140)+(10/H132*C141)+(5/H132*C142)+(5/H132*C143)+(5/H132*C144))/100)</f>
        <v>7.4999999999999997E-2</v>
      </c>
      <c r="F135" s="135"/>
      <c r="G135" s="134">
        <f ca="1">((((C135/H132)*20)+((C136/H132)*25)+(30/(H132+F132+D132)*C137)+(5/H132*C138)+(5/H132*C139)+(5/H132*C140)+(5/H132*C141)+(0/H132*C142)+(0/H132*C143)+(5/H132*C144))/100)</f>
        <v>0.38750000000000001</v>
      </c>
      <c r="H135" s="150"/>
      <c r="I135" s="13" t="s">
        <v>97</v>
      </c>
      <c r="J135" s="26">
        <f ca="1">H132*50%</f>
        <v>3.5</v>
      </c>
    </row>
    <row r="136" spans="1:19" x14ac:dyDescent="0.35">
      <c r="A136" s="132" t="s">
        <v>48</v>
      </c>
      <c r="B136" s="133"/>
      <c r="C136" s="98">
        <f ca="1">J143</f>
        <v>5.25</v>
      </c>
      <c r="D136" s="97">
        <f ca="1">((100/H132)*C136)/100</f>
        <v>0.75</v>
      </c>
      <c r="E136" s="136"/>
      <c r="F136" s="137"/>
      <c r="G136" s="136"/>
      <c r="H136" s="151"/>
      <c r="I136" s="13" t="s">
        <v>98</v>
      </c>
      <c r="J136" s="26">
        <f ca="1">H132</f>
        <v>7</v>
      </c>
      <c r="S136"/>
    </row>
    <row r="137" spans="1:19" ht="15.75" customHeight="1" x14ac:dyDescent="0.35">
      <c r="A137" s="132" t="s">
        <v>126</v>
      </c>
      <c r="B137" s="133"/>
      <c r="C137" s="96">
        <v>0</v>
      </c>
      <c r="D137" s="97">
        <f ca="1">((100/(D132+F132+H132))*C137)/100</f>
        <v>0</v>
      </c>
      <c r="E137" s="136"/>
      <c r="F137" s="137"/>
      <c r="G137" s="136"/>
      <c r="H137" s="151"/>
      <c r="I137" s="13" t="s">
        <v>99</v>
      </c>
      <c r="J137" s="27">
        <f ca="1">(IF(B132&gt;1,(H132/(B132+2)),H132/4))</f>
        <v>1.75</v>
      </c>
      <c r="S137"/>
    </row>
    <row r="138" spans="1:19" ht="15.75" customHeight="1" x14ac:dyDescent="0.35">
      <c r="A138" s="132" t="s">
        <v>133</v>
      </c>
      <c r="B138" s="133" t="s">
        <v>127</v>
      </c>
      <c r="C138" s="96">
        <v>0</v>
      </c>
      <c r="D138" s="97">
        <f ca="1">((100/H132)*C138)/100</f>
        <v>0</v>
      </c>
      <c r="E138" s="136"/>
      <c r="F138" s="137"/>
      <c r="G138" s="136"/>
      <c r="H138" s="151"/>
      <c r="I138" s="13" t="s">
        <v>100</v>
      </c>
      <c r="J138" s="27">
        <f ca="1">(IF(B132&gt;1,(H132/(B132+2)+J137),H132/4+J137))</f>
        <v>3.5</v>
      </c>
    </row>
    <row r="139" spans="1:19" ht="15.75" customHeight="1" x14ac:dyDescent="0.35">
      <c r="A139" s="132" t="s">
        <v>134</v>
      </c>
      <c r="B139" s="133" t="s">
        <v>127</v>
      </c>
      <c r="C139" s="96">
        <v>0</v>
      </c>
      <c r="D139" s="97">
        <f ca="1">((100/H132)*C139)/100</f>
        <v>0</v>
      </c>
      <c r="E139" s="136"/>
      <c r="F139" s="137"/>
      <c r="G139" s="136"/>
      <c r="H139" s="151"/>
      <c r="I139" s="13" t="s">
        <v>145</v>
      </c>
      <c r="J139" s="27">
        <f>(IF(B132&gt;1,(H132/(B132+2)+J138),0))</f>
        <v>0</v>
      </c>
    </row>
    <row r="140" spans="1:19" ht="15" customHeight="1" x14ac:dyDescent="0.35">
      <c r="A140" s="132" t="s">
        <v>132</v>
      </c>
      <c r="B140" s="133" t="s">
        <v>129</v>
      </c>
      <c r="C140" s="96">
        <v>0</v>
      </c>
      <c r="D140" s="97">
        <f ca="1">((100/(H132))*C140)/100</f>
        <v>0</v>
      </c>
      <c r="E140" s="136"/>
      <c r="F140" s="137"/>
      <c r="G140" s="136"/>
      <c r="H140" s="151"/>
      <c r="I140" s="13" t="s">
        <v>140</v>
      </c>
      <c r="J140" s="27">
        <f>(IF(B132&gt;2,(H132/(B132+2)+J139),0))</f>
        <v>0</v>
      </c>
    </row>
    <row r="141" spans="1:19" ht="15.75" customHeight="1" x14ac:dyDescent="0.35">
      <c r="A141" s="132" t="s">
        <v>128</v>
      </c>
      <c r="B141" s="133" t="s">
        <v>128</v>
      </c>
      <c r="C141" s="96">
        <v>0</v>
      </c>
      <c r="D141" s="97">
        <f ca="1">((100/H132)*C141)/100</f>
        <v>0</v>
      </c>
      <c r="E141" s="136"/>
      <c r="F141" s="137"/>
      <c r="G141" s="136"/>
      <c r="H141" s="151"/>
      <c r="I141" s="13" t="s">
        <v>141</v>
      </c>
      <c r="J141" s="28">
        <f>(IF(B132&gt;3,(H132/(B132+2)+J140),0))</f>
        <v>0</v>
      </c>
    </row>
    <row r="142" spans="1:19" ht="15.75" customHeight="1" x14ac:dyDescent="0.35">
      <c r="A142" s="132" t="s">
        <v>135</v>
      </c>
      <c r="B142" s="133"/>
      <c r="C142" s="96">
        <v>0</v>
      </c>
      <c r="D142" s="97">
        <f ca="1">((100/H132)*C142)/100</f>
        <v>0</v>
      </c>
      <c r="E142" s="136"/>
      <c r="F142" s="137"/>
      <c r="G142" s="136"/>
      <c r="H142" s="151"/>
      <c r="I142" s="13" t="s">
        <v>142</v>
      </c>
      <c r="J142" s="27">
        <f>(IF(B132&gt;4,(H132/(B132+2)+J141),0))</f>
        <v>0</v>
      </c>
    </row>
    <row r="143" spans="1:19" ht="15.75" customHeight="1" x14ac:dyDescent="0.35">
      <c r="A143" s="132" t="s">
        <v>130</v>
      </c>
      <c r="B143" s="133" t="s">
        <v>130</v>
      </c>
      <c r="C143" s="96">
        <v>0</v>
      </c>
      <c r="D143" s="97">
        <f ca="1">((100/(H132))*C143)/100</f>
        <v>0</v>
      </c>
      <c r="E143" s="136"/>
      <c r="F143" s="137"/>
      <c r="G143" s="136"/>
      <c r="H143" s="151"/>
      <c r="I143" s="13" t="s">
        <v>146</v>
      </c>
      <c r="J143" s="27">
        <f ca="1">(IF(B132=1,(H132/(B132+3)+J138),IF(B132=0,(H132/4+J138),IF(B132&gt;1,0))))</f>
        <v>5.25</v>
      </c>
    </row>
    <row r="144" spans="1:19" ht="16" thickBot="1" x14ac:dyDescent="0.4">
      <c r="A144" s="128" t="s">
        <v>131</v>
      </c>
      <c r="B144" s="129"/>
      <c r="C144" s="99">
        <v>0</v>
      </c>
      <c r="D144" s="100">
        <f ca="1">((100/(H132))*C144)/100</f>
        <v>0</v>
      </c>
      <c r="E144" s="138"/>
      <c r="F144" s="139"/>
      <c r="G144" s="138"/>
      <c r="H144" s="152"/>
      <c r="I144" s="14" t="s">
        <v>101</v>
      </c>
      <c r="J144" s="29">
        <f ca="1">(IF(B132&gt;1.5,(H132/(B132+2)+J138+MAX(0,J139-J138)+MAX(0,J140-J139)+MAX(0,J141-J140)+MAX(0,J142-J141)+MAX(0,J143-J142)),IF(B132=1,(H132/(B132+3)+J143),IF(B132=0,H132/4+J143))))</f>
        <v>7</v>
      </c>
    </row>
    <row r="145" spans="1:19" ht="15.75" customHeight="1" x14ac:dyDescent="0.35">
      <c r="A145" s="140" t="s">
        <v>137</v>
      </c>
      <c r="B145" s="141"/>
      <c r="C145" s="142" t="s">
        <v>460</v>
      </c>
      <c r="D145" s="143"/>
      <c r="E145" s="143"/>
      <c r="F145" s="143"/>
      <c r="G145" s="143"/>
      <c r="H145" s="144"/>
      <c r="I145" s="43" t="str">
        <f ca="1">IF(D158=100%,"All work Completed. Possession granted to the Building.",IF(D157=100%,"All work Completed, Waiting for OC",I146&amp;""&amp;I147&amp;""&amp;J146&amp;""&amp;J145&amp;" "&amp;J147))</f>
        <v>Excavation, Plinth, RCC Slab Completed, Brickwork upto 1 Floor Completed</v>
      </c>
      <c r="J145" s="44" t="str">
        <f ca="1">(IF(C151=(D146+F146+H146),"",IF(C151&gt;0,", RCC upto "&amp;C151&amp;" Slab","")))&amp;(IF(C152=H146,"",IF(C152&gt;0,", Brickwork upto "&amp;C152&amp;" Floor","")))&amp;(IF(C153=H146,"",IF(C153&gt;0,", Internal Plaster upto "&amp;C153&amp;" Floor","")))&amp;(IF(C154=H146,"",IF(C154&gt;0,", External Plaster upto "&amp;C154&amp;" Floor","")))&amp;(IF(C155=H146,"",IF(C155&gt;0,", Flooring upto "&amp;C155&amp;" Floor","")))&amp;(IF(C156=H146,"",IF(C156&gt;0,", Painting upto "&amp;C156&amp;" Floor","")))&amp;(IF(C157=H146,"",IF(C157&gt;0,", Finishing upto "&amp;C157&amp;" Floor","")))&amp;(IF(C158=H146,"",IF(C158&gt;0,", Possession upto "&amp;C158&amp;" Floor","")))</f>
        <v>, Brickwork upto 1 Floor</v>
      </c>
      <c r="S145"/>
    </row>
    <row r="146" spans="1:19" x14ac:dyDescent="0.35">
      <c r="A146" s="15" t="s">
        <v>139</v>
      </c>
      <c r="B146" s="42">
        <f>IF(AND(ISNUMBER(SEARCH("1B",C145))),1,IF(AND(ISNUMBER(SEARCH("2B",C145))),2,IF(AND(ISNUMBER(SEARCH("3B",C145))),3,IF(AND(ISNUMBER(SEARCH("4B",C145))),4,IF(ISNUMBER(SEARCH("5B",C145)),5,0)))))</f>
        <v>0</v>
      </c>
      <c r="C146" s="42" t="s">
        <v>68</v>
      </c>
      <c r="D146" s="42">
        <v>1</v>
      </c>
      <c r="E146" s="42" t="s">
        <v>67</v>
      </c>
      <c r="F146" s="42">
        <v>0</v>
      </c>
      <c r="G146" s="42" t="s">
        <v>76</v>
      </c>
      <c r="H146" s="16">
        <f ca="1">--TRIM(RIGHT(SUBSTITUTE(LEFT(C145,_xlfn.AGGREGATE(16,6,FIND({0,1,2,3,4,5,6,7,8,9},C145,ROW(INDIRECT("1:"&amp;LEN(C145)))),1))," ",REPT(" ",LEN(C145))),LEN(C145)))</f>
        <v>7</v>
      </c>
      <c r="I146" s="45" t="str">
        <f ca="1">IF(D149=100%,"Excavation","")&amp;IF(D150=100%,", Plinth","")&amp;IF(D151=100%,", RCC Slab","")&amp;IF(D152=100%,", Brickwork","")&amp;IF(D153=100%,", Internal Plaster","")&amp;IF(D154=100%,", External Plaster","")&amp;IF(D155=100%,", Flooring","")&amp;IF(D156=100%,", Painting","")&amp;IF(D157=100%,", Building common Amenities","")</f>
        <v>Excavation, Plinth, RCC Slab</v>
      </c>
      <c r="J146" s="46" t="str">
        <f ca="1">(IF(C149=0,"Work not yet Started.",IF(D149=25%,"Piling work in process",IF(D149=50%,"Excavation work in process",IF(D149=100%,"","0")))))&amp;(IF(C150=0%,"",IF(C150=J151,", Footing work is process",IF(C150=J152,", Footing work Completed",IF(C150=J153,", 1st Basement Completed",IF(C150=J154,", 1st &amp; 2nd Basement Completed",IF(C150=J155,", 1st to 3rd Basement Completed",IF(C150=J156,", 1st to 4th Basement Completed",IF(C150=J157,", Plinth work is process",IF(C150=J158,"","0"))))))))))</f>
        <v/>
      </c>
      <c r="S146"/>
    </row>
    <row r="147" spans="1:19" ht="34.5" customHeight="1" x14ac:dyDescent="0.35">
      <c r="A147" s="146" t="s">
        <v>86</v>
      </c>
      <c r="B147" s="146"/>
      <c r="C147" s="147" t="str">
        <f ca="1">I145</f>
        <v>Excavation, Plinth, RCC Slab Completed, Brickwork upto 1 Floor Completed</v>
      </c>
      <c r="D147" s="147"/>
      <c r="E147" s="147"/>
      <c r="F147" s="147"/>
      <c r="G147" s="147"/>
      <c r="H147" s="147"/>
      <c r="I147" s="101" t="str">
        <f ca="1">IF(I146&lt;&gt;""," Completed","")</f>
        <v xml:space="preserve"> Completed</v>
      </c>
      <c r="J147" s="46" t="str">
        <f ca="1">IF(J145&lt;&gt;"","Completed","")</f>
        <v>Completed</v>
      </c>
      <c r="S147"/>
    </row>
    <row r="148" spans="1:19" ht="15.75" customHeight="1" x14ac:dyDescent="0.35">
      <c r="A148" s="133" t="s">
        <v>47</v>
      </c>
      <c r="B148" s="133"/>
      <c r="C148" s="96" t="s">
        <v>136</v>
      </c>
      <c r="D148" s="96" t="s">
        <v>79</v>
      </c>
      <c r="E148" s="133" t="s">
        <v>81</v>
      </c>
      <c r="F148" s="133"/>
      <c r="G148" s="133" t="s">
        <v>80</v>
      </c>
      <c r="H148" s="133"/>
      <c r="I148" s="13" t="s">
        <v>138</v>
      </c>
      <c r="J148" s="25">
        <f ca="1">H146*25%</f>
        <v>1.75</v>
      </c>
      <c r="S148"/>
    </row>
    <row r="149" spans="1:19" x14ac:dyDescent="0.35">
      <c r="A149" s="133" t="s">
        <v>125</v>
      </c>
      <c r="B149" s="133"/>
      <c r="C149" s="96">
        <f ca="1">J150</f>
        <v>7</v>
      </c>
      <c r="D149" s="97">
        <f ca="1">((100/H146)*C149)/100</f>
        <v>1</v>
      </c>
      <c r="E149" s="271">
        <f ca="1">(((C150/H146*10)+(40/(D146+F146+H146)*C151)+(7.5/(H146)*C152)+(7.5/(H146)*C153)+(10/H146*C154)+(10/H146*C155)+(5/H146*C156)+(5/H146*C157)+(5/H146*C158))/100)</f>
        <v>0.51071428571428568</v>
      </c>
      <c r="F149" s="271"/>
      <c r="G149" s="271">
        <f ca="1">((((C149/H146)*20)+((C150/H146)*25)+(30/(H146+F146+D146)*C151)+(5/H146*C152)+(5/H146*C153)+(5/H146*C154)+(5/H146*C155)+(0/H146*C156)+(0/H146*C157)+(5/H146*C158))/100)</f>
        <v>0.75714285714285712</v>
      </c>
      <c r="H149" s="271"/>
      <c r="I149" s="13" t="s">
        <v>97</v>
      </c>
      <c r="J149" s="26">
        <f ca="1">H146*50%</f>
        <v>3.5</v>
      </c>
    </row>
    <row r="150" spans="1:19" x14ac:dyDescent="0.35">
      <c r="A150" s="133" t="s">
        <v>48</v>
      </c>
      <c r="B150" s="133"/>
      <c r="C150" s="98">
        <v>7</v>
      </c>
      <c r="D150" s="97">
        <f ca="1">((100/H146)*C150)/100</f>
        <v>1</v>
      </c>
      <c r="E150" s="271"/>
      <c r="F150" s="271"/>
      <c r="G150" s="271"/>
      <c r="H150" s="271"/>
      <c r="I150" s="13" t="s">
        <v>98</v>
      </c>
      <c r="J150" s="26">
        <f ca="1">H146</f>
        <v>7</v>
      </c>
      <c r="S150"/>
    </row>
    <row r="151" spans="1:19" ht="15.75" customHeight="1" x14ac:dyDescent="0.35">
      <c r="A151" s="133" t="s">
        <v>126</v>
      </c>
      <c r="B151" s="133"/>
      <c r="C151" s="96">
        <v>8</v>
      </c>
      <c r="D151" s="97">
        <f ca="1">((100/(D146+F146+H146))*C151)/100</f>
        <v>1</v>
      </c>
      <c r="E151" s="271"/>
      <c r="F151" s="271"/>
      <c r="G151" s="271"/>
      <c r="H151" s="271"/>
      <c r="I151" s="13" t="s">
        <v>99</v>
      </c>
      <c r="J151" s="27">
        <f ca="1">(IF(B146&gt;1,(H146/(B146+2)),H146/4))</f>
        <v>1.75</v>
      </c>
      <c r="S151"/>
    </row>
    <row r="152" spans="1:19" ht="15.75" customHeight="1" x14ac:dyDescent="0.35">
      <c r="A152" s="133" t="s">
        <v>133</v>
      </c>
      <c r="B152" s="133" t="s">
        <v>127</v>
      </c>
      <c r="C152" s="96">
        <v>1</v>
      </c>
      <c r="D152" s="97">
        <f ca="1">((100/H146)*C152)/100</f>
        <v>0.14285714285714288</v>
      </c>
      <c r="E152" s="271"/>
      <c r="F152" s="271"/>
      <c r="G152" s="271"/>
      <c r="H152" s="271"/>
      <c r="I152" s="13" t="s">
        <v>100</v>
      </c>
      <c r="J152" s="27">
        <f ca="1">(IF(B146&gt;1,(H146/(B146+2)+J151),H146/4+J151))</f>
        <v>3.5</v>
      </c>
    </row>
    <row r="153" spans="1:19" ht="15.75" customHeight="1" x14ac:dyDescent="0.35">
      <c r="A153" s="133" t="s">
        <v>134</v>
      </c>
      <c r="B153" s="133" t="s">
        <v>127</v>
      </c>
      <c r="C153" s="96">
        <v>0</v>
      </c>
      <c r="D153" s="97">
        <f ca="1">((100/H146)*C153)/100</f>
        <v>0</v>
      </c>
      <c r="E153" s="271"/>
      <c r="F153" s="271"/>
      <c r="G153" s="271"/>
      <c r="H153" s="271"/>
      <c r="I153" s="13" t="s">
        <v>145</v>
      </c>
      <c r="J153" s="27">
        <f>(IF(B146&gt;1,(H146/(B146+2)+J152),0))</f>
        <v>0</v>
      </c>
    </row>
    <row r="154" spans="1:19" ht="15" customHeight="1" x14ac:dyDescent="0.35">
      <c r="A154" s="133" t="s">
        <v>132</v>
      </c>
      <c r="B154" s="133" t="s">
        <v>129</v>
      </c>
      <c r="C154" s="96">
        <v>0</v>
      </c>
      <c r="D154" s="97">
        <f ca="1">((100/(H146))*C154)/100</f>
        <v>0</v>
      </c>
      <c r="E154" s="271"/>
      <c r="F154" s="271"/>
      <c r="G154" s="271"/>
      <c r="H154" s="271"/>
      <c r="I154" s="13" t="s">
        <v>140</v>
      </c>
      <c r="J154" s="27">
        <f>(IF(B146&gt;2,(H146/(B146+2)+J153),0))</f>
        <v>0</v>
      </c>
    </row>
    <row r="155" spans="1:19" ht="15.75" customHeight="1" x14ac:dyDescent="0.35">
      <c r="A155" s="133" t="s">
        <v>128</v>
      </c>
      <c r="B155" s="133" t="s">
        <v>128</v>
      </c>
      <c r="C155" s="96">
        <v>0</v>
      </c>
      <c r="D155" s="97">
        <f ca="1">((100/H146)*C155)/100</f>
        <v>0</v>
      </c>
      <c r="E155" s="271"/>
      <c r="F155" s="271"/>
      <c r="G155" s="271"/>
      <c r="H155" s="271"/>
      <c r="I155" s="13" t="s">
        <v>141</v>
      </c>
      <c r="J155" s="28">
        <f>(IF(B146&gt;3,(H146/(B146+2)+J154),0))</f>
        <v>0</v>
      </c>
    </row>
    <row r="156" spans="1:19" ht="15.75" customHeight="1" x14ac:dyDescent="0.35">
      <c r="A156" s="133" t="s">
        <v>135</v>
      </c>
      <c r="B156" s="133"/>
      <c r="C156" s="96">
        <v>0</v>
      </c>
      <c r="D156" s="97">
        <f ca="1">((100/H146)*C156)/100</f>
        <v>0</v>
      </c>
      <c r="E156" s="271"/>
      <c r="F156" s="271"/>
      <c r="G156" s="271"/>
      <c r="H156" s="271"/>
      <c r="I156" s="13" t="s">
        <v>142</v>
      </c>
      <c r="J156" s="27">
        <f>(IF(B146&gt;4,(H146/(B146+2)+J155),0))</f>
        <v>0</v>
      </c>
    </row>
    <row r="157" spans="1:19" ht="15.75" customHeight="1" x14ac:dyDescent="0.35">
      <c r="A157" s="133" t="s">
        <v>130</v>
      </c>
      <c r="B157" s="133" t="s">
        <v>130</v>
      </c>
      <c r="C157" s="96">
        <v>0</v>
      </c>
      <c r="D157" s="97">
        <f ca="1">((100/(H146))*C157)/100</f>
        <v>0</v>
      </c>
      <c r="E157" s="271"/>
      <c r="F157" s="271"/>
      <c r="G157" s="271"/>
      <c r="H157" s="271"/>
      <c r="I157" s="13" t="s">
        <v>146</v>
      </c>
      <c r="J157" s="27">
        <f ca="1">(IF(B146=1,(H146/(B146+3)+J152),IF(B146=0,(H146/4+J152),IF(B146&gt;1,0))))</f>
        <v>5.25</v>
      </c>
    </row>
    <row r="158" spans="1:19" ht="16" thickBot="1" x14ac:dyDescent="0.4">
      <c r="A158" s="133" t="s">
        <v>131</v>
      </c>
      <c r="B158" s="133"/>
      <c r="C158" s="96">
        <v>0</v>
      </c>
      <c r="D158" s="97">
        <f ca="1">((100/(H146))*C158)/100</f>
        <v>0</v>
      </c>
      <c r="E158" s="271"/>
      <c r="F158" s="271"/>
      <c r="G158" s="271"/>
      <c r="H158" s="271"/>
      <c r="I158" s="14" t="s">
        <v>101</v>
      </c>
      <c r="J158" s="29">
        <f ca="1">(IF(B146&gt;1.5,(H146/(B146+2)+J152+MAX(0,J153-J152)+MAX(0,J154-J153)+MAX(0,J155-J154)+MAX(0,J156-J155)+MAX(0,J157-J156)),IF(B146=1,(H146/(B146+3)+J157),IF(B146=0,H146/4+J157))))</f>
        <v>7</v>
      </c>
    </row>
    <row r="159" spans="1:19" ht="15.75" customHeight="1" x14ac:dyDescent="0.35">
      <c r="A159" s="272" t="s">
        <v>137</v>
      </c>
      <c r="B159" s="273"/>
      <c r="C159" s="274" t="s">
        <v>459</v>
      </c>
      <c r="D159" s="275"/>
      <c r="E159" s="275"/>
      <c r="F159" s="275"/>
      <c r="G159" s="275"/>
      <c r="H159" s="276"/>
      <c r="I159" s="43" t="str">
        <f ca="1">IF(D172=100%,"All work Completed. Possession granted to the Building.",IF(D171=100%,"All work Completed, Waiting for OC",I160&amp;""&amp;I161&amp;""&amp;J160&amp;""&amp;J159&amp;" "&amp;J161))</f>
        <v xml:space="preserve">Work not yet Started. </v>
      </c>
      <c r="J159" s="44" t="str">
        <f ca="1">(IF(C165=(D160+F160+H160),"",IF(C165&gt;0,", RCC upto "&amp;C165&amp;" Slab","")))&amp;(IF(C166=H160,"",IF(C166&gt;0,", Brickwork upto "&amp;C166&amp;" Floor","")))&amp;(IF(C167=H160,"",IF(C167&gt;0,", Internal Plaster upto "&amp;C167&amp;" Floor","")))&amp;(IF(C168=H160,"",IF(C168&gt;0,", External Plaster upto "&amp;C168&amp;" Floor","")))&amp;(IF(C169=H160,"",IF(C169&gt;0,", Flooring upto "&amp;C169&amp;" Floor","")))&amp;(IF(C170=H160,"",IF(C170&gt;0,", Painting upto "&amp;C170&amp;" Floor","")))&amp;(IF(C171=H160,"",IF(C171&gt;0,", Finishing upto "&amp;C171&amp;" Floor","")))&amp;(IF(C172=H160,"",IF(C172&gt;0,", Possession upto "&amp;C172&amp;" Floor","")))</f>
        <v/>
      </c>
      <c r="S159"/>
    </row>
    <row r="160" spans="1:19" x14ac:dyDescent="0.35">
      <c r="A160" s="15" t="s">
        <v>139</v>
      </c>
      <c r="B160" s="42">
        <f>IF(AND(ISNUMBER(SEARCH("1B",C159))),1,IF(AND(ISNUMBER(SEARCH("2B",C159))),2,IF(AND(ISNUMBER(SEARCH("3B",C159))),3,IF(AND(ISNUMBER(SEARCH("4B",C159))),4,IF(ISNUMBER(SEARCH("5B",C159)),5,0)))))</f>
        <v>0</v>
      </c>
      <c r="C160" s="42" t="s">
        <v>68</v>
      </c>
      <c r="D160" s="42">
        <v>1</v>
      </c>
      <c r="E160" s="42" t="s">
        <v>67</v>
      </c>
      <c r="F160" s="42">
        <v>0</v>
      </c>
      <c r="G160" s="42" t="s">
        <v>76</v>
      </c>
      <c r="H160" s="16">
        <f ca="1">--TRIM(RIGHT(SUBSTITUTE(LEFT(C159,_xlfn.AGGREGATE(16,6,FIND({0,1,2,3,4,5,6,7,8,9},C159,ROW(INDIRECT("1:"&amp;LEN(C159)))),1))," ",REPT(" ",LEN(C159))),LEN(C159)))</f>
        <v>7</v>
      </c>
      <c r="I160" s="45" t="str">
        <f ca="1">IF(D163=100%,"Excavation","")&amp;IF(D164=100%,", Plinth","")&amp;IF(D165=100%,", RCC Slab","")&amp;IF(D166=100%,", Brickwork","")&amp;IF(D167=100%,", Internal Plaster","")&amp;IF(D168=100%,", External Plaster","")&amp;IF(D169=100%,", Flooring","")&amp;IF(D170=100%,", Painting","")&amp;IF(D171=100%,", Building common Amenities","")</f>
        <v/>
      </c>
      <c r="J160" s="46" t="str">
        <f>(IF(C163=0,"Work not yet Started.",IF(D163=25%,"Piling work in process",IF(D163=50%,"Excavation work in process",IF(D163=100%,"","0")))))&amp;(IF(C164=0%,"",IF(C164=J165,", Footing work is process",IF(C164=J166,", Footing work Completed",IF(C164=J167,", 1st Basement Completed",IF(C164=J168,", 1st &amp; 2nd Basement Completed",IF(C164=J169,", 1st to 3rd Basement Completed",IF(C164=J170,", 1st to 4th Basement Completed",IF(C164=J171,", Plinth work is process",IF(C164=J172,"","0"))))))))))</f>
        <v>Work not yet Started.</v>
      </c>
      <c r="S160"/>
    </row>
    <row r="161" spans="1:19" x14ac:dyDescent="0.35">
      <c r="A161" s="145" t="s">
        <v>86</v>
      </c>
      <c r="B161" s="146"/>
      <c r="C161" s="147" t="str">
        <f ca="1">I159</f>
        <v xml:space="preserve">Work not yet Started. </v>
      </c>
      <c r="D161" s="147"/>
      <c r="E161" s="147"/>
      <c r="F161" s="147"/>
      <c r="G161" s="147"/>
      <c r="H161" s="148"/>
      <c r="I161" s="45" t="str">
        <f ca="1">IF(I160&lt;&gt;""," Completed","")</f>
        <v/>
      </c>
      <c r="J161" s="46" t="str">
        <f ca="1">IF(J159&lt;&gt;"","Completed","")</f>
        <v/>
      </c>
      <c r="S161"/>
    </row>
    <row r="162" spans="1:19" ht="15.75" customHeight="1" x14ac:dyDescent="0.35">
      <c r="A162" s="132" t="s">
        <v>47</v>
      </c>
      <c r="B162" s="133"/>
      <c r="C162" s="96" t="s">
        <v>136</v>
      </c>
      <c r="D162" s="96" t="s">
        <v>79</v>
      </c>
      <c r="E162" s="133" t="s">
        <v>81</v>
      </c>
      <c r="F162" s="133"/>
      <c r="G162" s="133" t="s">
        <v>80</v>
      </c>
      <c r="H162" s="149"/>
      <c r="I162" s="13" t="s">
        <v>138</v>
      </c>
      <c r="J162" s="25">
        <f ca="1">H160*25%</f>
        <v>1.75</v>
      </c>
      <c r="S162"/>
    </row>
    <row r="163" spans="1:19" x14ac:dyDescent="0.35">
      <c r="A163" s="132" t="s">
        <v>125</v>
      </c>
      <c r="B163" s="133"/>
      <c r="C163" s="96">
        <v>0</v>
      </c>
      <c r="D163" s="97">
        <f ca="1">((100/H160)*C163)/100</f>
        <v>0</v>
      </c>
      <c r="E163" s="134">
        <f ca="1">(((C164/H160*10)+(40/(D160+F160+H160)*C165)+(7.5/(H160)*C166)+(7.5/(H160)*C167)+(10/H160*C168)+(10/H160*C169)+(5/H160*C170)+(5/H160*C171)+(5/H160*C172))/100)</f>
        <v>0</v>
      </c>
      <c r="F163" s="135"/>
      <c r="G163" s="134">
        <f ca="1">((((C163/H160)*20)+((C164/H160)*25)+(30/(H160+F160+D160)*C165)+(5/H160*C166)+(5/H160*C167)+(5/H160*C168)+(5/H160*C169)+(0/H160*C170)+(0/H160*C171)+(5/H160*C172))/100)</f>
        <v>0</v>
      </c>
      <c r="H163" s="150"/>
      <c r="I163" s="13" t="s">
        <v>97</v>
      </c>
      <c r="J163" s="26">
        <f ca="1">H160*50%</f>
        <v>3.5</v>
      </c>
    </row>
    <row r="164" spans="1:19" x14ac:dyDescent="0.35">
      <c r="A164" s="132" t="s">
        <v>48</v>
      </c>
      <c r="B164" s="133"/>
      <c r="C164" s="98">
        <v>0</v>
      </c>
      <c r="D164" s="97">
        <f ca="1">((100/H160)*C164)/100</f>
        <v>0</v>
      </c>
      <c r="E164" s="136"/>
      <c r="F164" s="137"/>
      <c r="G164" s="136"/>
      <c r="H164" s="151"/>
      <c r="I164" s="13" t="s">
        <v>98</v>
      </c>
      <c r="J164" s="26">
        <f ca="1">H160</f>
        <v>7</v>
      </c>
      <c r="S164"/>
    </row>
    <row r="165" spans="1:19" ht="15.75" customHeight="1" x14ac:dyDescent="0.35">
      <c r="A165" s="132" t="s">
        <v>126</v>
      </c>
      <c r="B165" s="133"/>
      <c r="C165" s="96">
        <v>0</v>
      </c>
      <c r="D165" s="97">
        <f ca="1">((100/(D160+F160+H160))*C165)/100</f>
        <v>0</v>
      </c>
      <c r="E165" s="136"/>
      <c r="F165" s="137"/>
      <c r="G165" s="136"/>
      <c r="H165" s="151"/>
      <c r="I165" s="13" t="s">
        <v>99</v>
      </c>
      <c r="J165" s="27">
        <f ca="1">(IF(B160&gt;1,(H160/(B160+2)),H160/4))</f>
        <v>1.75</v>
      </c>
      <c r="S165"/>
    </row>
    <row r="166" spans="1:19" ht="15.75" customHeight="1" x14ac:dyDescent="0.35">
      <c r="A166" s="132" t="s">
        <v>133</v>
      </c>
      <c r="B166" s="133" t="s">
        <v>127</v>
      </c>
      <c r="C166" s="96">
        <v>0</v>
      </c>
      <c r="D166" s="97">
        <f ca="1">((100/H160)*C166)/100</f>
        <v>0</v>
      </c>
      <c r="E166" s="136"/>
      <c r="F166" s="137"/>
      <c r="G166" s="136"/>
      <c r="H166" s="151"/>
      <c r="I166" s="13" t="s">
        <v>100</v>
      </c>
      <c r="J166" s="27">
        <f ca="1">(IF(B160&gt;1,(H160/(B160+2)+J165),H160/4+J165))</f>
        <v>3.5</v>
      </c>
    </row>
    <row r="167" spans="1:19" ht="15.75" customHeight="1" x14ac:dyDescent="0.35">
      <c r="A167" s="132" t="s">
        <v>134</v>
      </c>
      <c r="B167" s="133" t="s">
        <v>127</v>
      </c>
      <c r="C167" s="96">
        <v>0</v>
      </c>
      <c r="D167" s="97">
        <f ca="1">((100/H160)*C167)/100</f>
        <v>0</v>
      </c>
      <c r="E167" s="136"/>
      <c r="F167" s="137"/>
      <c r="G167" s="136"/>
      <c r="H167" s="151"/>
      <c r="I167" s="13" t="s">
        <v>145</v>
      </c>
      <c r="J167" s="27">
        <f>(IF(B160&gt;1,(H160/(B160+2)+J166),0))</f>
        <v>0</v>
      </c>
    </row>
    <row r="168" spans="1:19" ht="15" customHeight="1" x14ac:dyDescent="0.35">
      <c r="A168" s="132" t="s">
        <v>132</v>
      </c>
      <c r="B168" s="133" t="s">
        <v>129</v>
      </c>
      <c r="C168" s="96">
        <v>0</v>
      </c>
      <c r="D168" s="97">
        <f ca="1">((100/(H160))*C168)/100</f>
        <v>0</v>
      </c>
      <c r="E168" s="136"/>
      <c r="F168" s="137"/>
      <c r="G168" s="136"/>
      <c r="H168" s="151"/>
      <c r="I168" s="13" t="s">
        <v>140</v>
      </c>
      <c r="J168" s="27">
        <f>(IF(B160&gt;2,(H160/(B160+2)+J167),0))</f>
        <v>0</v>
      </c>
    </row>
    <row r="169" spans="1:19" ht="15.75" customHeight="1" x14ac:dyDescent="0.35">
      <c r="A169" s="132" t="s">
        <v>128</v>
      </c>
      <c r="B169" s="133" t="s">
        <v>128</v>
      </c>
      <c r="C169" s="96">
        <v>0</v>
      </c>
      <c r="D169" s="97">
        <f ca="1">((100/H160)*C169)/100</f>
        <v>0</v>
      </c>
      <c r="E169" s="136"/>
      <c r="F169" s="137"/>
      <c r="G169" s="136"/>
      <c r="H169" s="151"/>
      <c r="I169" s="13" t="s">
        <v>141</v>
      </c>
      <c r="J169" s="28">
        <f>(IF(B160&gt;3,(H160/(B160+2)+J168),0))</f>
        <v>0</v>
      </c>
    </row>
    <row r="170" spans="1:19" ht="15.75" customHeight="1" x14ac:dyDescent="0.35">
      <c r="A170" s="132" t="s">
        <v>135</v>
      </c>
      <c r="B170" s="133"/>
      <c r="C170" s="96">
        <v>0</v>
      </c>
      <c r="D170" s="97">
        <f ca="1">((100/H160)*C170)/100</f>
        <v>0</v>
      </c>
      <c r="E170" s="136"/>
      <c r="F170" s="137"/>
      <c r="G170" s="136"/>
      <c r="H170" s="151"/>
      <c r="I170" s="13" t="s">
        <v>142</v>
      </c>
      <c r="J170" s="27">
        <f>(IF(B160&gt;4,(H160/(B160+2)+J169),0))</f>
        <v>0</v>
      </c>
    </row>
    <row r="171" spans="1:19" ht="15.75" customHeight="1" x14ac:dyDescent="0.35">
      <c r="A171" s="132" t="s">
        <v>130</v>
      </c>
      <c r="B171" s="133" t="s">
        <v>130</v>
      </c>
      <c r="C171" s="96">
        <v>0</v>
      </c>
      <c r="D171" s="97">
        <f ca="1">((100/(H160))*C171)/100</f>
        <v>0</v>
      </c>
      <c r="E171" s="136"/>
      <c r="F171" s="137"/>
      <c r="G171" s="136"/>
      <c r="H171" s="151"/>
      <c r="I171" s="13" t="s">
        <v>146</v>
      </c>
      <c r="J171" s="27">
        <f ca="1">(IF(B160=1,(H160/(B160+3)+J166),IF(B160=0,(H160/4+J166),IF(B160&gt;1,0))))</f>
        <v>5.25</v>
      </c>
    </row>
    <row r="172" spans="1:19" ht="16" thickBot="1" x14ac:dyDescent="0.4">
      <c r="A172" s="128" t="s">
        <v>131</v>
      </c>
      <c r="B172" s="129"/>
      <c r="C172" s="99">
        <v>0</v>
      </c>
      <c r="D172" s="100">
        <f ca="1">((100/(H160))*C172)/100</f>
        <v>0</v>
      </c>
      <c r="E172" s="138"/>
      <c r="F172" s="139"/>
      <c r="G172" s="138"/>
      <c r="H172" s="152"/>
      <c r="I172" s="14" t="s">
        <v>101</v>
      </c>
      <c r="J172" s="29">
        <f ca="1">(IF(B160&gt;1.5,(H160/(B160+2)+J166+MAX(0,J167-J166)+MAX(0,J168-J167)+MAX(0,J169-J168)+MAX(0,J170-J169)+MAX(0,J171-J170)),IF(B160=1,(H160/(B160+3)+J171),IF(B160=0,H160/4+J171))))</f>
        <v>7</v>
      </c>
    </row>
    <row r="173" spans="1:19" ht="15.75" customHeight="1" x14ac:dyDescent="0.35">
      <c r="A173" s="140" t="s">
        <v>137</v>
      </c>
      <c r="B173" s="141"/>
      <c r="C173" s="142" t="s">
        <v>461</v>
      </c>
      <c r="D173" s="143"/>
      <c r="E173" s="143"/>
      <c r="F173" s="143"/>
      <c r="G173" s="143"/>
      <c r="H173" s="144"/>
      <c r="I173" s="43" t="str">
        <f ca="1">IF(D186=100%,"All work Completed. Possession granted to the Building.",IF(D185=100%,"All work Completed, Waiting for OC",I174&amp;""&amp;I175&amp;""&amp;J174&amp;""&amp;J173&amp;" "&amp;J175))</f>
        <v>Excavation, Plinth Completed, RCC upto 7 Slab, Brickwork upto 3 Floor Completed</v>
      </c>
      <c r="J173" s="44" t="str">
        <f ca="1">(IF(C179=(D174+F174+H174),"",IF(C179&gt;0,", RCC upto "&amp;C179&amp;" Slab","")))&amp;(IF(C180=H174,"",IF(C180&gt;0,", Brickwork upto "&amp;C180&amp;" Floor","")))&amp;(IF(C181=H174,"",IF(C181&gt;0,", Internal Plaster upto "&amp;C181&amp;" Floor","")))&amp;(IF(C182=H174,"",IF(C182&gt;0,", External Plaster upto "&amp;C182&amp;" Floor","")))&amp;(IF(C183=H174,"",IF(C183&gt;0,", Flooring upto "&amp;C183&amp;" Floor","")))&amp;(IF(C184=H174,"",IF(C184&gt;0,", Painting upto "&amp;C184&amp;" Floor","")))&amp;(IF(C185=H174,"",IF(C185&gt;0,", Finishing upto "&amp;C185&amp;" Floor","")))&amp;(IF(C186=H174,"",IF(C186&gt;0,", Possession upto "&amp;C186&amp;" Floor","")))</f>
        <v>, RCC upto 7 Slab, Brickwork upto 3 Floor</v>
      </c>
      <c r="S173"/>
    </row>
    <row r="174" spans="1:19" x14ac:dyDescent="0.35">
      <c r="A174" s="15" t="s">
        <v>139</v>
      </c>
      <c r="B174" s="42">
        <f>IF(AND(ISNUMBER(SEARCH("1B",C173))),1,IF(AND(ISNUMBER(SEARCH("2B",C173))),2,IF(AND(ISNUMBER(SEARCH("3B",C173))),3,IF(AND(ISNUMBER(SEARCH("4B",C173))),4,IF(ISNUMBER(SEARCH("5B",C173)),5,0)))))</f>
        <v>0</v>
      </c>
      <c r="C174" s="42" t="s">
        <v>68</v>
      </c>
      <c r="D174" s="42">
        <v>1</v>
      </c>
      <c r="E174" s="42" t="s">
        <v>67</v>
      </c>
      <c r="F174" s="42">
        <v>0</v>
      </c>
      <c r="G174" s="42" t="s">
        <v>76</v>
      </c>
      <c r="H174" s="16">
        <f ca="1">--TRIM(RIGHT(SUBSTITUTE(LEFT(C173,_xlfn.AGGREGATE(16,6,FIND({0,1,2,3,4,5,6,7,8,9},C173,ROW(INDIRECT("1:"&amp;LEN(C173)))),1))," ",REPT(" ",LEN(C173))),LEN(C173)))</f>
        <v>7</v>
      </c>
      <c r="I174" s="45" t="str">
        <f ca="1">IF(D177=100%,"Excavation","")&amp;IF(D178=100%,", Plinth","")&amp;IF(D179=100%,", RCC Slab","")&amp;IF(D180=100%,", Brickwork","")&amp;IF(D181=100%,", Internal Plaster","")&amp;IF(D182=100%,", External Plaster","")&amp;IF(D183=100%,", Flooring","")&amp;IF(D184=100%,", Painting","")&amp;IF(D185=100%,", Building common Amenities","")</f>
        <v>Excavation, Plinth</v>
      </c>
      <c r="J174" s="46" t="str">
        <f ca="1">(IF(C177=0,"Work not yet Started.",IF(D177=25%,"Piling work in process",IF(D177=50%,"Excavation work in process",IF(D177=100%,"","0")))))&amp;(IF(C178=0%,"",IF(C178=J179,", Footing work is process",IF(C178=J180,", Footing work Completed",IF(C178=J181,", 1st Basement Completed",IF(C178=J182,", 1st &amp; 2nd Basement Completed",IF(C178=J183,", 1st to 3rd Basement Completed",IF(C178=J184,", 1st to 4th Basement Completed",IF(C178=J185,", Plinth work is process",IF(C178=J186,"","0"))))))))))</f>
        <v/>
      </c>
      <c r="S174"/>
    </row>
    <row r="175" spans="1:19" x14ac:dyDescent="0.35">
      <c r="A175" s="145" t="s">
        <v>86</v>
      </c>
      <c r="B175" s="146"/>
      <c r="C175" s="147" t="str">
        <f ca="1">I173</f>
        <v>Excavation, Plinth Completed, RCC upto 7 Slab, Brickwork upto 3 Floor Completed</v>
      </c>
      <c r="D175" s="147"/>
      <c r="E175" s="147"/>
      <c r="F175" s="147"/>
      <c r="G175" s="147"/>
      <c r="H175" s="148"/>
      <c r="I175" s="45" t="str">
        <f ca="1">IF(I174&lt;&gt;""," Completed","")</f>
        <v xml:space="preserve"> Completed</v>
      </c>
      <c r="J175" s="46" t="str">
        <f ca="1">IF(J173&lt;&gt;"","Completed","")</f>
        <v>Completed</v>
      </c>
      <c r="S175"/>
    </row>
    <row r="176" spans="1:19" ht="15.75" customHeight="1" x14ac:dyDescent="0.35">
      <c r="A176" s="132" t="s">
        <v>47</v>
      </c>
      <c r="B176" s="133"/>
      <c r="C176" s="96" t="s">
        <v>136</v>
      </c>
      <c r="D176" s="96" t="s">
        <v>79</v>
      </c>
      <c r="E176" s="133" t="s">
        <v>81</v>
      </c>
      <c r="F176" s="133"/>
      <c r="G176" s="133" t="s">
        <v>80</v>
      </c>
      <c r="H176" s="149"/>
      <c r="I176" s="13" t="s">
        <v>138</v>
      </c>
      <c r="J176" s="25">
        <f ca="1">H174*25%</f>
        <v>1.75</v>
      </c>
      <c r="S176"/>
    </row>
    <row r="177" spans="1:22" x14ac:dyDescent="0.35">
      <c r="A177" s="132" t="s">
        <v>125</v>
      </c>
      <c r="B177" s="133"/>
      <c r="C177" s="96">
        <v>7</v>
      </c>
      <c r="D177" s="97">
        <f ca="1">((100/H174)*C177)/100</f>
        <v>1</v>
      </c>
      <c r="E177" s="134">
        <f ca="1">(((C178/H174*10)+(40/(D174+F174+H174)*C179)+(7.5/(H174)*C180)+(7.5/(H174)*C181)+(10/H174*C182)+(10/H174*C183)+(5/H174*C184)+(5/H174*C185)+(5/H174*C186))/100)</f>
        <v>0.48214285714285715</v>
      </c>
      <c r="F177" s="135"/>
      <c r="G177" s="134">
        <f ca="1">((((C177/H174)*20)+((C178/H174)*25)+(30/(H174+F174+D174)*C179)+(5/H174*C180)+(5/H174*C181)+(5/H174*C182)+(5/H174*C183)+(0/H174*C184)+(0/H174*C185)+(5/H174*C186))/100)</f>
        <v>0.73392857142857137</v>
      </c>
      <c r="H177" s="150"/>
      <c r="I177" s="13" t="s">
        <v>97</v>
      </c>
      <c r="J177" s="26">
        <f ca="1">H174*50%</f>
        <v>3.5</v>
      </c>
    </row>
    <row r="178" spans="1:22" x14ac:dyDescent="0.35">
      <c r="A178" s="132" t="s">
        <v>48</v>
      </c>
      <c r="B178" s="133"/>
      <c r="C178" s="98">
        <v>7</v>
      </c>
      <c r="D178" s="97">
        <f ca="1">((100/H174)*C178)/100</f>
        <v>1</v>
      </c>
      <c r="E178" s="136"/>
      <c r="F178" s="137"/>
      <c r="G178" s="136"/>
      <c r="H178" s="151"/>
      <c r="I178" s="13" t="s">
        <v>98</v>
      </c>
      <c r="J178" s="26">
        <f ca="1">H174</f>
        <v>7</v>
      </c>
      <c r="S178"/>
    </row>
    <row r="179" spans="1:22" ht="15.75" customHeight="1" x14ac:dyDescent="0.35">
      <c r="A179" s="132" t="s">
        <v>126</v>
      </c>
      <c r="B179" s="133"/>
      <c r="C179" s="96">
        <v>7</v>
      </c>
      <c r="D179" s="97">
        <f ca="1">((100/(D174+F174+H174))*C179)/100</f>
        <v>0.875</v>
      </c>
      <c r="E179" s="136"/>
      <c r="F179" s="137"/>
      <c r="G179" s="136"/>
      <c r="H179" s="151"/>
      <c r="I179" s="13" t="s">
        <v>99</v>
      </c>
      <c r="J179" s="27">
        <f ca="1">(IF(B174&gt;1,(H174/(B174+2)),H174/4))</f>
        <v>1.75</v>
      </c>
      <c r="S179"/>
    </row>
    <row r="180" spans="1:22" ht="15.75" customHeight="1" x14ac:dyDescent="0.35">
      <c r="A180" s="132" t="s">
        <v>133</v>
      </c>
      <c r="B180" s="133" t="s">
        <v>127</v>
      </c>
      <c r="C180" s="96">
        <v>3</v>
      </c>
      <c r="D180" s="97">
        <f ca="1">((100/H174)*C180)/100</f>
        <v>0.4285714285714286</v>
      </c>
      <c r="E180" s="136"/>
      <c r="F180" s="137"/>
      <c r="G180" s="136"/>
      <c r="H180" s="151"/>
      <c r="I180" s="13" t="s">
        <v>100</v>
      </c>
      <c r="J180" s="27">
        <f ca="1">(IF(B174&gt;1,(H174/(B174+2)+J179),H174/4+J179))</f>
        <v>3.5</v>
      </c>
    </row>
    <row r="181" spans="1:22" ht="15.75" customHeight="1" x14ac:dyDescent="0.35">
      <c r="A181" s="132" t="s">
        <v>134</v>
      </c>
      <c r="B181" s="133" t="s">
        <v>127</v>
      </c>
      <c r="C181" s="96">
        <v>0</v>
      </c>
      <c r="D181" s="97">
        <f ca="1">((100/H174)*C181)/100</f>
        <v>0</v>
      </c>
      <c r="E181" s="136"/>
      <c r="F181" s="137"/>
      <c r="G181" s="136"/>
      <c r="H181" s="151"/>
      <c r="I181" s="13" t="s">
        <v>145</v>
      </c>
      <c r="J181" s="27">
        <f>(IF(B174&gt;1,(H174/(B174+2)+J180),0))</f>
        <v>0</v>
      </c>
    </row>
    <row r="182" spans="1:22" ht="15" customHeight="1" x14ac:dyDescent="0.35">
      <c r="A182" s="132" t="s">
        <v>132</v>
      </c>
      <c r="B182" s="133" t="s">
        <v>129</v>
      </c>
      <c r="C182" s="96">
        <v>0</v>
      </c>
      <c r="D182" s="97">
        <f ca="1">((100/(H174))*C182)/100</f>
        <v>0</v>
      </c>
      <c r="E182" s="136"/>
      <c r="F182" s="137"/>
      <c r="G182" s="136"/>
      <c r="H182" s="151"/>
      <c r="I182" s="13" t="s">
        <v>140</v>
      </c>
      <c r="J182" s="27">
        <f>(IF(B174&gt;2,(H174/(B174+2)+J181),0))</f>
        <v>0</v>
      </c>
    </row>
    <row r="183" spans="1:22" ht="15.75" customHeight="1" x14ac:dyDescent="0.35">
      <c r="A183" s="132" t="s">
        <v>128</v>
      </c>
      <c r="B183" s="133" t="s">
        <v>128</v>
      </c>
      <c r="C183" s="96">
        <v>0</v>
      </c>
      <c r="D183" s="97">
        <f ca="1">((100/H174)*C183)/100</f>
        <v>0</v>
      </c>
      <c r="E183" s="136"/>
      <c r="F183" s="137"/>
      <c r="G183" s="136"/>
      <c r="H183" s="151"/>
      <c r="I183" s="13" t="s">
        <v>141</v>
      </c>
      <c r="J183" s="28">
        <f>(IF(B174&gt;3,(H174/(B174+2)+J182),0))</f>
        <v>0</v>
      </c>
    </row>
    <row r="184" spans="1:22" ht="15.75" customHeight="1" x14ac:dyDescent="0.35">
      <c r="A184" s="132" t="s">
        <v>135</v>
      </c>
      <c r="B184" s="133"/>
      <c r="C184" s="96">
        <v>0</v>
      </c>
      <c r="D184" s="97">
        <f ca="1">((100/H174)*C184)/100</f>
        <v>0</v>
      </c>
      <c r="E184" s="136"/>
      <c r="F184" s="137"/>
      <c r="G184" s="136"/>
      <c r="H184" s="151"/>
      <c r="I184" s="13" t="s">
        <v>142</v>
      </c>
      <c r="J184" s="27">
        <f>(IF(B174&gt;4,(H174/(B174+2)+J183),0))</f>
        <v>0</v>
      </c>
    </row>
    <row r="185" spans="1:22" ht="15.75" customHeight="1" x14ac:dyDescent="0.35">
      <c r="A185" s="132" t="s">
        <v>130</v>
      </c>
      <c r="B185" s="133" t="s">
        <v>130</v>
      </c>
      <c r="C185" s="96">
        <v>0</v>
      </c>
      <c r="D185" s="97">
        <f ca="1">((100/(H174))*C185)/100</f>
        <v>0</v>
      </c>
      <c r="E185" s="136"/>
      <c r="F185" s="137"/>
      <c r="G185" s="136"/>
      <c r="H185" s="151"/>
      <c r="I185" s="13" t="s">
        <v>146</v>
      </c>
      <c r="J185" s="27">
        <f ca="1">(IF(B174=1,(H174/(B174+3)+J180),IF(B174=0,(H174/4+J180),IF(B174&gt;1,0))))</f>
        <v>5.25</v>
      </c>
    </row>
    <row r="186" spans="1:22" ht="16" thickBot="1" x14ac:dyDescent="0.4">
      <c r="A186" s="128" t="s">
        <v>131</v>
      </c>
      <c r="B186" s="129"/>
      <c r="C186" s="99">
        <v>0</v>
      </c>
      <c r="D186" s="100">
        <f ca="1">((100/(H174))*C186)/100</f>
        <v>0</v>
      </c>
      <c r="E186" s="138"/>
      <c r="F186" s="139"/>
      <c r="G186" s="138"/>
      <c r="H186" s="152"/>
      <c r="I186" s="14" t="s">
        <v>101</v>
      </c>
      <c r="J186" s="29">
        <f ca="1">(IF(B174&gt;1.5,(H174/(B174+2)+J180+MAX(0,J181-J180)+MAX(0,J182-J181)+MAX(0,J183-J182)+MAX(0,J184-J183)+MAX(0,J185-J184)),IF(B174=1,(H174/(B174+3)+J185),IF(B174=0,H174/4+J185))))</f>
        <v>7</v>
      </c>
    </row>
    <row r="187" spans="1:22" x14ac:dyDescent="0.35">
      <c r="A187" s="244" t="s">
        <v>158</v>
      </c>
      <c r="B187" s="244"/>
      <c r="C187" s="244"/>
      <c r="D187" s="244"/>
      <c r="E187" s="244"/>
      <c r="F187" s="248" t="s">
        <v>162</v>
      </c>
      <c r="G187" s="248"/>
      <c r="H187" s="248"/>
      <c r="R187" t="s">
        <v>253</v>
      </c>
      <c r="S187" t="s">
        <v>173</v>
      </c>
      <c r="T187" t="s">
        <v>180</v>
      </c>
      <c r="U187" t="s">
        <v>194</v>
      </c>
      <c r="V187" t="s">
        <v>189</v>
      </c>
    </row>
    <row r="188" spans="1:22" x14ac:dyDescent="0.35">
      <c r="A188" s="153" t="s">
        <v>160</v>
      </c>
      <c r="B188" s="153"/>
      <c r="C188" s="153"/>
      <c r="D188" s="153"/>
      <c r="E188" s="153"/>
      <c r="F188" s="175">
        <v>2700</v>
      </c>
      <c r="G188" s="175"/>
      <c r="H188" s="175"/>
      <c r="R188"/>
      <c r="S188">
        <v>800000</v>
      </c>
      <c r="T188">
        <v>150000</v>
      </c>
      <c r="U188">
        <v>100000</v>
      </c>
      <c r="V188">
        <v>100000</v>
      </c>
    </row>
    <row r="189" spans="1:22" hidden="1" x14ac:dyDescent="0.35">
      <c r="A189" s="153" t="s">
        <v>159</v>
      </c>
      <c r="B189" s="153"/>
      <c r="C189" s="153"/>
      <c r="D189" s="153"/>
      <c r="E189" s="153"/>
      <c r="F189" s="175"/>
      <c r="G189" s="175"/>
      <c r="H189" s="175"/>
      <c r="R189"/>
      <c r="S189">
        <v>900000</v>
      </c>
      <c r="T189">
        <v>200000</v>
      </c>
      <c r="U189">
        <v>150000</v>
      </c>
      <c r="V189">
        <v>150000</v>
      </c>
    </row>
    <row r="190" spans="1:22" hidden="1" x14ac:dyDescent="0.35">
      <c r="A190" s="153" t="s">
        <v>161</v>
      </c>
      <c r="B190" s="153"/>
      <c r="C190" s="153"/>
      <c r="D190" s="153"/>
      <c r="E190" s="153"/>
      <c r="F190" s="175"/>
      <c r="G190" s="175"/>
      <c r="H190" s="175"/>
      <c r="R190"/>
      <c r="S190">
        <v>1000000</v>
      </c>
      <c r="T190">
        <v>250000</v>
      </c>
      <c r="U190">
        <v>200000</v>
      </c>
      <c r="V190">
        <v>200000</v>
      </c>
    </row>
    <row r="191" spans="1:22" s="30" customFormat="1" hidden="1" x14ac:dyDescent="0.35">
      <c r="A191" s="153" t="s">
        <v>175</v>
      </c>
      <c r="B191" s="153"/>
      <c r="C191" s="153"/>
      <c r="D191" s="153"/>
      <c r="E191" s="153"/>
      <c r="F191" s="175"/>
      <c r="G191" s="175"/>
      <c r="H191" s="175"/>
      <c r="R191"/>
      <c r="S191">
        <v>1100000</v>
      </c>
      <c r="T191">
        <v>300000</v>
      </c>
      <c r="U191">
        <v>250000</v>
      </c>
      <c r="V191" s="20">
        <v>250000</v>
      </c>
    </row>
    <row r="192" spans="1:22" s="30" customFormat="1" hidden="1" x14ac:dyDescent="0.35">
      <c r="A192" s="153" t="s">
        <v>91</v>
      </c>
      <c r="B192" s="153"/>
      <c r="C192" s="153"/>
      <c r="D192" s="153"/>
      <c r="E192" s="153"/>
      <c r="F192" s="175"/>
      <c r="G192" s="175"/>
      <c r="H192" s="175"/>
      <c r="R192"/>
      <c r="S192">
        <v>1200000</v>
      </c>
      <c r="T192">
        <v>350000</v>
      </c>
      <c r="U192">
        <v>300000</v>
      </c>
      <c r="V192">
        <v>300000</v>
      </c>
    </row>
    <row r="193" spans="1:22" s="30" customFormat="1" hidden="1" x14ac:dyDescent="0.35">
      <c r="A193" s="153" t="s">
        <v>92</v>
      </c>
      <c r="B193" s="153"/>
      <c r="C193" s="153"/>
      <c r="D193" s="153"/>
      <c r="E193" s="153"/>
      <c r="F193" s="175"/>
      <c r="G193" s="175"/>
      <c r="H193" s="175"/>
      <c r="R193"/>
      <c r="S193">
        <v>1300000</v>
      </c>
      <c r="T193">
        <v>400000</v>
      </c>
      <c r="U193">
        <v>350000</v>
      </c>
      <c r="V193" s="20">
        <v>400000</v>
      </c>
    </row>
    <row r="194" spans="1:22" s="30" customFormat="1" hidden="1" x14ac:dyDescent="0.35">
      <c r="A194" s="153" t="s">
        <v>93</v>
      </c>
      <c r="B194" s="153"/>
      <c r="C194" s="153"/>
      <c r="D194" s="153"/>
      <c r="E194" s="153"/>
      <c r="F194" s="175"/>
      <c r="G194" s="175"/>
      <c r="H194" s="175"/>
      <c r="R194"/>
      <c r="S194">
        <v>1400000</v>
      </c>
      <c r="T194">
        <v>500000</v>
      </c>
      <c r="U194">
        <v>400000</v>
      </c>
      <c r="V194"/>
    </row>
    <row r="195" spans="1:22" s="30" customFormat="1" hidden="1" x14ac:dyDescent="0.35">
      <c r="A195" s="153" t="s">
        <v>94</v>
      </c>
      <c r="B195" s="153"/>
      <c r="C195" s="153"/>
      <c r="D195" s="153"/>
      <c r="E195" s="153"/>
      <c r="F195" s="175"/>
      <c r="G195" s="175"/>
      <c r="H195" s="175"/>
      <c r="R195"/>
      <c r="S195">
        <v>1500000</v>
      </c>
      <c r="T195">
        <v>600000</v>
      </c>
      <c r="U195">
        <v>500000</v>
      </c>
      <c r="V195" s="20"/>
    </row>
    <row r="196" spans="1:22" s="30" customFormat="1" hidden="1" x14ac:dyDescent="0.35">
      <c r="A196" s="153" t="s">
        <v>95</v>
      </c>
      <c r="B196" s="153"/>
      <c r="C196" s="153"/>
      <c r="D196" s="153"/>
      <c r="E196" s="153"/>
      <c r="F196" s="175"/>
      <c r="G196" s="175"/>
      <c r="H196" s="175"/>
      <c r="R196"/>
      <c r="S196">
        <v>1600000</v>
      </c>
      <c r="T196">
        <v>700000</v>
      </c>
      <c r="U196">
        <v>600000</v>
      </c>
      <c r="V196"/>
    </row>
    <row r="197" spans="1:22" s="30" customFormat="1" hidden="1" x14ac:dyDescent="0.35">
      <c r="A197" s="153" t="s">
        <v>96</v>
      </c>
      <c r="B197" s="153"/>
      <c r="C197" s="153"/>
      <c r="D197" s="153"/>
      <c r="E197" s="153"/>
      <c r="F197" s="175"/>
      <c r="G197" s="175"/>
      <c r="H197" s="175"/>
      <c r="R197"/>
      <c r="S197">
        <v>1700000</v>
      </c>
      <c r="T197">
        <v>800000</v>
      </c>
      <c r="U197"/>
      <c r="V197" s="20"/>
    </row>
    <row r="198" spans="1:22" x14ac:dyDescent="0.35">
      <c r="A198" s="153" t="s">
        <v>49</v>
      </c>
      <c r="B198" s="153"/>
      <c r="C198" s="153"/>
      <c r="D198" s="153"/>
      <c r="E198" s="153"/>
      <c r="F198" s="175">
        <v>100000</v>
      </c>
      <c r="G198" s="175"/>
      <c r="H198" s="175"/>
      <c r="R198"/>
      <c r="S198">
        <v>1800000</v>
      </c>
      <c r="T198">
        <v>900000</v>
      </c>
      <c r="U198"/>
    </row>
    <row r="199" spans="1:22" s="31" customFormat="1" x14ac:dyDescent="0.35">
      <c r="A199" s="189" t="s">
        <v>50</v>
      </c>
      <c r="B199" s="189"/>
      <c r="C199" s="189"/>
      <c r="D199" s="189"/>
      <c r="E199" s="189"/>
      <c r="F199" s="175">
        <f>F188*0.8</f>
        <v>2160</v>
      </c>
      <c r="G199" s="175"/>
      <c r="H199" s="175"/>
      <c r="R199" s="18"/>
      <c r="S199" s="18"/>
      <c r="T199">
        <v>1000000</v>
      </c>
      <c r="U199"/>
      <c r="V199" s="18"/>
    </row>
    <row r="200" spans="1:22" s="32" customFormat="1" ht="15.75" hidden="1" customHeight="1" x14ac:dyDescent="0.35">
      <c r="A200" s="161" t="s">
        <v>71</v>
      </c>
      <c r="B200" s="161"/>
      <c r="C200" s="161"/>
      <c r="D200" s="161"/>
      <c r="E200" s="161"/>
      <c r="F200" s="161"/>
      <c r="G200" s="161"/>
      <c r="H200" s="161"/>
      <c r="R200"/>
      <c r="S200" s="18"/>
      <c r="T200"/>
      <c r="U200"/>
      <c r="V200" s="18"/>
    </row>
    <row r="201" spans="1:22" s="32" customFormat="1" ht="15.75" hidden="1" customHeight="1" x14ac:dyDescent="0.35">
      <c r="A201" s="164" t="s">
        <v>51</v>
      </c>
      <c r="B201" s="164"/>
      <c r="C201" s="162" t="s">
        <v>74</v>
      </c>
      <c r="D201" s="162"/>
      <c r="E201" s="163" t="s">
        <v>52</v>
      </c>
      <c r="F201" s="163"/>
      <c r="G201" s="164" t="s">
        <v>53</v>
      </c>
      <c r="H201" s="164"/>
      <c r="R201"/>
      <c r="S201" s="18"/>
      <c r="T201"/>
      <c r="U201" s="18"/>
      <c r="V201" s="18"/>
    </row>
    <row r="202" spans="1:22" s="32" customFormat="1" hidden="1" x14ac:dyDescent="0.35">
      <c r="A202" s="105"/>
      <c r="B202" s="105"/>
      <c r="C202" s="158"/>
      <c r="D202" s="158"/>
      <c r="E202" s="159"/>
      <c r="F202" s="159"/>
      <c r="G202" s="160"/>
      <c r="H202" s="160"/>
      <c r="R202"/>
      <c r="S202" s="18"/>
      <c r="T202"/>
      <c r="U202" s="18"/>
      <c r="V202" s="18"/>
    </row>
    <row r="203" spans="1:22" s="32" customFormat="1" hidden="1" x14ac:dyDescent="0.35">
      <c r="A203" s="105"/>
      <c r="B203" s="105"/>
      <c r="C203" s="158"/>
      <c r="D203" s="158"/>
      <c r="E203" s="159"/>
      <c r="F203" s="159"/>
      <c r="G203" s="160"/>
      <c r="H203" s="160"/>
      <c r="R203"/>
      <c r="S203" s="18"/>
      <c r="T203"/>
      <c r="U203" s="18"/>
      <c r="V203" s="18"/>
    </row>
    <row r="204" spans="1:22" s="32" customFormat="1" hidden="1" x14ac:dyDescent="0.35">
      <c r="A204" s="161" t="s">
        <v>150</v>
      </c>
      <c r="B204" s="161"/>
      <c r="C204" s="162"/>
      <c r="D204" s="162"/>
      <c r="E204" s="163"/>
      <c r="F204" s="163"/>
      <c r="G204" s="164"/>
      <c r="H204" s="164"/>
      <c r="R204"/>
      <c r="S204" s="18"/>
      <c r="T204"/>
      <c r="U204" s="18"/>
      <c r="V204" s="18"/>
    </row>
    <row r="205" spans="1:22" s="32" customFormat="1" x14ac:dyDescent="0.35">
      <c r="A205" s="161" t="s">
        <v>66</v>
      </c>
      <c r="B205" s="161"/>
      <c r="C205" s="161"/>
      <c r="D205" s="161"/>
      <c r="E205" s="161"/>
      <c r="F205" s="161"/>
      <c r="G205" s="161"/>
      <c r="H205" s="161"/>
      <c r="T205"/>
    </row>
    <row r="206" spans="1:22" s="32" customFormat="1" ht="15.75" customHeight="1" x14ac:dyDescent="0.35">
      <c r="A206" s="164" t="s">
        <v>51</v>
      </c>
      <c r="B206" s="164"/>
      <c r="C206" s="162" t="s">
        <v>74</v>
      </c>
      <c r="D206" s="162"/>
      <c r="E206" s="163" t="s">
        <v>52</v>
      </c>
      <c r="F206" s="163"/>
      <c r="G206" s="164" t="s">
        <v>53</v>
      </c>
      <c r="H206" s="164"/>
      <c r="T206"/>
    </row>
    <row r="207" spans="1:22" s="32" customFormat="1" ht="31" x14ac:dyDescent="0.35">
      <c r="A207" s="105" t="s">
        <v>417</v>
      </c>
      <c r="B207" s="95" t="s">
        <v>418</v>
      </c>
      <c r="C207" s="109">
        <f>COUNT(D236:D243)+COUNT(D245:D252)*7</f>
        <v>64</v>
      </c>
      <c r="D207" s="109"/>
      <c r="E207" s="109">
        <f>SUM(F236:F243)+SUM(F245:F252)*7</f>
        <v>20639.32416</v>
      </c>
      <c r="F207" s="109"/>
      <c r="G207" s="109">
        <f>SUM(H236:H243)+SUM(H245:H252)*7</f>
        <v>29927.020032</v>
      </c>
      <c r="H207" s="109"/>
      <c r="T207"/>
    </row>
    <row r="208" spans="1:22" s="32" customFormat="1" ht="31" x14ac:dyDescent="0.35">
      <c r="A208" s="105"/>
      <c r="B208" s="95" t="s">
        <v>419</v>
      </c>
      <c r="C208" s="109">
        <f>COUNT(D255:D262)+COUNT(D264:D271)*7</f>
        <v>64</v>
      </c>
      <c r="D208" s="109"/>
      <c r="E208" s="109">
        <f t="shared" ref="E208" si="0">SUM(F255:F262)+SUM(F264:F271)*7</f>
        <v>20639.32416</v>
      </c>
      <c r="F208" s="109"/>
      <c r="G208" s="109">
        <f t="shared" ref="G208" si="1">SUM(H255:H262)+SUM(H264:H271)*7</f>
        <v>29927.020032</v>
      </c>
      <c r="H208" s="109"/>
      <c r="T208"/>
    </row>
    <row r="209" spans="1:20" s="32" customFormat="1" ht="31" x14ac:dyDescent="0.35">
      <c r="A209" s="105"/>
      <c r="B209" s="95" t="s">
        <v>420</v>
      </c>
      <c r="C209" s="109">
        <f>COUNT(D274:D281)+COUNT(D283:D290)*7</f>
        <v>64</v>
      </c>
      <c r="D209" s="109"/>
      <c r="E209" s="109">
        <f t="shared" ref="E209" si="2">SUM(F274:F281)+SUM(F283:F290)*7</f>
        <v>20639.32416</v>
      </c>
      <c r="F209" s="109"/>
      <c r="G209" s="109">
        <f t="shared" ref="G209" si="3">SUM(H274:H281)+SUM(H283:H290)*7</f>
        <v>29927.020032</v>
      </c>
      <c r="H209" s="109"/>
      <c r="T209"/>
    </row>
    <row r="210" spans="1:20" s="32" customFormat="1" ht="31" x14ac:dyDescent="0.35">
      <c r="A210" s="105"/>
      <c r="B210" s="95" t="s">
        <v>421</v>
      </c>
      <c r="C210" s="109">
        <f>COUNT(D293:D300)+COUNT(D302:D309)*7</f>
        <v>64</v>
      </c>
      <c r="D210" s="109"/>
      <c r="E210" s="109">
        <f t="shared" ref="E210" si="4">SUM(F293:F300)+SUM(F302:F309)*7</f>
        <v>20639.32416</v>
      </c>
      <c r="F210" s="109"/>
      <c r="G210" s="109">
        <f t="shared" ref="G210" si="5">SUM(H293:H300)+SUM(H302:H309)*7</f>
        <v>29927.020032</v>
      </c>
      <c r="H210" s="109"/>
      <c r="T210"/>
    </row>
    <row r="211" spans="1:20" s="32" customFormat="1" ht="31" x14ac:dyDescent="0.35">
      <c r="A211" s="105"/>
      <c r="B211" s="95" t="s">
        <v>422</v>
      </c>
      <c r="C211" s="109">
        <f>COUNT(D312:D319)+COUNT(D321:D328)*7</f>
        <v>64</v>
      </c>
      <c r="D211" s="109"/>
      <c r="E211" s="109">
        <f t="shared" ref="E211" si="6">SUM(F312:F319)+SUM(F321:F328)*7</f>
        <v>20639.32416</v>
      </c>
      <c r="F211" s="109"/>
      <c r="G211" s="109">
        <f t="shared" ref="G211" si="7">SUM(H312:H319)+SUM(H321:H328)*7</f>
        <v>29927.020032</v>
      </c>
      <c r="H211" s="109"/>
      <c r="T211"/>
    </row>
    <row r="212" spans="1:20" s="32" customFormat="1" ht="31" x14ac:dyDescent="0.35">
      <c r="A212" s="105"/>
      <c r="B212" s="95" t="s">
        <v>424</v>
      </c>
      <c r="C212" s="109">
        <f>COUNT(D331:D338)+COUNT(D340:D347)*7</f>
        <v>64</v>
      </c>
      <c r="D212" s="109"/>
      <c r="E212" s="109">
        <f t="shared" ref="E212" si="8">SUM(F331:F338)+SUM(F340:F347)*7</f>
        <v>20639.32416</v>
      </c>
      <c r="F212" s="109"/>
      <c r="G212" s="109">
        <f t="shared" ref="G212" si="9">SUM(H331:H338)+SUM(H340:H347)*7</f>
        <v>29927.020032</v>
      </c>
      <c r="H212" s="109"/>
      <c r="T212"/>
    </row>
    <row r="213" spans="1:20" s="32" customFormat="1" ht="31" x14ac:dyDescent="0.35">
      <c r="A213" s="105" t="s">
        <v>400</v>
      </c>
      <c r="B213" s="95" t="s">
        <v>423</v>
      </c>
      <c r="C213" s="109">
        <f>COUNT(D351:D358)+COUNT(D360:D367)*7</f>
        <v>64</v>
      </c>
      <c r="D213" s="109"/>
      <c r="E213" s="109">
        <f t="shared" ref="E213" si="10">SUM(F351:F358)+SUM(F360:F367)*7</f>
        <v>20443.096440000001</v>
      </c>
      <c r="F213" s="109"/>
      <c r="G213" s="109">
        <f t="shared" ref="G213" si="11">SUM(H351:H358)+SUM(H360:H367)*7</f>
        <v>29642.489838000001</v>
      </c>
      <c r="H213" s="109"/>
      <c r="T213"/>
    </row>
    <row r="214" spans="1:20" s="32" customFormat="1" ht="31" x14ac:dyDescent="0.35">
      <c r="A214" s="105"/>
      <c r="B214" s="95" t="s">
        <v>425</v>
      </c>
      <c r="C214" s="109">
        <f>COUNT(D370:D377)+COUNT(D379:D386)*7</f>
        <v>64</v>
      </c>
      <c r="D214" s="109"/>
      <c r="E214" s="109">
        <f t="shared" ref="E214" si="12">SUM(F370:F377)+SUM(F379:F386)*7</f>
        <v>20443.096440000001</v>
      </c>
      <c r="F214" s="109"/>
      <c r="G214" s="109">
        <f t="shared" ref="G214" si="13">SUM(H370:H377)+SUM(H379:H386)*7</f>
        <v>29642.489838000001</v>
      </c>
      <c r="H214" s="109"/>
      <c r="T214"/>
    </row>
    <row r="215" spans="1:20" s="32" customFormat="1" ht="31" x14ac:dyDescent="0.35">
      <c r="A215" s="105"/>
      <c r="B215" s="95" t="s">
        <v>426</v>
      </c>
      <c r="C215" s="109">
        <f>COUNT(D389:D396)+COUNT(D398:D405)*7</f>
        <v>64</v>
      </c>
      <c r="D215" s="109"/>
      <c r="E215" s="109">
        <f t="shared" ref="E215" si="14">SUM(F389:F396)+SUM(F398:F405)*7</f>
        <v>20443.096440000001</v>
      </c>
      <c r="F215" s="109"/>
      <c r="G215" s="109">
        <f t="shared" ref="G215" si="15">SUM(H389:H396)+SUM(H398:H405)*7</f>
        <v>29642.489838000001</v>
      </c>
      <c r="H215" s="109"/>
      <c r="T215"/>
    </row>
    <row r="216" spans="1:20" s="32" customFormat="1" ht="31" x14ac:dyDescent="0.35">
      <c r="A216" s="106" t="s">
        <v>403</v>
      </c>
      <c r="B216" s="41" t="s">
        <v>414</v>
      </c>
      <c r="C216" s="109">
        <f>COUNT(D409:D416)+COUNT(D418:D425)*7</f>
        <v>64</v>
      </c>
      <c r="D216" s="109"/>
      <c r="E216" s="109">
        <f t="shared" ref="E216" si="16">SUM(F409:F416)+SUM(F418:F425)*7</f>
        <v>20533.083480000001</v>
      </c>
      <c r="F216" s="109"/>
      <c r="G216" s="109">
        <f t="shared" ref="G216" si="17">SUM(H409:H416)+SUM(H418:H425)*7</f>
        <v>29772.971045999999</v>
      </c>
      <c r="H216" s="109"/>
      <c r="T216"/>
    </row>
    <row r="217" spans="1:20" s="32" customFormat="1" ht="31" x14ac:dyDescent="0.35">
      <c r="A217" s="107"/>
      <c r="B217" s="41" t="s">
        <v>415</v>
      </c>
      <c r="C217" s="109">
        <f>COUNT(D428:D435)+COUNT(D437:D444)*7</f>
        <v>64</v>
      </c>
      <c r="D217" s="109"/>
      <c r="E217" s="109">
        <f t="shared" ref="E217" si="18">SUM(F428:F435)+SUM(F437:F444)*7</f>
        <v>20533.083480000001</v>
      </c>
      <c r="F217" s="109"/>
      <c r="G217" s="109">
        <f t="shared" ref="G217" si="19">SUM(H428:H435)+SUM(H437:H444)*7</f>
        <v>29772.971045999999</v>
      </c>
      <c r="H217" s="109"/>
      <c r="T217"/>
    </row>
    <row r="218" spans="1:20" s="32" customFormat="1" ht="31" x14ac:dyDescent="0.35">
      <c r="A218" s="108"/>
      <c r="B218" s="41" t="s">
        <v>416</v>
      </c>
      <c r="C218" s="109">
        <f>COUNT(D447:D454)+COUNT(D456:D463)*7</f>
        <v>64</v>
      </c>
      <c r="D218" s="109"/>
      <c r="E218" s="109">
        <f t="shared" ref="E218" si="20">SUM(F447:F454)+SUM(F456:F463)*7</f>
        <v>20533.083480000001</v>
      </c>
      <c r="F218" s="109"/>
      <c r="G218" s="109">
        <f t="shared" ref="G218" si="21">SUM(H447:H454)+SUM(H456:H463)*7</f>
        <v>29772.971045999999</v>
      </c>
      <c r="H218" s="109"/>
      <c r="T218"/>
    </row>
    <row r="219" spans="1:20" s="32" customFormat="1" ht="16" thickBot="1" x14ac:dyDescent="0.4">
      <c r="A219" s="154" t="s">
        <v>150</v>
      </c>
      <c r="B219" s="154"/>
      <c r="C219" s="250">
        <f>SUM(C207:D218)</f>
        <v>768</v>
      </c>
      <c r="D219" s="251"/>
      <c r="E219" s="155">
        <f>SUM(E207:F218)</f>
        <v>246764.48472000001</v>
      </c>
      <c r="F219" s="156"/>
      <c r="G219" s="157">
        <f>SUM(G207:H218)</f>
        <v>357808.50284400006</v>
      </c>
      <c r="H219" s="157"/>
      <c r="T219"/>
    </row>
    <row r="220" spans="1:20" s="32" customFormat="1" ht="16" thickBot="1" x14ac:dyDescent="0.4">
      <c r="A220" s="242" t="s">
        <v>167</v>
      </c>
      <c r="B220" s="243"/>
      <c r="C220" s="241">
        <f>C204+C219</f>
        <v>768</v>
      </c>
      <c r="D220" s="241"/>
      <c r="E220" s="176">
        <f>E204+E219</f>
        <v>246764.48472000001</v>
      </c>
      <c r="F220" s="176"/>
      <c r="G220" s="170">
        <f>G204+G219</f>
        <v>357808.50284400006</v>
      </c>
      <c r="H220" s="171"/>
      <c r="T220"/>
    </row>
    <row r="221" spans="1:20" s="31" customFormat="1" x14ac:dyDescent="0.35">
      <c r="A221" s="266" t="s">
        <v>356</v>
      </c>
      <c r="B221" s="266"/>
      <c r="C221" s="266"/>
      <c r="D221" s="266"/>
      <c r="E221" s="266"/>
      <c r="F221" s="266"/>
      <c r="G221" s="266"/>
      <c r="H221" s="266"/>
      <c r="T221" s="32"/>
    </row>
    <row r="222" spans="1:20" x14ac:dyDescent="0.35">
      <c r="A222" s="254" t="s">
        <v>405</v>
      </c>
      <c r="B222" s="254"/>
      <c r="C222" s="254"/>
      <c r="D222" s="254"/>
      <c r="E222" s="254"/>
      <c r="F222" s="254"/>
      <c r="G222" s="254"/>
      <c r="H222" s="254"/>
      <c r="T222" s="32"/>
    </row>
    <row r="223" spans="1:20" ht="47.25" hidden="1" customHeight="1" x14ac:dyDescent="0.35">
      <c r="A223" s="130" t="s">
        <v>451</v>
      </c>
      <c r="B223" s="130" t="s">
        <v>176</v>
      </c>
      <c r="C223" s="130" t="s">
        <v>54</v>
      </c>
      <c r="D223" s="130" t="s">
        <v>396</v>
      </c>
      <c r="E223" s="168" t="s">
        <v>157</v>
      </c>
      <c r="F223" s="130" t="s">
        <v>55</v>
      </c>
      <c r="G223" s="168" t="s">
        <v>56</v>
      </c>
      <c r="H223" s="92" t="s">
        <v>148</v>
      </c>
      <c r="T223" s="32"/>
    </row>
    <row r="224" spans="1:20" s="34" customFormat="1" hidden="1" x14ac:dyDescent="0.35">
      <c r="A224" s="131"/>
      <c r="B224" s="131"/>
      <c r="C224" s="131"/>
      <c r="D224" s="131"/>
      <c r="E224" s="169"/>
      <c r="F224" s="131"/>
      <c r="G224" s="169"/>
      <c r="H224" s="93">
        <v>0.45</v>
      </c>
      <c r="T224" s="32"/>
    </row>
    <row r="225" spans="1:20" s="34" customFormat="1" hidden="1" x14ac:dyDescent="0.35">
      <c r="A225" s="172" t="s">
        <v>116</v>
      </c>
      <c r="B225" s="173"/>
      <c r="C225" s="173"/>
      <c r="D225" s="173"/>
      <c r="E225" s="173"/>
      <c r="F225" s="173"/>
      <c r="G225" s="173"/>
      <c r="H225" s="174"/>
      <c r="J225" s="33"/>
      <c r="T225" s="32"/>
    </row>
    <row r="226" spans="1:20" s="34" customFormat="1" ht="15.75" hidden="1" customHeight="1" x14ac:dyDescent="0.35">
      <c r="A226" s="177">
        <v>1</v>
      </c>
      <c r="B226" s="178"/>
      <c r="C226" s="94"/>
      <c r="D226" s="94">
        <v>0</v>
      </c>
      <c r="E226" s="94">
        <v>0</v>
      </c>
      <c r="F226" s="94">
        <f>D226+(IF(E226&lt;201,E226,IF(E226&lt;301,E226/2,E226/3)))</f>
        <v>0</v>
      </c>
      <c r="G226" s="94">
        <v>0</v>
      </c>
      <c r="H226" s="94">
        <f>(F226+(IF(G226&lt;101,G226,IF(G226&lt;201,G226/2,IF(G226&lt;=301,G226/3,G226/4)))))*(($H$224)+1)</f>
        <v>0</v>
      </c>
      <c r="I226" s="33"/>
      <c r="L226" s="112"/>
      <c r="M226" s="112"/>
      <c r="N226" s="33"/>
      <c r="T226" s="32"/>
    </row>
    <row r="227" spans="1:20" s="34" customFormat="1" ht="15.75" hidden="1" customHeight="1" x14ac:dyDescent="0.35">
      <c r="A227" s="177">
        <f>A226+1</f>
        <v>2</v>
      </c>
      <c r="B227" s="178"/>
      <c r="C227" s="94"/>
      <c r="D227" s="94"/>
      <c r="E227" s="94">
        <v>0</v>
      </c>
      <c r="F227" s="94">
        <f>D227+(IF(E227&lt;201,E227,IF(E227&lt;301,E227/2,E227/3)))</f>
        <v>0</v>
      </c>
      <c r="G227" s="94">
        <v>0</v>
      </c>
      <c r="H227" s="94">
        <f>(F227+(IF(G227&lt;101,G227,IF(G227&lt;201,G227/2,IF(G227&lt;=301,G227/3,G227/4)))))*(($H$224)+1)</f>
        <v>0</v>
      </c>
      <c r="I227" s="33"/>
      <c r="L227" s="112"/>
      <c r="M227" s="112"/>
      <c r="N227" s="33"/>
      <c r="T227" s="31"/>
    </row>
    <row r="228" spans="1:20" s="34" customFormat="1" ht="15.75" hidden="1" customHeight="1" x14ac:dyDescent="0.35">
      <c r="A228" s="177">
        <f>A227+1</f>
        <v>3</v>
      </c>
      <c r="B228" s="178"/>
      <c r="C228" s="94"/>
      <c r="D228" s="94"/>
      <c r="E228" s="94">
        <v>0</v>
      </c>
      <c r="F228" s="94">
        <f>D228+(IF(E228&lt;201,E228,IF(E228&lt;301,E228/2,E228/3)))</f>
        <v>0</v>
      </c>
      <c r="G228" s="94">
        <v>0</v>
      </c>
      <c r="H228" s="94">
        <f>(F228+(IF(G228&lt;101,G228,IF(G228&lt;201,G228/2,IF(G228&lt;=301,G228/3,G228/4)))))*(($H$224)+1)</f>
        <v>0</v>
      </c>
      <c r="I228" s="33"/>
      <c r="L228" s="112"/>
      <c r="M228" s="112"/>
      <c r="N228" s="33"/>
      <c r="T228" s="18"/>
    </row>
    <row r="229" spans="1:20" s="34" customFormat="1" ht="15.75" hidden="1" customHeight="1" x14ac:dyDescent="0.35">
      <c r="A229" s="177">
        <f>A228+1</f>
        <v>4</v>
      </c>
      <c r="B229" s="178"/>
      <c r="C229" s="94"/>
      <c r="D229" s="94"/>
      <c r="E229" s="94">
        <v>0</v>
      </c>
      <c r="F229" s="94">
        <f>D229+(IF(E229&lt;201,E229,IF(E229&lt;301,E229/2,E229/3)))</f>
        <v>0</v>
      </c>
      <c r="G229" s="94">
        <v>0</v>
      </c>
      <c r="H229" s="94">
        <f>(F229+(IF(G229&lt;101,G229,IF(G229&lt;201,G229/2,IF(G229&lt;=301,G229/3,G229/4)))))*(($H$224)+1)</f>
        <v>0</v>
      </c>
      <c r="I229" s="33"/>
      <c r="L229" s="112"/>
      <c r="M229" s="112"/>
      <c r="N229" s="33"/>
      <c r="T229" s="18"/>
    </row>
    <row r="230" spans="1:20" s="34" customFormat="1" hidden="1" x14ac:dyDescent="0.35">
      <c r="A230" s="177"/>
      <c r="B230" s="264"/>
      <c r="C230" s="264"/>
      <c r="D230" s="264"/>
      <c r="E230" s="264"/>
      <c r="F230" s="264"/>
      <c r="G230" s="264"/>
      <c r="H230" s="178"/>
      <c r="I230" s="33"/>
      <c r="N230" s="33"/>
    </row>
    <row r="231" spans="1:20" ht="47.25" customHeight="1" x14ac:dyDescent="0.35">
      <c r="A231" s="267" t="s">
        <v>452</v>
      </c>
      <c r="B231" s="130" t="s">
        <v>177</v>
      </c>
      <c r="C231" s="130" t="s">
        <v>54</v>
      </c>
      <c r="D231" s="130" t="s">
        <v>396</v>
      </c>
      <c r="E231" s="130" t="s">
        <v>232</v>
      </c>
      <c r="F231" s="130" t="s">
        <v>55</v>
      </c>
      <c r="G231" s="168" t="s">
        <v>56</v>
      </c>
      <c r="H231" s="92" t="s">
        <v>148</v>
      </c>
      <c r="I231" s="33"/>
      <c r="T231" s="34"/>
    </row>
    <row r="232" spans="1:20" s="34" customFormat="1" x14ac:dyDescent="0.35">
      <c r="A232" s="268"/>
      <c r="B232" s="131"/>
      <c r="C232" s="131"/>
      <c r="D232" s="131"/>
      <c r="E232" s="131"/>
      <c r="F232" s="131"/>
      <c r="G232" s="169"/>
      <c r="H232" s="93">
        <v>0.45</v>
      </c>
      <c r="I232" s="33"/>
    </row>
    <row r="233" spans="1:20" s="34" customFormat="1" x14ac:dyDescent="0.35">
      <c r="A233" s="116" t="s">
        <v>395</v>
      </c>
      <c r="B233" s="117"/>
      <c r="C233" s="117"/>
      <c r="D233" s="117"/>
      <c r="E233" s="117"/>
      <c r="F233" s="117"/>
      <c r="G233" s="117"/>
      <c r="H233" s="118"/>
      <c r="J233" s="33"/>
    </row>
    <row r="234" spans="1:20" s="34" customFormat="1" x14ac:dyDescent="0.35">
      <c r="A234" s="113" t="s">
        <v>406</v>
      </c>
      <c r="B234" s="114"/>
      <c r="C234" s="114"/>
      <c r="D234" s="114"/>
      <c r="E234" s="114"/>
      <c r="F234" s="114"/>
      <c r="G234" s="114"/>
      <c r="H234" s="115"/>
      <c r="J234" s="33"/>
    </row>
    <row r="235" spans="1:20" s="34" customFormat="1" x14ac:dyDescent="0.35">
      <c r="A235" s="113" t="s">
        <v>398</v>
      </c>
      <c r="B235" s="114"/>
      <c r="C235" s="114"/>
      <c r="D235" s="114"/>
      <c r="E235" s="114"/>
      <c r="F235" s="114"/>
      <c r="G235" s="114"/>
      <c r="H235" s="115"/>
      <c r="J235" s="33"/>
    </row>
    <row r="236" spans="1:20" s="34" customFormat="1" ht="15.75" customHeight="1" x14ac:dyDescent="0.35">
      <c r="A236" s="110">
        <v>1</v>
      </c>
      <c r="B236" s="111"/>
      <c r="C236" s="39" t="s">
        <v>397</v>
      </c>
      <c r="D236" s="89">
        <f t="shared" ref="D236:D243" si="22">(29.96)*(10.764)</f>
        <v>322.48944</v>
      </c>
      <c r="E236" s="39">
        <v>0</v>
      </c>
      <c r="F236" s="39">
        <f t="shared" ref="F236:F243" si="23">D236+E236</f>
        <v>322.48944</v>
      </c>
      <c r="G236" s="39">
        <v>0</v>
      </c>
      <c r="H236" s="39">
        <f t="shared" ref="H236:H243" si="24">F236*(($H$232)+1)+(IF(G236&lt;101,G236,IF(G236&lt;201,G236/2,IF(G236&lt;=301,G236/3,G236/4))))</f>
        <v>467.60968800000001</v>
      </c>
      <c r="I236" s="86">
        <f>4.25*2.75+2.8*2.1+2.8*2.75+1.65*1.2+0.9*1.2</f>
        <v>28.327500000000001</v>
      </c>
      <c r="L236" s="112"/>
      <c r="M236" s="112"/>
      <c r="N236" s="33"/>
    </row>
    <row r="237" spans="1:20" s="34" customFormat="1" ht="15.75" customHeight="1" x14ac:dyDescent="0.35">
      <c r="A237" s="110">
        <v>2</v>
      </c>
      <c r="B237" s="111"/>
      <c r="C237" s="39" t="s">
        <v>397</v>
      </c>
      <c r="D237" s="89">
        <f t="shared" si="22"/>
        <v>322.48944</v>
      </c>
      <c r="E237" s="39">
        <v>0</v>
      </c>
      <c r="F237" s="39">
        <f t="shared" si="23"/>
        <v>322.48944</v>
      </c>
      <c r="G237" s="39">
        <v>0</v>
      </c>
      <c r="H237" s="39">
        <f t="shared" si="24"/>
        <v>467.60968800000001</v>
      </c>
      <c r="I237" s="33"/>
      <c r="L237" s="112"/>
      <c r="M237" s="112"/>
      <c r="N237" s="33"/>
    </row>
    <row r="238" spans="1:20" s="34" customFormat="1" ht="15.75" customHeight="1" x14ac:dyDescent="0.35">
      <c r="A238" s="110">
        <v>3</v>
      </c>
      <c r="B238" s="111"/>
      <c r="C238" s="39" t="s">
        <v>397</v>
      </c>
      <c r="D238" s="89">
        <f t="shared" si="22"/>
        <v>322.48944</v>
      </c>
      <c r="E238" s="39">
        <v>0</v>
      </c>
      <c r="F238" s="39">
        <f t="shared" si="23"/>
        <v>322.48944</v>
      </c>
      <c r="G238" s="39">
        <v>0</v>
      </c>
      <c r="H238" s="39">
        <f t="shared" si="24"/>
        <v>467.60968800000001</v>
      </c>
      <c r="I238" s="33"/>
      <c r="L238" s="112"/>
      <c r="M238" s="112"/>
      <c r="N238" s="33"/>
    </row>
    <row r="239" spans="1:20" s="34" customFormat="1" ht="15.75" customHeight="1" x14ac:dyDescent="0.35">
      <c r="A239" s="110">
        <v>4</v>
      </c>
      <c r="B239" s="111"/>
      <c r="C239" s="39" t="s">
        <v>397</v>
      </c>
      <c r="D239" s="89">
        <f t="shared" si="22"/>
        <v>322.48944</v>
      </c>
      <c r="E239" s="39">
        <v>0</v>
      </c>
      <c r="F239" s="39">
        <f t="shared" si="23"/>
        <v>322.48944</v>
      </c>
      <c r="G239" s="39">
        <v>0</v>
      </c>
      <c r="H239" s="39">
        <f t="shared" si="24"/>
        <v>467.60968800000001</v>
      </c>
      <c r="I239" s="33"/>
      <c r="L239" s="112"/>
      <c r="M239" s="112"/>
      <c r="N239" s="33"/>
      <c r="T239" s="18"/>
    </row>
    <row r="240" spans="1:20" s="34" customFormat="1" ht="15.75" customHeight="1" x14ac:dyDescent="0.35">
      <c r="A240" s="110">
        <v>5</v>
      </c>
      <c r="B240" s="111"/>
      <c r="C240" s="39" t="s">
        <v>397</v>
      </c>
      <c r="D240" s="89">
        <f t="shared" si="22"/>
        <v>322.48944</v>
      </c>
      <c r="E240" s="39">
        <v>0</v>
      </c>
      <c r="F240" s="39">
        <f t="shared" si="23"/>
        <v>322.48944</v>
      </c>
      <c r="G240" s="39">
        <v>0</v>
      </c>
      <c r="H240" s="39">
        <f t="shared" si="24"/>
        <v>467.60968800000001</v>
      </c>
      <c r="I240" s="33"/>
      <c r="L240" s="112"/>
      <c r="M240" s="112"/>
      <c r="N240" s="33"/>
    </row>
    <row r="241" spans="1:20" s="34" customFormat="1" ht="15.75" customHeight="1" x14ac:dyDescent="0.35">
      <c r="A241" s="110">
        <v>6</v>
      </c>
      <c r="B241" s="111"/>
      <c r="C241" s="39" t="s">
        <v>397</v>
      </c>
      <c r="D241" s="89">
        <f t="shared" si="22"/>
        <v>322.48944</v>
      </c>
      <c r="E241" s="39">
        <v>0</v>
      </c>
      <c r="F241" s="39">
        <f t="shared" si="23"/>
        <v>322.48944</v>
      </c>
      <c r="G241" s="39">
        <v>0</v>
      </c>
      <c r="H241" s="39">
        <f t="shared" si="24"/>
        <v>467.60968800000001</v>
      </c>
      <c r="I241" s="33"/>
      <c r="L241" s="112"/>
      <c r="M241" s="112"/>
      <c r="N241" s="33"/>
    </row>
    <row r="242" spans="1:20" s="34" customFormat="1" ht="15.75" customHeight="1" x14ac:dyDescent="0.35">
      <c r="A242" s="110">
        <v>7</v>
      </c>
      <c r="B242" s="111"/>
      <c r="C242" s="39" t="s">
        <v>397</v>
      </c>
      <c r="D242" s="89">
        <f t="shared" si="22"/>
        <v>322.48944</v>
      </c>
      <c r="E242" s="39">
        <v>0</v>
      </c>
      <c r="F242" s="39">
        <f t="shared" si="23"/>
        <v>322.48944</v>
      </c>
      <c r="G242" s="39">
        <v>0</v>
      </c>
      <c r="H242" s="39">
        <f t="shared" si="24"/>
        <v>467.60968800000001</v>
      </c>
      <c r="I242" s="33"/>
      <c r="L242" s="112"/>
      <c r="M242" s="112"/>
      <c r="N242" s="33"/>
    </row>
    <row r="243" spans="1:20" s="34" customFormat="1" ht="15.75" customHeight="1" x14ac:dyDescent="0.35">
      <c r="A243" s="110">
        <v>8</v>
      </c>
      <c r="B243" s="111"/>
      <c r="C243" s="39" t="s">
        <v>397</v>
      </c>
      <c r="D243" s="89">
        <f t="shared" si="22"/>
        <v>322.48944</v>
      </c>
      <c r="E243" s="39">
        <v>0</v>
      </c>
      <c r="F243" s="39">
        <f t="shared" si="23"/>
        <v>322.48944</v>
      </c>
      <c r="G243" s="39">
        <v>0</v>
      </c>
      <c r="H243" s="39">
        <f t="shared" si="24"/>
        <v>467.60968800000001</v>
      </c>
      <c r="I243" s="33"/>
      <c r="L243" s="112"/>
      <c r="M243" s="112"/>
      <c r="N243" s="33"/>
      <c r="T243" s="18"/>
    </row>
    <row r="244" spans="1:20" s="34" customFormat="1" x14ac:dyDescent="0.35">
      <c r="A244" s="113" t="s">
        <v>399</v>
      </c>
      <c r="B244" s="114"/>
      <c r="C244" s="114"/>
      <c r="D244" s="114"/>
      <c r="E244" s="114"/>
      <c r="F244" s="114"/>
      <c r="G244" s="114"/>
      <c r="H244" s="115"/>
      <c r="I244" s="87">
        <v>7</v>
      </c>
      <c r="J244" s="33"/>
    </row>
    <row r="245" spans="1:20" s="34" customFormat="1" ht="15.75" customHeight="1" x14ac:dyDescent="0.35">
      <c r="A245" s="110">
        <v>1</v>
      </c>
      <c r="B245" s="111"/>
      <c r="C245" s="39" t="s">
        <v>397</v>
      </c>
      <c r="D245" s="89">
        <f t="shared" ref="D245:D252" si="25">(29.96)*(10.764)</f>
        <v>322.48944</v>
      </c>
      <c r="E245" s="39">
        <v>0</v>
      </c>
      <c r="F245" s="39">
        <f t="shared" ref="F245:F252" si="26">D245+E245</f>
        <v>322.48944</v>
      </c>
      <c r="G245" s="39">
        <v>0</v>
      </c>
      <c r="H245" s="39">
        <f t="shared" ref="H245:H252" si="27">F245*(($H$232)+1)+(IF(G245&lt;101,G245,IF(G245&lt;201,G245/2,IF(G245&lt;=301,G245/3,G245/4))))</f>
        <v>467.60968800000001</v>
      </c>
      <c r="I245" s="86">
        <f>4.25*2.75+2.8*2.1+2.8*2.75+1.65*1.2+0.9*1.2</f>
        <v>28.327500000000001</v>
      </c>
      <c r="L245" s="112"/>
      <c r="M245" s="112"/>
      <c r="N245" s="33"/>
    </row>
    <row r="246" spans="1:20" s="34" customFormat="1" ht="15.75" customHeight="1" x14ac:dyDescent="0.35">
      <c r="A246" s="110">
        <v>2</v>
      </c>
      <c r="B246" s="111"/>
      <c r="C246" s="39" t="s">
        <v>397</v>
      </c>
      <c r="D246" s="89">
        <f t="shared" si="25"/>
        <v>322.48944</v>
      </c>
      <c r="E246" s="39">
        <v>0</v>
      </c>
      <c r="F246" s="39">
        <f t="shared" si="26"/>
        <v>322.48944</v>
      </c>
      <c r="G246" s="39">
        <v>0</v>
      </c>
      <c r="H246" s="39">
        <f t="shared" si="27"/>
        <v>467.60968800000001</v>
      </c>
      <c r="I246" s="33"/>
      <c r="L246" s="112"/>
      <c r="M246" s="112"/>
      <c r="N246" s="33"/>
    </row>
    <row r="247" spans="1:20" s="34" customFormat="1" ht="15.75" customHeight="1" x14ac:dyDescent="0.35">
      <c r="A247" s="110">
        <v>3</v>
      </c>
      <c r="B247" s="111"/>
      <c r="C247" s="39" t="s">
        <v>397</v>
      </c>
      <c r="D247" s="89">
        <f t="shared" si="25"/>
        <v>322.48944</v>
      </c>
      <c r="E247" s="39">
        <v>0</v>
      </c>
      <c r="F247" s="39">
        <f t="shared" si="26"/>
        <v>322.48944</v>
      </c>
      <c r="G247" s="39">
        <v>0</v>
      </c>
      <c r="H247" s="39">
        <f t="shared" si="27"/>
        <v>467.60968800000001</v>
      </c>
      <c r="I247" s="33"/>
      <c r="J247" s="89">
        <f>10.764</f>
        <v>10.763999999999999</v>
      </c>
      <c r="L247" s="112"/>
      <c r="M247" s="112"/>
      <c r="N247" s="33"/>
    </row>
    <row r="248" spans="1:20" s="34" customFormat="1" ht="15.75" customHeight="1" x14ac:dyDescent="0.35">
      <c r="A248" s="110">
        <v>4</v>
      </c>
      <c r="B248" s="111"/>
      <c r="C248" s="39" t="s">
        <v>397</v>
      </c>
      <c r="D248" s="89">
        <f t="shared" si="25"/>
        <v>322.48944</v>
      </c>
      <c r="E248" s="39">
        <v>0</v>
      </c>
      <c r="F248" s="39">
        <f t="shared" si="26"/>
        <v>322.48944</v>
      </c>
      <c r="G248" s="39">
        <v>0</v>
      </c>
      <c r="H248" s="39">
        <f t="shared" si="27"/>
        <v>467.60968800000001</v>
      </c>
      <c r="I248" s="33"/>
      <c r="L248" s="112"/>
      <c r="M248" s="112"/>
      <c r="N248" s="33"/>
      <c r="T248" s="18"/>
    </row>
    <row r="249" spans="1:20" s="34" customFormat="1" ht="15.75" customHeight="1" x14ac:dyDescent="0.35">
      <c r="A249" s="110">
        <v>5</v>
      </c>
      <c r="B249" s="111"/>
      <c r="C249" s="39" t="s">
        <v>397</v>
      </c>
      <c r="D249" s="89">
        <f t="shared" si="25"/>
        <v>322.48944</v>
      </c>
      <c r="E249" s="39">
        <v>0</v>
      </c>
      <c r="F249" s="39">
        <f t="shared" si="26"/>
        <v>322.48944</v>
      </c>
      <c r="G249" s="39">
        <v>0</v>
      </c>
      <c r="H249" s="39">
        <f t="shared" si="27"/>
        <v>467.60968800000001</v>
      </c>
      <c r="I249" s="33"/>
      <c r="L249" s="112"/>
      <c r="M249" s="112"/>
      <c r="N249" s="33"/>
    </row>
    <row r="250" spans="1:20" s="34" customFormat="1" ht="15.75" customHeight="1" x14ac:dyDescent="0.35">
      <c r="A250" s="110">
        <v>6</v>
      </c>
      <c r="B250" s="111"/>
      <c r="C250" s="39" t="s">
        <v>397</v>
      </c>
      <c r="D250" s="89">
        <f t="shared" si="25"/>
        <v>322.48944</v>
      </c>
      <c r="E250" s="39">
        <v>0</v>
      </c>
      <c r="F250" s="39">
        <f t="shared" si="26"/>
        <v>322.48944</v>
      </c>
      <c r="G250" s="39">
        <v>0</v>
      </c>
      <c r="H250" s="39">
        <f t="shared" si="27"/>
        <v>467.60968800000001</v>
      </c>
      <c r="I250" s="33"/>
      <c r="L250" s="112"/>
      <c r="M250" s="112"/>
      <c r="N250" s="33"/>
    </row>
    <row r="251" spans="1:20" s="34" customFormat="1" ht="15.75" customHeight="1" x14ac:dyDescent="0.35">
      <c r="A251" s="110">
        <v>7</v>
      </c>
      <c r="B251" s="111"/>
      <c r="C251" s="39" t="s">
        <v>397</v>
      </c>
      <c r="D251" s="89">
        <f t="shared" si="25"/>
        <v>322.48944</v>
      </c>
      <c r="E251" s="39">
        <v>0</v>
      </c>
      <c r="F251" s="39">
        <f t="shared" si="26"/>
        <v>322.48944</v>
      </c>
      <c r="G251" s="39">
        <v>0</v>
      </c>
      <c r="H251" s="39">
        <f t="shared" si="27"/>
        <v>467.60968800000001</v>
      </c>
      <c r="I251" s="33"/>
      <c r="L251" s="112"/>
      <c r="M251" s="112"/>
      <c r="N251" s="33"/>
    </row>
    <row r="252" spans="1:20" s="34" customFormat="1" ht="15.75" customHeight="1" x14ac:dyDescent="0.35">
      <c r="A252" s="110">
        <v>8</v>
      </c>
      <c r="B252" s="111"/>
      <c r="C252" s="39" t="s">
        <v>397</v>
      </c>
      <c r="D252" s="89">
        <f t="shared" si="25"/>
        <v>322.48944</v>
      </c>
      <c r="E252" s="39">
        <v>0</v>
      </c>
      <c r="F252" s="39">
        <f t="shared" si="26"/>
        <v>322.48944</v>
      </c>
      <c r="G252" s="39">
        <v>0</v>
      </c>
      <c r="H252" s="39">
        <f t="shared" si="27"/>
        <v>467.60968800000001</v>
      </c>
      <c r="I252" s="33"/>
      <c r="L252" s="112"/>
      <c r="M252" s="112"/>
      <c r="N252" s="33"/>
      <c r="T252" s="18"/>
    </row>
    <row r="253" spans="1:20" s="34" customFormat="1" x14ac:dyDescent="0.35">
      <c r="A253" s="113" t="s">
        <v>407</v>
      </c>
      <c r="B253" s="114"/>
      <c r="C253" s="114"/>
      <c r="D253" s="114"/>
      <c r="E253" s="114"/>
      <c r="F253" s="114"/>
      <c r="G253" s="114"/>
      <c r="H253" s="115"/>
      <c r="J253" s="33"/>
    </row>
    <row r="254" spans="1:20" s="34" customFormat="1" x14ac:dyDescent="0.35">
      <c r="A254" s="113" t="s">
        <v>398</v>
      </c>
      <c r="B254" s="114"/>
      <c r="C254" s="114"/>
      <c r="D254" s="114"/>
      <c r="E254" s="114"/>
      <c r="F254" s="114"/>
      <c r="G254" s="114"/>
      <c r="H254" s="115"/>
      <c r="J254" s="33"/>
    </row>
    <row r="255" spans="1:20" s="34" customFormat="1" ht="15.75" customHeight="1" x14ac:dyDescent="0.35">
      <c r="A255" s="110">
        <v>1</v>
      </c>
      <c r="B255" s="111"/>
      <c r="C255" s="39" t="s">
        <v>397</v>
      </c>
      <c r="D255" s="89">
        <f t="shared" ref="D255:D262" si="28">(29.96)*(10.764)</f>
        <v>322.48944</v>
      </c>
      <c r="E255" s="39">
        <v>0</v>
      </c>
      <c r="F255" s="39">
        <f t="shared" ref="F255:F262" si="29">D255+E255</f>
        <v>322.48944</v>
      </c>
      <c r="G255" s="39">
        <v>0</v>
      </c>
      <c r="H255" s="39">
        <f t="shared" ref="H255:H262" si="30">F255*(($H$232)+1)+(IF(G255&lt;101,G255,IF(G255&lt;201,G255/2,IF(G255&lt;=301,G255/3,G255/4))))</f>
        <v>467.60968800000001</v>
      </c>
      <c r="I255" s="86">
        <f>4.25*2.75+2.8*2.1+2.8*2.75+1.65*1.2+0.9*1.2</f>
        <v>28.327500000000001</v>
      </c>
      <c r="L255" s="112"/>
      <c r="M255" s="112"/>
      <c r="N255" s="33"/>
    </row>
    <row r="256" spans="1:20" s="34" customFormat="1" ht="15.75" customHeight="1" x14ac:dyDescent="0.35">
      <c r="A256" s="110">
        <v>2</v>
      </c>
      <c r="B256" s="111"/>
      <c r="C256" s="39" t="s">
        <v>397</v>
      </c>
      <c r="D256" s="89">
        <f t="shared" si="28"/>
        <v>322.48944</v>
      </c>
      <c r="E256" s="39">
        <v>0</v>
      </c>
      <c r="F256" s="39">
        <f t="shared" si="29"/>
        <v>322.48944</v>
      </c>
      <c r="G256" s="39">
        <v>0</v>
      </c>
      <c r="H256" s="39">
        <f t="shared" si="30"/>
        <v>467.60968800000001</v>
      </c>
      <c r="I256" s="33"/>
      <c r="L256" s="112"/>
      <c r="M256" s="112"/>
      <c r="N256" s="33"/>
    </row>
    <row r="257" spans="1:20" s="34" customFormat="1" ht="15.75" customHeight="1" x14ac:dyDescent="0.35">
      <c r="A257" s="110">
        <v>3</v>
      </c>
      <c r="B257" s="111"/>
      <c r="C257" s="39" t="s">
        <v>397</v>
      </c>
      <c r="D257" s="89">
        <f t="shared" si="28"/>
        <v>322.48944</v>
      </c>
      <c r="E257" s="39">
        <v>0</v>
      </c>
      <c r="F257" s="39">
        <f t="shared" si="29"/>
        <v>322.48944</v>
      </c>
      <c r="G257" s="39">
        <v>0</v>
      </c>
      <c r="H257" s="39">
        <f t="shared" si="30"/>
        <v>467.60968800000001</v>
      </c>
      <c r="I257" s="33"/>
      <c r="L257" s="112"/>
      <c r="M257" s="112"/>
      <c r="N257" s="33"/>
    </row>
    <row r="258" spans="1:20" s="34" customFormat="1" ht="15.75" customHeight="1" x14ac:dyDescent="0.35">
      <c r="A258" s="110">
        <v>4</v>
      </c>
      <c r="B258" s="111"/>
      <c r="C258" s="39" t="s">
        <v>397</v>
      </c>
      <c r="D258" s="89">
        <f t="shared" si="28"/>
        <v>322.48944</v>
      </c>
      <c r="E258" s="39">
        <v>0</v>
      </c>
      <c r="F258" s="39">
        <f t="shared" si="29"/>
        <v>322.48944</v>
      </c>
      <c r="G258" s="39">
        <v>0</v>
      </c>
      <c r="H258" s="39">
        <f t="shared" si="30"/>
        <v>467.60968800000001</v>
      </c>
      <c r="I258" s="33"/>
      <c r="L258" s="112"/>
      <c r="M258" s="112"/>
      <c r="N258" s="33"/>
      <c r="T258" s="18"/>
    </row>
    <row r="259" spans="1:20" s="34" customFormat="1" ht="15.75" customHeight="1" x14ac:dyDescent="0.35">
      <c r="A259" s="110">
        <v>5</v>
      </c>
      <c r="B259" s="111"/>
      <c r="C259" s="39" t="s">
        <v>397</v>
      </c>
      <c r="D259" s="89">
        <f t="shared" si="28"/>
        <v>322.48944</v>
      </c>
      <c r="E259" s="39">
        <v>0</v>
      </c>
      <c r="F259" s="39">
        <f t="shared" si="29"/>
        <v>322.48944</v>
      </c>
      <c r="G259" s="39">
        <v>0</v>
      </c>
      <c r="H259" s="39">
        <f t="shared" si="30"/>
        <v>467.60968800000001</v>
      </c>
      <c r="I259" s="33"/>
      <c r="L259" s="112"/>
      <c r="M259" s="112"/>
      <c r="N259" s="33"/>
    </row>
    <row r="260" spans="1:20" s="34" customFormat="1" ht="15.75" customHeight="1" x14ac:dyDescent="0.35">
      <c r="A260" s="110">
        <v>6</v>
      </c>
      <c r="B260" s="111"/>
      <c r="C260" s="39" t="s">
        <v>397</v>
      </c>
      <c r="D260" s="89">
        <f t="shared" si="28"/>
        <v>322.48944</v>
      </c>
      <c r="E260" s="39">
        <v>0</v>
      </c>
      <c r="F260" s="39">
        <f t="shared" si="29"/>
        <v>322.48944</v>
      </c>
      <c r="G260" s="39">
        <v>0</v>
      </c>
      <c r="H260" s="39">
        <f t="shared" si="30"/>
        <v>467.60968800000001</v>
      </c>
      <c r="I260" s="33"/>
      <c r="L260" s="112"/>
      <c r="M260" s="112"/>
      <c r="N260" s="33"/>
    </row>
    <row r="261" spans="1:20" s="34" customFormat="1" ht="15.75" customHeight="1" x14ac:dyDescent="0.35">
      <c r="A261" s="110">
        <v>7</v>
      </c>
      <c r="B261" s="111"/>
      <c r="C261" s="39" t="s">
        <v>397</v>
      </c>
      <c r="D261" s="89">
        <f t="shared" si="28"/>
        <v>322.48944</v>
      </c>
      <c r="E261" s="39">
        <v>0</v>
      </c>
      <c r="F261" s="39">
        <f t="shared" si="29"/>
        <v>322.48944</v>
      </c>
      <c r="G261" s="39">
        <v>0</v>
      </c>
      <c r="H261" s="39">
        <f t="shared" si="30"/>
        <v>467.60968800000001</v>
      </c>
      <c r="I261" s="33"/>
      <c r="L261" s="112"/>
      <c r="M261" s="112"/>
      <c r="N261" s="33"/>
    </row>
    <row r="262" spans="1:20" s="34" customFormat="1" ht="15.75" customHeight="1" x14ac:dyDescent="0.35">
      <c r="A262" s="110">
        <v>8</v>
      </c>
      <c r="B262" s="111"/>
      <c r="C262" s="39" t="s">
        <v>397</v>
      </c>
      <c r="D262" s="89">
        <f t="shared" si="28"/>
        <v>322.48944</v>
      </c>
      <c r="E262" s="39">
        <v>0</v>
      </c>
      <c r="F262" s="39">
        <f t="shared" si="29"/>
        <v>322.48944</v>
      </c>
      <c r="G262" s="39">
        <v>0</v>
      </c>
      <c r="H262" s="39">
        <f t="shared" si="30"/>
        <v>467.60968800000001</v>
      </c>
      <c r="I262" s="33"/>
      <c r="L262" s="112"/>
      <c r="M262" s="112"/>
      <c r="N262" s="33"/>
      <c r="T262" s="18"/>
    </row>
    <row r="263" spans="1:20" s="34" customFormat="1" x14ac:dyDescent="0.35">
      <c r="A263" s="113" t="s">
        <v>399</v>
      </c>
      <c r="B263" s="114"/>
      <c r="C263" s="114"/>
      <c r="D263" s="114"/>
      <c r="E263" s="114"/>
      <c r="F263" s="114"/>
      <c r="G263" s="114"/>
      <c r="H263" s="115"/>
      <c r="I263" s="87">
        <v>7</v>
      </c>
      <c r="J263" s="33"/>
    </row>
    <row r="264" spans="1:20" s="34" customFormat="1" ht="15.75" customHeight="1" x14ac:dyDescent="0.35">
      <c r="A264" s="110">
        <v>1</v>
      </c>
      <c r="B264" s="111"/>
      <c r="C264" s="39" t="s">
        <v>397</v>
      </c>
      <c r="D264" s="89">
        <f t="shared" ref="D264:D271" si="31">(29.96)*(10.764)</f>
        <v>322.48944</v>
      </c>
      <c r="E264" s="39">
        <v>0</v>
      </c>
      <c r="F264" s="39">
        <f t="shared" ref="F264:F271" si="32">D264+E264</f>
        <v>322.48944</v>
      </c>
      <c r="G264" s="39">
        <v>0</v>
      </c>
      <c r="H264" s="39">
        <f t="shared" ref="H264:H271" si="33">F264*(($H$232)+1)+(IF(G264&lt;101,G264,IF(G264&lt;201,G264/2,IF(G264&lt;=301,G264/3,G264/4))))</f>
        <v>467.60968800000001</v>
      </c>
      <c r="I264" s="86">
        <f>4.25*2.75+2.8*2.1+2.8*2.75+1.65*1.2+0.9*1.2</f>
        <v>28.327500000000001</v>
      </c>
      <c r="L264" s="112"/>
      <c r="M264" s="112"/>
      <c r="N264" s="33"/>
    </row>
    <row r="265" spans="1:20" s="34" customFormat="1" ht="15.75" customHeight="1" x14ac:dyDescent="0.35">
      <c r="A265" s="110">
        <v>2</v>
      </c>
      <c r="B265" s="111"/>
      <c r="C265" s="39" t="s">
        <v>397</v>
      </c>
      <c r="D265" s="89">
        <f t="shared" si="31"/>
        <v>322.48944</v>
      </c>
      <c r="E265" s="39">
        <v>0</v>
      </c>
      <c r="F265" s="39">
        <f t="shared" si="32"/>
        <v>322.48944</v>
      </c>
      <c r="G265" s="39">
        <v>0</v>
      </c>
      <c r="H265" s="39">
        <f t="shared" si="33"/>
        <v>467.60968800000001</v>
      </c>
      <c r="I265" s="33"/>
      <c r="L265" s="112"/>
      <c r="M265" s="112"/>
      <c r="N265" s="33"/>
    </row>
    <row r="266" spans="1:20" s="34" customFormat="1" ht="15.75" customHeight="1" x14ac:dyDescent="0.35">
      <c r="A266" s="110">
        <v>3</v>
      </c>
      <c r="B266" s="111"/>
      <c r="C266" s="39" t="s">
        <v>397</v>
      </c>
      <c r="D266" s="89">
        <f t="shared" si="31"/>
        <v>322.48944</v>
      </c>
      <c r="E266" s="39">
        <v>0</v>
      </c>
      <c r="F266" s="39">
        <f t="shared" si="32"/>
        <v>322.48944</v>
      </c>
      <c r="G266" s="39">
        <v>0</v>
      </c>
      <c r="H266" s="39">
        <f t="shared" si="33"/>
        <v>467.60968800000001</v>
      </c>
      <c r="I266" s="33"/>
      <c r="J266" s="89">
        <f>10.764</f>
        <v>10.763999999999999</v>
      </c>
      <c r="L266" s="112"/>
      <c r="M266" s="112"/>
      <c r="N266" s="33"/>
    </row>
    <row r="267" spans="1:20" s="34" customFormat="1" ht="15.75" customHeight="1" x14ac:dyDescent="0.35">
      <c r="A267" s="110">
        <v>4</v>
      </c>
      <c r="B267" s="111"/>
      <c r="C267" s="39" t="s">
        <v>397</v>
      </c>
      <c r="D267" s="89">
        <f t="shared" si="31"/>
        <v>322.48944</v>
      </c>
      <c r="E267" s="39">
        <v>0</v>
      </c>
      <c r="F267" s="39">
        <f t="shared" si="32"/>
        <v>322.48944</v>
      </c>
      <c r="G267" s="39">
        <v>0</v>
      </c>
      <c r="H267" s="39">
        <f t="shared" si="33"/>
        <v>467.60968800000001</v>
      </c>
      <c r="I267" s="33"/>
      <c r="L267" s="112"/>
      <c r="M267" s="112"/>
      <c r="N267" s="33"/>
      <c r="T267" s="18"/>
    </row>
    <row r="268" spans="1:20" s="34" customFormat="1" ht="15.75" customHeight="1" x14ac:dyDescent="0.35">
      <c r="A268" s="110">
        <v>5</v>
      </c>
      <c r="B268" s="111"/>
      <c r="C268" s="39" t="s">
        <v>397</v>
      </c>
      <c r="D268" s="89">
        <f t="shared" si="31"/>
        <v>322.48944</v>
      </c>
      <c r="E268" s="39">
        <v>0</v>
      </c>
      <c r="F268" s="39">
        <f t="shared" si="32"/>
        <v>322.48944</v>
      </c>
      <c r="G268" s="39">
        <v>0</v>
      </c>
      <c r="H268" s="39">
        <f t="shared" si="33"/>
        <v>467.60968800000001</v>
      </c>
      <c r="I268" s="33"/>
      <c r="L268" s="112"/>
      <c r="M268" s="112"/>
      <c r="N268" s="33"/>
    </row>
    <row r="269" spans="1:20" s="34" customFormat="1" ht="15.75" customHeight="1" x14ac:dyDescent="0.35">
      <c r="A269" s="110">
        <v>6</v>
      </c>
      <c r="B269" s="111"/>
      <c r="C269" s="39" t="s">
        <v>397</v>
      </c>
      <c r="D269" s="89">
        <f t="shared" si="31"/>
        <v>322.48944</v>
      </c>
      <c r="E269" s="39">
        <v>0</v>
      </c>
      <c r="F269" s="39">
        <f t="shared" si="32"/>
        <v>322.48944</v>
      </c>
      <c r="G269" s="39">
        <v>0</v>
      </c>
      <c r="H269" s="39">
        <f t="shared" si="33"/>
        <v>467.60968800000001</v>
      </c>
      <c r="I269" s="33"/>
      <c r="L269" s="112"/>
      <c r="M269" s="112"/>
      <c r="N269" s="33"/>
    </row>
    <row r="270" spans="1:20" s="34" customFormat="1" ht="15.75" customHeight="1" x14ac:dyDescent="0.35">
      <c r="A270" s="110">
        <v>7</v>
      </c>
      <c r="B270" s="111"/>
      <c r="C270" s="39" t="s">
        <v>397</v>
      </c>
      <c r="D270" s="89">
        <f t="shared" si="31"/>
        <v>322.48944</v>
      </c>
      <c r="E270" s="39">
        <v>0</v>
      </c>
      <c r="F270" s="39">
        <f t="shared" si="32"/>
        <v>322.48944</v>
      </c>
      <c r="G270" s="39">
        <v>0</v>
      </c>
      <c r="H270" s="39">
        <f t="shared" si="33"/>
        <v>467.60968800000001</v>
      </c>
      <c r="I270" s="33"/>
      <c r="L270" s="112"/>
      <c r="M270" s="112"/>
      <c r="N270" s="33"/>
    </row>
    <row r="271" spans="1:20" s="34" customFormat="1" ht="15.75" customHeight="1" x14ac:dyDescent="0.35">
      <c r="A271" s="110">
        <v>8</v>
      </c>
      <c r="B271" s="111"/>
      <c r="C271" s="39" t="s">
        <v>397</v>
      </c>
      <c r="D271" s="89">
        <f t="shared" si="31"/>
        <v>322.48944</v>
      </c>
      <c r="E271" s="39">
        <v>0</v>
      </c>
      <c r="F271" s="39">
        <f t="shared" si="32"/>
        <v>322.48944</v>
      </c>
      <c r="G271" s="39">
        <v>0</v>
      </c>
      <c r="H271" s="39">
        <f t="shared" si="33"/>
        <v>467.60968800000001</v>
      </c>
      <c r="I271" s="33"/>
      <c r="L271" s="112"/>
      <c r="M271" s="112"/>
      <c r="N271" s="33"/>
      <c r="T271" s="18"/>
    </row>
    <row r="272" spans="1:20" s="34" customFormat="1" x14ac:dyDescent="0.35">
      <c r="A272" s="113" t="s">
        <v>408</v>
      </c>
      <c r="B272" s="114"/>
      <c r="C272" s="114"/>
      <c r="D272" s="114"/>
      <c r="E272" s="114"/>
      <c r="F272" s="114"/>
      <c r="G272" s="114"/>
      <c r="H272" s="115"/>
      <c r="J272" s="33"/>
    </row>
    <row r="273" spans="1:20" s="34" customFormat="1" x14ac:dyDescent="0.35">
      <c r="A273" s="113" t="s">
        <v>398</v>
      </c>
      <c r="B273" s="114"/>
      <c r="C273" s="114"/>
      <c r="D273" s="114"/>
      <c r="E273" s="114"/>
      <c r="F273" s="114"/>
      <c r="G273" s="114"/>
      <c r="H273" s="115"/>
      <c r="J273" s="33"/>
    </row>
    <row r="274" spans="1:20" s="34" customFormat="1" ht="15.75" customHeight="1" x14ac:dyDescent="0.35">
      <c r="A274" s="110">
        <v>1</v>
      </c>
      <c r="B274" s="111"/>
      <c r="C274" s="39" t="s">
        <v>397</v>
      </c>
      <c r="D274" s="89">
        <f t="shared" ref="D274:D281" si="34">(29.96)*(10.764)</f>
        <v>322.48944</v>
      </c>
      <c r="E274" s="39">
        <v>0</v>
      </c>
      <c r="F274" s="39">
        <f t="shared" ref="F274:F281" si="35">D274+E274</f>
        <v>322.48944</v>
      </c>
      <c r="G274" s="39">
        <v>0</v>
      </c>
      <c r="H274" s="39">
        <f t="shared" ref="H274:H281" si="36">F274*(($H$232)+1)+(IF(G274&lt;101,G274,IF(G274&lt;201,G274/2,IF(G274&lt;=301,G274/3,G274/4))))</f>
        <v>467.60968800000001</v>
      </c>
      <c r="I274" s="86">
        <f>4.25*2.75+2.8*2.1+2.8*2.75+1.65*1.2+0.9*1.2</f>
        <v>28.327500000000001</v>
      </c>
      <c r="L274" s="112"/>
      <c r="M274" s="112"/>
      <c r="N274" s="33"/>
    </row>
    <row r="275" spans="1:20" s="34" customFormat="1" ht="15.75" customHeight="1" x14ac:dyDescent="0.35">
      <c r="A275" s="110">
        <v>2</v>
      </c>
      <c r="B275" s="111"/>
      <c r="C275" s="39" t="s">
        <v>397</v>
      </c>
      <c r="D275" s="89">
        <f t="shared" si="34"/>
        <v>322.48944</v>
      </c>
      <c r="E275" s="39">
        <v>0</v>
      </c>
      <c r="F275" s="39">
        <f t="shared" si="35"/>
        <v>322.48944</v>
      </c>
      <c r="G275" s="39">
        <v>0</v>
      </c>
      <c r="H275" s="39">
        <f t="shared" si="36"/>
        <v>467.60968800000001</v>
      </c>
      <c r="I275" s="33"/>
      <c r="L275" s="112"/>
      <c r="M275" s="112"/>
      <c r="N275" s="33"/>
    </row>
    <row r="276" spans="1:20" s="34" customFormat="1" ht="15.75" customHeight="1" x14ac:dyDescent="0.35">
      <c r="A276" s="110">
        <v>3</v>
      </c>
      <c r="B276" s="111"/>
      <c r="C276" s="39" t="s">
        <v>397</v>
      </c>
      <c r="D276" s="89">
        <f t="shared" si="34"/>
        <v>322.48944</v>
      </c>
      <c r="E276" s="39">
        <v>0</v>
      </c>
      <c r="F276" s="39">
        <f t="shared" si="35"/>
        <v>322.48944</v>
      </c>
      <c r="G276" s="39">
        <v>0</v>
      </c>
      <c r="H276" s="39">
        <f t="shared" si="36"/>
        <v>467.60968800000001</v>
      </c>
      <c r="I276" s="33"/>
      <c r="L276" s="112"/>
      <c r="M276" s="112"/>
      <c r="N276" s="33"/>
    </row>
    <row r="277" spans="1:20" s="34" customFormat="1" ht="15.75" customHeight="1" x14ac:dyDescent="0.35">
      <c r="A277" s="110">
        <v>4</v>
      </c>
      <c r="B277" s="111"/>
      <c r="C277" s="39" t="s">
        <v>397</v>
      </c>
      <c r="D277" s="89">
        <f t="shared" si="34"/>
        <v>322.48944</v>
      </c>
      <c r="E277" s="39">
        <v>0</v>
      </c>
      <c r="F277" s="39">
        <f t="shared" si="35"/>
        <v>322.48944</v>
      </c>
      <c r="G277" s="39">
        <v>0</v>
      </c>
      <c r="H277" s="39">
        <f t="shared" si="36"/>
        <v>467.60968800000001</v>
      </c>
      <c r="I277" s="33"/>
      <c r="L277" s="112"/>
      <c r="M277" s="112"/>
      <c r="N277" s="33"/>
      <c r="T277" s="18"/>
    </row>
    <row r="278" spans="1:20" s="34" customFormat="1" ht="15.75" customHeight="1" x14ac:dyDescent="0.35">
      <c r="A278" s="110">
        <v>5</v>
      </c>
      <c r="B278" s="111"/>
      <c r="C278" s="39" t="s">
        <v>397</v>
      </c>
      <c r="D278" s="89">
        <f t="shared" si="34"/>
        <v>322.48944</v>
      </c>
      <c r="E278" s="39">
        <v>0</v>
      </c>
      <c r="F278" s="39">
        <f t="shared" si="35"/>
        <v>322.48944</v>
      </c>
      <c r="G278" s="39">
        <v>0</v>
      </c>
      <c r="H278" s="39">
        <f t="shared" si="36"/>
        <v>467.60968800000001</v>
      </c>
      <c r="I278" s="33"/>
      <c r="L278" s="112"/>
      <c r="M278" s="112"/>
      <c r="N278" s="33"/>
    </row>
    <row r="279" spans="1:20" s="34" customFormat="1" ht="15.75" customHeight="1" x14ac:dyDescent="0.35">
      <c r="A279" s="110">
        <v>6</v>
      </c>
      <c r="B279" s="111"/>
      <c r="C279" s="39" t="s">
        <v>397</v>
      </c>
      <c r="D279" s="89">
        <f t="shared" si="34"/>
        <v>322.48944</v>
      </c>
      <c r="E279" s="39">
        <v>0</v>
      </c>
      <c r="F279" s="39">
        <f t="shared" si="35"/>
        <v>322.48944</v>
      </c>
      <c r="G279" s="39">
        <v>0</v>
      </c>
      <c r="H279" s="39">
        <f t="shared" si="36"/>
        <v>467.60968800000001</v>
      </c>
      <c r="I279" s="33"/>
      <c r="L279" s="112"/>
      <c r="M279" s="112"/>
      <c r="N279" s="33"/>
    </row>
    <row r="280" spans="1:20" s="34" customFormat="1" ht="15.75" customHeight="1" x14ac:dyDescent="0.35">
      <c r="A280" s="110">
        <v>7</v>
      </c>
      <c r="B280" s="111"/>
      <c r="C280" s="39" t="s">
        <v>397</v>
      </c>
      <c r="D280" s="89">
        <f t="shared" si="34"/>
        <v>322.48944</v>
      </c>
      <c r="E280" s="39">
        <v>0</v>
      </c>
      <c r="F280" s="39">
        <f t="shared" si="35"/>
        <v>322.48944</v>
      </c>
      <c r="G280" s="39">
        <v>0</v>
      </c>
      <c r="H280" s="39">
        <f t="shared" si="36"/>
        <v>467.60968800000001</v>
      </c>
      <c r="I280" s="33"/>
      <c r="L280" s="112"/>
      <c r="M280" s="112"/>
      <c r="N280" s="33"/>
    </row>
    <row r="281" spans="1:20" s="34" customFormat="1" ht="15.75" customHeight="1" x14ac:dyDescent="0.35">
      <c r="A281" s="110">
        <v>8</v>
      </c>
      <c r="B281" s="111"/>
      <c r="C281" s="39" t="s">
        <v>397</v>
      </c>
      <c r="D281" s="89">
        <f t="shared" si="34"/>
        <v>322.48944</v>
      </c>
      <c r="E281" s="39">
        <v>0</v>
      </c>
      <c r="F281" s="39">
        <f t="shared" si="35"/>
        <v>322.48944</v>
      </c>
      <c r="G281" s="39">
        <v>0</v>
      </c>
      <c r="H281" s="39">
        <f t="shared" si="36"/>
        <v>467.60968800000001</v>
      </c>
      <c r="I281" s="33"/>
      <c r="L281" s="112"/>
      <c r="M281" s="112"/>
      <c r="N281" s="33"/>
      <c r="T281" s="18"/>
    </row>
    <row r="282" spans="1:20" s="34" customFormat="1" x14ac:dyDescent="0.35">
      <c r="A282" s="113" t="s">
        <v>399</v>
      </c>
      <c r="B282" s="114"/>
      <c r="C282" s="114"/>
      <c r="D282" s="114"/>
      <c r="E282" s="114"/>
      <c r="F282" s="114"/>
      <c r="G282" s="114"/>
      <c r="H282" s="115"/>
      <c r="I282" s="87">
        <v>7</v>
      </c>
      <c r="J282" s="33"/>
    </row>
    <row r="283" spans="1:20" s="34" customFormat="1" ht="15.75" customHeight="1" x14ac:dyDescent="0.35">
      <c r="A283" s="110">
        <v>1</v>
      </c>
      <c r="B283" s="111"/>
      <c r="C283" s="39" t="s">
        <v>397</v>
      </c>
      <c r="D283" s="89">
        <f t="shared" ref="D283:D290" si="37">(29.96)*(10.764)</f>
        <v>322.48944</v>
      </c>
      <c r="E283" s="39">
        <v>0</v>
      </c>
      <c r="F283" s="39">
        <f t="shared" ref="F283:F290" si="38">D283+E283</f>
        <v>322.48944</v>
      </c>
      <c r="G283" s="39">
        <v>0</v>
      </c>
      <c r="H283" s="39">
        <f t="shared" ref="H283:H290" si="39">F283*(($H$232)+1)+(IF(G283&lt;101,G283,IF(G283&lt;201,G283/2,IF(G283&lt;=301,G283/3,G283/4))))</f>
        <v>467.60968800000001</v>
      </c>
      <c r="I283" s="86">
        <f>4.25*2.75+2.8*2.1+2.8*2.75+1.65*1.2+0.9*1.2</f>
        <v>28.327500000000001</v>
      </c>
      <c r="L283" s="112"/>
      <c r="M283" s="112"/>
      <c r="N283" s="33"/>
    </row>
    <row r="284" spans="1:20" s="34" customFormat="1" ht="15.75" customHeight="1" x14ac:dyDescent="0.35">
      <c r="A284" s="110">
        <v>2</v>
      </c>
      <c r="B284" s="111"/>
      <c r="C284" s="39" t="s">
        <v>397</v>
      </c>
      <c r="D284" s="89">
        <f t="shared" si="37"/>
        <v>322.48944</v>
      </c>
      <c r="E284" s="39">
        <v>0</v>
      </c>
      <c r="F284" s="39">
        <f t="shared" si="38"/>
        <v>322.48944</v>
      </c>
      <c r="G284" s="39">
        <v>0</v>
      </c>
      <c r="H284" s="39">
        <f t="shared" si="39"/>
        <v>467.60968800000001</v>
      </c>
      <c r="I284" s="33"/>
      <c r="L284" s="112"/>
      <c r="M284" s="112"/>
      <c r="N284" s="33"/>
    </row>
    <row r="285" spans="1:20" s="34" customFormat="1" ht="15.75" customHeight="1" x14ac:dyDescent="0.35">
      <c r="A285" s="110">
        <v>3</v>
      </c>
      <c r="B285" s="111"/>
      <c r="C285" s="39" t="s">
        <v>397</v>
      </c>
      <c r="D285" s="89">
        <f t="shared" si="37"/>
        <v>322.48944</v>
      </c>
      <c r="E285" s="39">
        <v>0</v>
      </c>
      <c r="F285" s="39">
        <f t="shared" si="38"/>
        <v>322.48944</v>
      </c>
      <c r="G285" s="39">
        <v>0</v>
      </c>
      <c r="H285" s="39">
        <f t="shared" si="39"/>
        <v>467.60968800000001</v>
      </c>
      <c r="I285" s="33"/>
      <c r="J285" s="89">
        <f>10.764</f>
        <v>10.763999999999999</v>
      </c>
      <c r="L285" s="112"/>
      <c r="M285" s="112"/>
      <c r="N285" s="33"/>
    </row>
    <row r="286" spans="1:20" s="34" customFormat="1" ht="15.75" customHeight="1" x14ac:dyDescent="0.35">
      <c r="A286" s="110">
        <v>4</v>
      </c>
      <c r="B286" s="111"/>
      <c r="C286" s="39" t="s">
        <v>397</v>
      </c>
      <c r="D286" s="89">
        <f t="shared" si="37"/>
        <v>322.48944</v>
      </c>
      <c r="E286" s="39">
        <v>0</v>
      </c>
      <c r="F286" s="39">
        <f t="shared" si="38"/>
        <v>322.48944</v>
      </c>
      <c r="G286" s="39">
        <v>0</v>
      </c>
      <c r="H286" s="39">
        <f t="shared" si="39"/>
        <v>467.60968800000001</v>
      </c>
      <c r="I286" s="33"/>
      <c r="L286" s="112"/>
      <c r="M286" s="112"/>
      <c r="N286" s="33"/>
      <c r="T286" s="18"/>
    </row>
    <row r="287" spans="1:20" s="34" customFormat="1" ht="15.75" customHeight="1" x14ac:dyDescent="0.35">
      <c r="A287" s="110">
        <v>5</v>
      </c>
      <c r="B287" s="111"/>
      <c r="C287" s="39" t="s">
        <v>397</v>
      </c>
      <c r="D287" s="89">
        <f t="shared" si="37"/>
        <v>322.48944</v>
      </c>
      <c r="E287" s="39">
        <v>0</v>
      </c>
      <c r="F287" s="39">
        <f t="shared" si="38"/>
        <v>322.48944</v>
      </c>
      <c r="G287" s="39">
        <v>0</v>
      </c>
      <c r="H287" s="39">
        <f t="shared" si="39"/>
        <v>467.60968800000001</v>
      </c>
      <c r="I287" s="33"/>
      <c r="L287" s="112"/>
      <c r="M287" s="112"/>
      <c r="N287" s="33"/>
    </row>
    <row r="288" spans="1:20" s="34" customFormat="1" ht="15.75" customHeight="1" x14ac:dyDescent="0.35">
      <c r="A288" s="110">
        <v>6</v>
      </c>
      <c r="B288" s="111"/>
      <c r="C288" s="39" t="s">
        <v>397</v>
      </c>
      <c r="D288" s="89">
        <f t="shared" si="37"/>
        <v>322.48944</v>
      </c>
      <c r="E288" s="39">
        <v>0</v>
      </c>
      <c r="F288" s="39">
        <f t="shared" si="38"/>
        <v>322.48944</v>
      </c>
      <c r="G288" s="39">
        <v>0</v>
      </c>
      <c r="H288" s="39">
        <f t="shared" si="39"/>
        <v>467.60968800000001</v>
      </c>
      <c r="I288" s="33"/>
      <c r="L288" s="112"/>
      <c r="M288" s="112"/>
      <c r="N288" s="33"/>
    </row>
    <row r="289" spans="1:20" s="34" customFormat="1" ht="15.75" customHeight="1" x14ac:dyDescent="0.35">
      <c r="A289" s="110">
        <v>7</v>
      </c>
      <c r="B289" s="111"/>
      <c r="C289" s="39" t="s">
        <v>397</v>
      </c>
      <c r="D289" s="89">
        <f t="shared" si="37"/>
        <v>322.48944</v>
      </c>
      <c r="E289" s="39">
        <v>0</v>
      </c>
      <c r="F289" s="39">
        <f t="shared" si="38"/>
        <v>322.48944</v>
      </c>
      <c r="G289" s="39">
        <v>0</v>
      </c>
      <c r="H289" s="39">
        <f t="shared" si="39"/>
        <v>467.60968800000001</v>
      </c>
      <c r="I289" s="33"/>
      <c r="L289" s="112"/>
      <c r="M289" s="112"/>
      <c r="N289" s="33"/>
    </row>
    <row r="290" spans="1:20" s="34" customFormat="1" ht="15.75" customHeight="1" x14ac:dyDescent="0.35">
      <c r="A290" s="110">
        <v>8</v>
      </c>
      <c r="B290" s="111"/>
      <c r="C290" s="39" t="s">
        <v>397</v>
      </c>
      <c r="D290" s="89">
        <f t="shared" si="37"/>
        <v>322.48944</v>
      </c>
      <c r="E290" s="39">
        <v>0</v>
      </c>
      <c r="F290" s="39">
        <f t="shared" si="38"/>
        <v>322.48944</v>
      </c>
      <c r="G290" s="39">
        <v>0</v>
      </c>
      <c r="H290" s="39">
        <f t="shared" si="39"/>
        <v>467.60968800000001</v>
      </c>
      <c r="I290" s="33"/>
      <c r="L290" s="112"/>
      <c r="M290" s="112"/>
      <c r="N290" s="33"/>
      <c r="T290" s="18"/>
    </row>
    <row r="291" spans="1:20" s="34" customFormat="1" x14ac:dyDescent="0.35">
      <c r="A291" s="113" t="s">
        <v>409</v>
      </c>
      <c r="B291" s="114"/>
      <c r="C291" s="114"/>
      <c r="D291" s="114"/>
      <c r="E291" s="114"/>
      <c r="F291" s="114"/>
      <c r="G291" s="114"/>
      <c r="H291" s="115"/>
      <c r="J291" s="33"/>
    </row>
    <row r="292" spans="1:20" s="34" customFormat="1" x14ac:dyDescent="0.35">
      <c r="A292" s="113" t="s">
        <v>398</v>
      </c>
      <c r="B292" s="114"/>
      <c r="C292" s="114"/>
      <c r="D292" s="114"/>
      <c r="E292" s="114"/>
      <c r="F292" s="114"/>
      <c r="G292" s="114"/>
      <c r="H292" s="115"/>
      <c r="J292" s="33"/>
    </row>
    <row r="293" spans="1:20" s="34" customFormat="1" ht="15.75" customHeight="1" x14ac:dyDescent="0.35">
      <c r="A293" s="110">
        <v>1</v>
      </c>
      <c r="B293" s="111"/>
      <c r="C293" s="39" t="s">
        <v>397</v>
      </c>
      <c r="D293" s="89">
        <f t="shared" ref="D293:D300" si="40">(29.96)*(10.764)</f>
        <v>322.48944</v>
      </c>
      <c r="E293" s="39">
        <v>0</v>
      </c>
      <c r="F293" s="39">
        <f t="shared" ref="F293:F300" si="41">D293+E293</f>
        <v>322.48944</v>
      </c>
      <c r="G293" s="39">
        <v>0</v>
      </c>
      <c r="H293" s="39">
        <f t="shared" ref="H293:H300" si="42">F293*(($H$232)+1)+(IF(G293&lt;101,G293,IF(G293&lt;201,G293/2,IF(G293&lt;=301,G293/3,G293/4))))</f>
        <v>467.60968800000001</v>
      </c>
      <c r="I293" s="86">
        <f>4.25*2.75+2.8*2.1+2.8*2.75+1.65*1.2+0.9*1.2</f>
        <v>28.327500000000001</v>
      </c>
      <c r="L293" s="112"/>
      <c r="M293" s="112"/>
      <c r="N293" s="33"/>
    </row>
    <row r="294" spans="1:20" s="34" customFormat="1" ht="15.75" customHeight="1" x14ac:dyDescent="0.35">
      <c r="A294" s="110">
        <v>2</v>
      </c>
      <c r="B294" s="111"/>
      <c r="C294" s="39" t="s">
        <v>397</v>
      </c>
      <c r="D294" s="89">
        <f t="shared" si="40"/>
        <v>322.48944</v>
      </c>
      <c r="E294" s="39">
        <v>0</v>
      </c>
      <c r="F294" s="39">
        <f t="shared" si="41"/>
        <v>322.48944</v>
      </c>
      <c r="G294" s="39">
        <v>0</v>
      </c>
      <c r="H294" s="39">
        <f t="shared" si="42"/>
        <v>467.60968800000001</v>
      </c>
      <c r="I294" s="33"/>
      <c r="L294" s="112"/>
      <c r="M294" s="112"/>
      <c r="N294" s="33"/>
    </row>
    <row r="295" spans="1:20" s="34" customFormat="1" ht="15.75" customHeight="1" x14ac:dyDescent="0.35">
      <c r="A295" s="110">
        <v>3</v>
      </c>
      <c r="B295" s="111"/>
      <c r="C295" s="39" t="s">
        <v>397</v>
      </c>
      <c r="D295" s="89">
        <f t="shared" si="40"/>
        <v>322.48944</v>
      </c>
      <c r="E295" s="39">
        <v>0</v>
      </c>
      <c r="F295" s="39">
        <f t="shared" si="41"/>
        <v>322.48944</v>
      </c>
      <c r="G295" s="39">
        <v>0</v>
      </c>
      <c r="H295" s="39">
        <f t="shared" si="42"/>
        <v>467.60968800000001</v>
      </c>
      <c r="I295" s="33"/>
      <c r="L295" s="112"/>
      <c r="M295" s="112"/>
      <c r="N295" s="33"/>
    </row>
    <row r="296" spans="1:20" s="34" customFormat="1" ht="15.75" customHeight="1" x14ac:dyDescent="0.35">
      <c r="A296" s="110">
        <v>4</v>
      </c>
      <c r="B296" s="111"/>
      <c r="C296" s="39" t="s">
        <v>397</v>
      </c>
      <c r="D296" s="89">
        <f t="shared" si="40"/>
        <v>322.48944</v>
      </c>
      <c r="E296" s="39">
        <v>0</v>
      </c>
      <c r="F296" s="39">
        <f t="shared" si="41"/>
        <v>322.48944</v>
      </c>
      <c r="G296" s="39">
        <v>0</v>
      </c>
      <c r="H296" s="39">
        <f t="shared" si="42"/>
        <v>467.60968800000001</v>
      </c>
      <c r="I296" s="33"/>
      <c r="L296" s="112"/>
      <c r="M296" s="112"/>
      <c r="N296" s="33"/>
      <c r="T296" s="18"/>
    </row>
    <row r="297" spans="1:20" s="34" customFormat="1" ht="15.75" customHeight="1" x14ac:dyDescent="0.35">
      <c r="A297" s="110">
        <v>5</v>
      </c>
      <c r="B297" s="111"/>
      <c r="C297" s="39" t="s">
        <v>397</v>
      </c>
      <c r="D297" s="89">
        <f t="shared" si="40"/>
        <v>322.48944</v>
      </c>
      <c r="E297" s="39">
        <v>0</v>
      </c>
      <c r="F297" s="39">
        <f t="shared" si="41"/>
        <v>322.48944</v>
      </c>
      <c r="G297" s="39">
        <v>0</v>
      </c>
      <c r="H297" s="39">
        <f t="shared" si="42"/>
        <v>467.60968800000001</v>
      </c>
      <c r="I297" s="33"/>
      <c r="L297" s="112"/>
      <c r="M297" s="112"/>
      <c r="N297" s="33"/>
    </row>
    <row r="298" spans="1:20" s="34" customFormat="1" ht="15.75" customHeight="1" x14ac:dyDescent="0.35">
      <c r="A298" s="110">
        <v>6</v>
      </c>
      <c r="B298" s="111"/>
      <c r="C298" s="39" t="s">
        <v>397</v>
      </c>
      <c r="D298" s="89">
        <f t="shared" si="40"/>
        <v>322.48944</v>
      </c>
      <c r="E298" s="39">
        <v>0</v>
      </c>
      <c r="F298" s="39">
        <f t="shared" si="41"/>
        <v>322.48944</v>
      </c>
      <c r="G298" s="39">
        <v>0</v>
      </c>
      <c r="H298" s="39">
        <f t="shared" si="42"/>
        <v>467.60968800000001</v>
      </c>
      <c r="I298" s="33"/>
      <c r="L298" s="112"/>
      <c r="M298" s="112"/>
      <c r="N298" s="33"/>
    </row>
    <row r="299" spans="1:20" s="34" customFormat="1" ht="15.75" customHeight="1" x14ac:dyDescent="0.35">
      <c r="A299" s="110">
        <v>7</v>
      </c>
      <c r="B299" s="111"/>
      <c r="C299" s="39" t="s">
        <v>397</v>
      </c>
      <c r="D299" s="89">
        <f t="shared" si="40"/>
        <v>322.48944</v>
      </c>
      <c r="E299" s="39">
        <v>0</v>
      </c>
      <c r="F299" s="39">
        <f t="shared" si="41"/>
        <v>322.48944</v>
      </c>
      <c r="G299" s="39">
        <v>0</v>
      </c>
      <c r="H299" s="39">
        <f t="shared" si="42"/>
        <v>467.60968800000001</v>
      </c>
      <c r="I299" s="33"/>
      <c r="L299" s="112"/>
      <c r="M299" s="112"/>
      <c r="N299" s="33"/>
    </row>
    <row r="300" spans="1:20" s="34" customFormat="1" ht="15.75" customHeight="1" x14ac:dyDescent="0.35">
      <c r="A300" s="110">
        <v>8</v>
      </c>
      <c r="B300" s="111"/>
      <c r="C300" s="39" t="s">
        <v>397</v>
      </c>
      <c r="D300" s="89">
        <f t="shared" si="40"/>
        <v>322.48944</v>
      </c>
      <c r="E300" s="39">
        <v>0</v>
      </c>
      <c r="F300" s="39">
        <f t="shared" si="41"/>
        <v>322.48944</v>
      </c>
      <c r="G300" s="39">
        <v>0</v>
      </c>
      <c r="H300" s="39">
        <f t="shared" si="42"/>
        <v>467.60968800000001</v>
      </c>
      <c r="I300" s="33"/>
      <c r="L300" s="112"/>
      <c r="M300" s="112"/>
      <c r="N300" s="33"/>
      <c r="T300" s="18"/>
    </row>
    <row r="301" spans="1:20" s="34" customFormat="1" x14ac:dyDescent="0.35">
      <c r="A301" s="113" t="s">
        <v>399</v>
      </c>
      <c r="B301" s="114"/>
      <c r="C301" s="114"/>
      <c r="D301" s="114"/>
      <c r="E301" s="114"/>
      <c r="F301" s="114"/>
      <c r="G301" s="114"/>
      <c r="H301" s="115"/>
      <c r="I301" s="87">
        <v>7</v>
      </c>
      <c r="J301" s="33"/>
    </row>
    <row r="302" spans="1:20" s="34" customFormat="1" ht="15.75" customHeight="1" x14ac:dyDescent="0.35">
      <c r="A302" s="110">
        <v>1</v>
      </c>
      <c r="B302" s="111"/>
      <c r="C302" s="39" t="s">
        <v>397</v>
      </c>
      <c r="D302" s="89">
        <f t="shared" ref="D302:D309" si="43">(29.96)*(10.764)</f>
        <v>322.48944</v>
      </c>
      <c r="E302" s="39">
        <v>0</v>
      </c>
      <c r="F302" s="39">
        <f t="shared" ref="F302:F309" si="44">D302+E302</f>
        <v>322.48944</v>
      </c>
      <c r="G302" s="39">
        <v>0</v>
      </c>
      <c r="H302" s="39">
        <f t="shared" ref="H302:H309" si="45">F302*(($H$232)+1)+(IF(G302&lt;101,G302,IF(G302&lt;201,G302/2,IF(G302&lt;=301,G302/3,G302/4))))</f>
        <v>467.60968800000001</v>
      </c>
      <c r="I302" s="86">
        <f>4.25*2.75+2.8*2.1+2.8*2.75+1.65*1.2+0.9*1.2</f>
        <v>28.327500000000001</v>
      </c>
      <c r="L302" s="112"/>
      <c r="M302" s="112"/>
      <c r="N302" s="33"/>
    </row>
    <row r="303" spans="1:20" s="34" customFormat="1" ht="15.75" customHeight="1" x14ac:dyDescent="0.35">
      <c r="A303" s="110">
        <v>2</v>
      </c>
      <c r="B303" s="111"/>
      <c r="C303" s="39" t="s">
        <v>397</v>
      </c>
      <c r="D303" s="89">
        <f t="shared" si="43"/>
        <v>322.48944</v>
      </c>
      <c r="E303" s="39">
        <v>0</v>
      </c>
      <c r="F303" s="39">
        <f t="shared" si="44"/>
        <v>322.48944</v>
      </c>
      <c r="G303" s="39">
        <v>0</v>
      </c>
      <c r="H303" s="39">
        <f t="shared" si="45"/>
        <v>467.60968800000001</v>
      </c>
      <c r="I303" s="33"/>
      <c r="L303" s="112"/>
      <c r="M303" s="112"/>
      <c r="N303" s="33"/>
    </row>
    <row r="304" spans="1:20" s="34" customFormat="1" ht="15.75" customHeight="1" x14ac:dyDescent="0.35">
      <c r="A304" s="110">
        <v>3</v>
      </c>
      <c r="B304" s="111"/>
      <c r="C304" s="39" t="s">
        <v>397</v>
      </c>
      <c r="D304" s="89">
        <f t="shared" si="43"/>
        <v>322.48944</v>
      </c>
      <c r="E304" s="39">
        <v>0</v>
      </c>
      <c r="F304" s="39">
        <f t="shared" si="44"/>
        <v>322.48944</v>
      </c>
      <c r="G304" s="39">
        <v>0</v>
      </c>
      <c r="H304" s="39">
        <f t="shared" si="45"/>
        <v>467.60968800000001</v>
      </c>
      <c r="I304" s="33"/>
      <c r="J304" s="89">
        <f>10.764</f>
        <v>10.763999999999999</v>
      </c>
      <c r="L304" s="112"/>
      <c r="M304" s="112"/>
      <c r="N304" s="33"/>
    </row>
    <row r="305" spans="1:20" s="34" customFormat="1" ht="15.75" customHeight="1" x14ac:dyDescent="0.35">
      <c r="A305" s="110">
        <v>4</v>
      </c>
      <c r="B305" s="111"/>
      <c r="C305" s="39" t="s">
        <v>397</v>
      </c>
      <c r="D305" s="89">
        <f t="shared" si="43"/>
        <v>322.48944</v>
      </c>
      <c r="E305" s="39">
        <v>0</v>
      </c>
      <c r="F305" s="39">
        <f t="shared" si="44"/>
        <v>322.48944</v>
      </c>
      <c r="G305" s="39">
        <v>0</v>
      </c>
      <c r="H305" s="39">
        <f t="shared" si="45"/>
        <v>467.60968800000001</v>
      </c>
      <c r="I305" s="33"/>
      <c r="L305" s="112"/>
      <c r="M305" s="112"/>
      <c r="N305" s="33"/>
      <c r="T305" s="18"/>
    </row>
    <row r="306" spans="1:20" s="34" customFormat="1" ht="15.75" customHeight="1" x14ac:dyDescent="0.35">
      <c r="A306" s="110">
        <v>5</v>
      </c>
      <c r="B306" s="111"/>
      <c r="C306" s="39" t="s">
        <v>397</v>
      </c>
      <c r="D306" s="89">
        <f t="shared" si="43"/>
        <v>322.48944</v>
      </c>
      <c r="E306" s="39">
        <v>0</v>
      </c>
      <c r="F306" s="39">
        <f t="shared" si="44"/>
        <v>322.48944</v>
      </c>
      <c r="G306" s="39">
        <v>0</v>
      </c>
      <c r="H306" s="39">
        <f t="shared" si="45"/>
        <v>467.60968800000001</v>
      </c>
      <c r="I306" s="33"/>
      <c r="L306" s="112"/>
      <c r="M306" s="112"/>
      <c r="N306" s="33"/>
    </row>
    <row r="307" spans="1:20" s="34" customFormat="1" ht="15.75" customHeight="1" x14ac:dyDescent="0.35">
      <c r="A307" s="110">
        <v>6</v>
      </c>
      <c r="B307" s="111"/>
      <c r="C307" s="39" t="s">
        <v>397</v>
      </c>
      <c r="D307" s="89">
        <f t="shared" si="43"/>
        <v>322.48944</v>
      </c>
      <c r="E307" s="39">
        <v>0</v>
      </c>
      <c r="F307" s="39">
        <f t="shared" si="44"/>
        <v>322.48944</v>
      </c>
      <c r="G307" s="39">
        <v>0</v>
      </c>
      <c r="H307" s="39">
        <f t="shared" si="45"/>
        <v>467.60968800000001</v>
      </c>
      <c r="I307" s="33"/>
      <c r="L307" s="112"/>
      <c r="M307" s="112"/>
      <c r="N307" s="33"/>
    </row>
    <row r="308" spans="1:20" s="34" customFormat="1" ht="15.75" customHeight="1" x14ac:dyDescent="0.35">
      <c r="A308" s="110">
        <v>7</v>
      </c>
      <c r="B308" s="111"/>
      <c r="C308" s="39" t="s">
        <v>397</v>
      </c>
      <c r="D308" s="89">
        <f t="shared" si="43"/>
        <v>322.48944</v>
      </c>
      <c r="E308" s="39">
        <v>0</v>
      </c>
      <c r="F308" s="39">
        <f t="shared" si="44"/>
        <v>322.48944</v>
      </c>
      <c r="G308" s="39">
        <v>0</v>
      </c>
      <c r="H308" s="39">
        <f t="shared" si="45"/>
        <v>467.60968800000001</v>
      </c>
      <c r="I308" s="33"/>
      <c r="L308" s="112"/>
      <c r="M308" s="112"/>
      <c r="N308" s="33"/>
    </row>
    <row r="309" spans="1:20" s="34" customFormat="1" ht="15.75" customHeight="1" x14ac:dyDescent="0.35">
      <c r="A309" s="110">
        <v>8</v>
      </c>
      <c r="B309" s="111"/>
      <c r="C309" s="39" t="s">
        <v>397</v>
      </c>
      <c r="D309" s="89">
        <f t="shared" si="43"/>
        <v>322.48944</v>
      </c>
      <c r="E309" s="39">
        <v>0</v>
      </c>
      <c r="F309" s="39">
        <f t="shared" si="44"/>
        <v>322.48944</v>
      </c>
      <c r="G309" s="39">
        <v>0</v>
      </c>
      <c r="H309" s="39">
        <f t="shared" si="45"/>
        <v>467.60968800000001</v>
      </c>
      <c r="I309" s="33"/>
      <c r="L309" s="112"/>
      <c r="M309" s="112"/>
      <c r="N309" s="33"/>
      <c r="T309" s="18"/>
    </row>
    <row r="310" spans="1:20" s="34" customFormat="1" x14ac:dyDescent="0.35">
      <c r="A310" s="113" t="s">
        <v>447</v>
      </c>
      <c r="B310" s="114"/>
      <c r="C310" s="114"/>
      <c r="D310" s="114"/>
      <c r="E310" s="114"/>
      <c r="F310" s="114"/>
      <c r="G310" s="114"/>
      <c r="H310" s="115"/>
      <c r="J310" s="33"/>
    </row>
    <row r="311" spans="1:20" s="34" customFormat="1" x14ac:dyDescent="0.35">
      <c r="A311" s="113" t="s">
        <v>398</v>
      </c>
      <c r="B311" s="114"/>
      <c r="C311" s="114"/>
      <c r="D311" s="114"/>
      <c r="E311" s="114"/>
      <c r="F311" s="114"/>
      <c r="G311" s="114"/>
      <c r="H311" s="115"/>
      <c r="J311" s="33"/>
    </row>
    <row r="312" spans="1:20" s="34" customFormat="1" ht="15.75" customHeight="1" x14ac:dyDescent="0.35">
      <c r="A312" s="110">
        <v>1</v>
      </c>
      <c r="B312" s="111"/>
      <c r="C312" s="39" t="s">
        <v>397</v>
      </c>
      <c r="D312" s="89">
        <f t="shared" ref="D312:D319" si="46">(29.96)*(10.764)</f>
        <v>322.48944</v>
      </c>
      <c r="E312" s="39">
        <v>0</v>
      </c>
      <c r="F312" s="39">
        <f t="shared" ref="F312:F319" si="47">D312+E312</f>
        <v>322.48944</v>
      </c>
      <c r="G312" s="39">
        <v>0</v>
      </c>
      <c r="H312" s="39">
        <f t="shared" ref="H312:H319" si="48">F312*(($H$232)+1)+(IF(G312&lt;101,G312,IF(G312&lt;201,G312/2,IF(G312&lt;=301,G312/3,G312/4))))</f>
        <v>467.60968800000001</v>
      </c>
      <c r="I312" s="86">
        <f>4.25*2.75+2.8*2.1+2.8*2.75+1.65*1.2+0.9*1.2</f>
        <v>28.327500000000001</v>
      </c>
      <c r="L312" s="112"/>
      <c r="M312" s="112"/>
      <c r="N312" s="33"/>
    </row>
    <row r="313" spans="1:20" s="34" customFormat="1" ht="15.75" customHeight="1" x14ac:dyDescent="0.35">
      <c r="A313" s="110">
        <v>2</v>
      </c>
      <c r="B313" s="111"/>
      <c r="C313" s="39" t="s">
        <v>397</v>
      </c>
      <c r="D313" s="89">
        <f t="shared" si="46"/>
        <v>322.48944</v>
      </c>
      <c r="E313" s="39">
        <v>0</v>
      </c>
      <c r="F313" s="39">
        <f t="shared" si="47"/>
        <v>322.48944</v>
      </c>
      <c r="G313" s="39">
        <v>0</v>
      </c>
      <c r="H313" s="39">
        <f t="shared" si="48"/>
        <v>467.60968800000001</v>
      </c>
      <c r="I313" s="33"/>
      <c r="L313" s="112"/>
      <c r="M313" s="112"/>
      <c r="N313" s="33"/>
    </row>
    <row r="314" spans="1:20" s="34" customFormat="1" ht="15.75" customHeight="1" x14ac:dyDescent="0.35">
      <c r="A314" s="110">
        <v>3</v>
      </c>
      <c r="B314" s="111"/>
      <c r="C314" s="39" t="s">
        <v>397</v>
      </c>
      <c r="D314" s="89">
        <f t="shared" si="46"/>
        <v>322.48944</v>
      </c>
      <c r="E314" s="39">
        <v>0</v>
      </c>
      <c r="F314" s="39">
        <f t="shared" si="47"/>
        <v>322.48944</v>
      </c>
      <c r="G314" s="39">
        <v>0</v>
      </c>
      <c r="H314" s="39">
        <f t="shared" si="48"/>
        <v>467.60968800000001</v>
      </c>
      <c r="I314" s="33"/>
      <c r="L314" s="112"/>
      <c r="M314" s="112"/>
      <c r="N314" s="33"/>
    </row>
    <row r="315" spans="1:20" s="34" customFormat="1" ht="15.75" customHeight="1" x14ac:dyDescent="0.35">
      <c r="A315" s="110">
        <v>4</v>
      </c>
      <c r="B315" s="111"/>
      <c r="C315" s="39" t="s">
        <v>397</v>
      </c>
      <c r="D315" s="89">
        <f t="shared" si="46"/>
        <v>322.48944</v>
      </c>
      <c r="E315" s="39">
        <v>0</v>
      </c>
      <c r="F315" s="39">
        <f t="shared" si="47"/>
        <v>322.48944</v>
      </c>
      <c r="G315" s="39">
        <v>0</v>
      </c>
      <c r="H315" s="39">
        <f t="shared" si="48"/>
        <v>467.60968800000001</v>
      </c>
      <c r="I315" s="33"/>
      <c r="L315" s="112"/>
      <c r="M315" s="112"/>
      <c r="N315" s="33"/>
      <c r="T315" s="18"/>
    </row>
    <row r="316" spans="1:20" s="34" customFormat="1" ht="15.75" customHeight="1" x14ac:dyDescent="0.35">
      <c r="A316" s="110">
        <v>5</v>
      </c>
      <c r="B316" s="111"/>
      <c r="C316" s="39" t="s">
        <v>397</v>
      </c>
      <c r="D316" s="89">
        <f t="shared" si="46"/>
        <v>322.48944</v>
      </c>
      <c r="E316" s="39">
        <v>0</v>
      </c>
      <c r="F316" s="39">
        <f t="shared" si="47"/>
        <v>322.48944</v>
      </c>
      <c r="G316" s="39">
        <v>0</v>
      </c>
      <c r="H316" s="39">
        <f t="shared" si="48"/>
        <v>467.60968800000001</v>
      </c>
      <c r="I316" s="33"/>
      <c r="L316" s="112"/>
      <c r="M316" s="112"/>
      <c r="N316" s="33"/>
    </row>
    <row r="317" spans="1:20" s="34" customFormat="1" ht="15.75" customHeight="1" x14ac:dyDescent="0.35">
      <c r="A317" s="110">
        <v>6</v>
      </c>
      <c r="B317" s="111"/>
      <c r="C317" s="39" t="s">
        <v>397</v>
      </c>
      <c r="D317" s="89">
        <f t="shared" si="46"/>
        <v>322.48944</v>
      </c>
      <c r="E317" s="39">
        <v>0</v>
      </c>
      <c r="F317" s="39">
        <f t="shared" si="47"/>
        <v>322.48944</v>
      </c>
      <c r="G317" s="39">
        <v>0</v>
      </c>
      <c r="H317" s="39">
        <f t="shared" si="48"/>
        <v>467.60968800000001</v>
      </c>
      <c r="I317" s="33"/>
      <c r="L317" s="112"/>
      <c r="M317" s="112"/>
      <c r="N317" s="33"/>
    </row>
    <row r="318" spans="1:20" s="34" customFormat="1" ht="15.75" customHeight="1" x14ac:dyDescent="0.35">
      <c r="A318" s="110">
        <v>7</v>
      </c>
      <c r="B318" s="111"/>
      <c r="C318" s="39" t="s">
        <v>397</v>
      </c>
      <c r="D318" s="89">
        <f t="shared" si="46"/>
        <v>322.48944</v>
      </c>
      <c r="E318" s="39">
        <v>0</v>
      </c>
      <c r="F318" s="39">
        <f t="shared" si="47"/>
        <v>322.48944</v>
      </c>
      <c r="G318" s="39">
        <v>0</v>
      </c>
      <c r="H318" s="39">
        <f t="shared" si="48"/>
        <v>467.60968800000001</v>
      </c>
      <c r="I318" s="33"/>
      <c r="L318" s="112"/>
      <c r="M318" s="112"/>
      <c r="N318" s="33"/>
    </row>
    <row r="319" spans="1:20" s="34" customFormat="1" ht="15.75" customHeight="1" x14ac:dyDescent="0.35">
      <c r="A319" s="110">
        <v>8</v>
      </c>
      <c r="B319" s="111"/>
      <c r="C319" s="39" t="s">
        <v>397</v>
      </c>
      <c r="D319" s="89">
        <f t="shared" si="46"/>
        <v>322.48944</v>
      </c>
      <c r="E319" s="39">
        <v>0</v>
      </c>
      <c r="F319" s="39">
        <f t="shared" si="47"/>
        <v>322.48944</v>
      </c>
      <c r="G319" s="39">
        <v>0</v>
      </c>
      <c r="H319" s="39">
        <f t="shared" si="48"/>
        <v>467.60968800000001</v>
      </c>
      <c r="I319" s="33"/>
      <c r="L319" s="112"/>
      <c r="M319" s="112"/>
      <c r="N319" s="33"/>
      <c r="T319" s="18"/>
    </row>
    <row r="320" spans="1:20" s="34" customFormat="1" x14ac:dyDescent="0.35">
      <c r="A320" s="113" t="s">
        <v>399</v>
      </c>
      <c r="B320" s="114"/>
      <c r="C320" s="114"/>
      <c r="D320" s="114"/>
      <c r="E320" s="114"/>
      <c r="F320" s="114"/>
      <c r="G320" s="114"/>
      <c r="H320" s="115"/>
      <c r="I320" s="87">
        <v>7</v>
      </c>
      <c r="J320" s="33"/>
    </row>
    <row r="321" spans="1:20" s="34" customFormat="1" ht="15.75" customHeight="1" x14ac:dyDescent="0.35">
      <c r="A321" s="110">
        <v>1</v>
      </c>
      <c r="B321" s="111"/>
      <c r="C321" s="39" t="s">
        <v>397</v>
      </c>
      <c r="D321" s="89">
        <f t="shared" ref="D321:D328" si="49">(29.96)*(10.764)</f>
        <v>322.48944</v>
      </c>
      <c r="E321" s="39">
        <v>0</v>
      </c>
      <c r="F321" s="39">
        <f t="shared" ref="F321:F328" si="50">D321+E321</f>
        <v>322.48944</v>
      </c>
      <c r="G321" s="39">
        <v>0</v>
      </c>
      <c r="H321" s="39">
        <f t="shared" ref="H321:H328" si="51">F321*(($H$232)+1)+(IF(G321&lt;101,G321,IF(G321&lt;201,G321/2,IF(G321&lt;=301,G321/3,G321/4))))</f>
        <v>467.60968800000001</v>
      </c>
      <c r="I321" s="86">
        <f>4.25*2.75+2.8*2.1+2.8*2.75+1.65*1.2+0.9*1.2</f>
        <v>28.327500000000001</v>
      </c>
      <c r="L321" s="112"/>
      <c r="M321" s="112"/>
      <c r="N321" s="33"/>
    </row>
    <row r="322" spans="1:20" s="34" customFormat="1" ht="15.75" customHeight="1" x14ac:dyDescent="0.35">
      <c r="A322" s="110">
        <v>2</v>
      </c>
      <c r="B322" s="111"/>
      <c r="C322" s="39" t="s">
        <v>397</v>
      </c>
      <c r="D322" s="89">
        <f t="shared" si="49"/>
        <v>322.48944</v>
      </c>
      <c r="E322" s="39">
        <v>0</v>
      </c>
      <c r="F322" s="39">
        <f t="shared" si="50"/>
        <v>322.48944</v>
      </c>
      <c r="G322" s="39">
        <v>0</v>
      </c>
      <c r="H322" s="39">
        <f t="shared" si="51"/>
        <v>467.60968800000001</v>
      </c>
      <c r="I322" s="33"/>
      <c r="L322" s="112"/>
      <c r="M322" s="112"/>
      <c r="N322" s="33"/>
    </row>
    <row r="323" spans="1:20" s="34" customFormat="1" ht="15.75" customHeight="1" x14ac:dyDescent="0.35">
      <c r="A323" s="110">
        <v>3</v>
      </c>
      <c r="B323" s="111"/>
      <c r="C323" s="39" t="s">
        <v>397</v>
      </c>
      <c r="D323" s="89">
        <f t="shared" si="49"/>
        <v>322.48944</v>
      </c>
      <c r="E323" s="39">
        <v>0</v>
      </c>
      <c r="F323" s="39">
        <f t="shared" si="50"/>
        <v>322.48944</v>
      </c>
      <c r="G323" s="39">
        <v>0</v>
      </c>
      <c r="H323" s="39">
        <f t="shared" si="51"/>
        <v>467.60968800000001</v>
      </c>
      <c r="I323" s="33"/>
      <c r="J323" s="89">
        <f>10.764</f>
        <v>10.763999999999999</v>
      </c>
      <c r="L323" s="112"/>
      <c r="M323" s="112"/>
      <c r="N323" s="33"/>
    </row>
    <row r="324" spans="1:20" s="34" customFormat="1" ht="15.75" customHeight="1" x14ac:dyDescent="0.35">
      <c r="A324" s="110">
        <v>4</v>
      </c>
      <c r="B324" s="111"/>
      <c r="C324" s="39" t="s">
        <v>397</v>
      </c>
      <c r="D324" s="89">
        <f t="shared" si="49"/>
        <v>322.48944</v>
      </c>
      <c r="E324" s="39">
        <v>0</v>
      </c>
      <c r="F324" s="39">
        <f t="shared" si="50"/>
        <v>322.48944</v>
      </c>
      <c r="G324" s="39">
        <v>0</v>
      </c>
      <c r="H324" s="39">
        <f t="shared" si="51"/>
        <v>467.60968800000001</v>
      </c>
      <c r="I324" s="33"/>
      <c r="L324" s="112"/>
      <c r="M324" s="112"/>
      <c r="N324" s="33"/>
      <c r="T324" s="18"/>
    </row>
    <row r="325" spans="1:20" s="34" customFormat="1" ht="15.75" customHeight="1" x14ac:dyDescent="0.35">
      <c r="A325" s="110">
        <v>5</v>
      </c>
      <c r="B325" s="111"/>
      <c r="C325" s="39" t="s">
        <v>397</v>
      </c>
      <c r="D325" s="89">
        <f t="shared" si="49"/>
        <v>322.48944</v>
      </c>
      <c r="E325" s="39">
        <v>0</v>
      </c>
      <c r="F325" s="39">
        <f t="shared" si="50"/>
        <v>322.48944</v>
      </c>
      <c r="G325" s="39">
        <v>0</v>
      </c>
      <c r="H325" s="39">
        <f t="shared" si="51"/>
        <v>467.60968800000001</v>
      </c>
      <c r="I325" s="33"/>
      <c r="L325" s="112"/>
      <c r="M325" s="112"/>
      <c r="N325" s="33"/>
    </row>
    <row r="326" spans="1:20" s="34" customFormat="1" ht="15.75" customHeight="1" x14ac:dyDescent="0.35">
      <c r="A326" s="110">
        <v>6</v>
      </c>
      <c r="B326" s="111"/>
      <c r="C326" s="39" t="s">
        <v>397</v>
      </c>
      <c r="D326" s="89">
        <f t="shared" si="49"/>
        <v>322.48944</v>
      </c>
      <c r="E326" s="39">
        <v>0</v>
      </c>
      <c r="F326" s="39">
        <f t="shared" si="50"/>
        <v>322.48944</v>
      </c>
      <c r="G326" s="39">
        <v>0</v>
      </c>
      <c r="H326" s="39">
        <f t="shared" si="51"/>
        <v>467.60968800000001</v>
      </c>
      <c r="I326" s="33"/>
      <c r="L326" s="112"/>
      <c r="M326" s="112"/>
      <c r="N326" s="33"/>
    </row>
    <row r="327" spans="1:20" s="34" customFormat="1" ht="15.75" customHeight="1" x14ac:dyDescent="0.35">
      <c r="A327" s="110">
        <v>7</v>
      </c>
      <c r="B327" s="111"/>
      <c r="C327" s="39" t="s">
        <v>397</v>
      </c>
      <c r="D327" s="89">
        <f t="shared" si="49"/>
        <v>322.48944</v>
      </c>
      <c r="E327" s="39">
        <v>0</v>
      </c>
      <c r="F327" s="39">
        <f t="shared" si="50"/>
        <v>322.48944</v>
      </c>
      <c r="G327" s="39">
        <v>0</v>
      </c>
      <c r="H327" s="39">
        <f t="shared" si="51"/>
        <v>467.60968800000001</v>
      </c>
      <c r="I327" s="33"/>
      <c r="L327" s="112"/>
      <c r="M327" s="112"/>
      <c r="N327" s="33"/>
    </row>
    <row r="328" spans="1:20" s="34" customFormat="1" ht="15.75" customHeight="1" x14ac:dyDescent="0.35">
      <c r="A328" s="110">
        <v>8</v>
      </c>
      <c r="B328" s="111"/>
      <c r="C328" s="39" t="s">
        <v>397</v>
      </c>
      <c r="D328" s="89">
        <f t="shared" si="49"/>
        <v>322.48944</v>
      </c>
      <c r="E328" s="39">
        <v>0</v>
      </c>
      <c r="F328" s="39">
        <f t="shared" si="50"/>
        <v>322.48944</v>
      </c>
      <c r="G328" s="39">
        <v>0</v>
      </c>
      <c r="H328" s="39">
        <f t="shared" si="51"/>
        <v>467.60968800000001</v>
      </c>
      <c r="I328" s="33"/>
      <c r="L328" s="112"/>
      <c r="M328" s="112"/>
      <c r="N328" s="33"/>
      <c r="T328" s="18"/>
    </row>
    <row r="329" spans="1:20" s="34" customFormat="1" x14ac:dyDescent="0.35">
      <c r="A329" s="113" t="s">
        <v>410</v>
      </c>
      <c r="B329" s="114"/>
      <c r="C329" s="114"/>
      <c r="D329" s="114"/>
      <c r="E329" s="114"/>
      <c r="F329" s="114"/>
      <c r="G329" s="114"/>
      <c r="H329" s="115"/>
      <c r="J329" s="33"/>
    </row>
    <row r="330" spans="1:20" s="34" customFormat="1" x14ac:dyDescent="0.35">
      <c r="A330" s="113" t="s">
        <v>398</v>
      </c>
      <c r="B330" s="114"/>
      <c r="C330" s="114"/>
      <c r="D330" s="114"/>
      <c r="E330" s="114"/>
      <c r="F330" s="114"/>
      <c r="G330" s="114"/>
      <c r="H330" s="115"/>
      <c r="J330" s="33"/>
    </row>
    <row r="331" spans="1:20" s="34" customFormat="1" ht="15.75" customHeight="1" x14ac:dyDescent="0.35">
      <c r="A331" s="110">
        <v>1</v>
      </c>
      <c r="B331" s="111"/>
      <c r="C331" s="39" t="s">
        <v>397</v>
      </c>
      <c r="D331" s="89">
        <f t="shared" ref="D331:D338" si="52">(29.96)*(10.764)</f>
        <v>322.48944</v>
      </c>
      <c r="E331" s="39">
        <v>0</v>
      </c>
      <c r="F331" s="39">
        <f t="shared" ref="F331:F338" si="53">D331+E331</f>
        <v>322.48944</v>
      </c>
      <c r="G331" s="39">
        <v>0</v>
      </c>
      <c r="H331" s="39">
        <f t="shared" ref="H331:H338" si="54">F331*(($H$232)+1)+(IF(G331&lt;101,G331,IF(G331&lt;201,G331/2,IF(G331&lt;=301,G331/3,G331/4))))</f>
        <v>467.60968800000001</v>
      </c>
      <c r="I331" s="86">
        <f>4.25*2.75+2.8*2.1+2.8*2.75+1.65*1.2+0.9*1.2</f>
        <v>28.327500000000001</v>
      </c>
      <c r="L331" s="112"/>
      <c r="M331" s="112"/>
      <c r="N331" s="33"/>
    </row>
    <row r="332" spans="1:20" s="34" customFormat="1" ht="15.75" customHeight="1" x14ac:dyDescent="0.35">
      <c r="A332" s="110">
        <v>2</v>
      </c>
      <c r="B332" s="111"/>
      <c r="C332" s="39" t="s">
        <v>397</v>
      </c>
      <c r="D332" s="89">
        <f t="shared" si="52"/>
        <v>322.48944</v>
      </c>
      <c r="E332" s="39">
        <v>0</v>
      </c>
      <c r="F332" s="39">
        <f t="shared" si="53"/>
        <v>322.48944</v>
      </c>
      <c r="G332" s="39">
        <v>0</v>
      </c>
      <c r="H332" s="39">
        <f t="shared" si="54"/>
        <v>467.60968800000001</v>
      </c>
      <c r="I332" s="33"/>
      <c r="L332" s="112"/>
      <c r="M332" s="112"/>
      <c r="N332" s="33"/>
    </row>
    <row r="333" spans="1:20" s="34" customFormat="1" ht="15.75" customHeight="1" x14ac:dyDescent="0.35">
      <c r="A333" s="110">
        <v>3</v>
      </c>
      <c r="B333" s="111"/>
      <c r="C333" s="39" t="s">
        <v>397</v>
      </c>
      <c r="D333" s="89">
        <f t="shared" si="52"/>
        <v>322.48944</v>
      </c>
      <c r="E333" s="39">
        <v>0</v>
      </c>
      <c r="F333" s="39">
        <f t="shared" si="53"/>
        <v>322.48944</v>
      </c>
      <c r="G333" s="39">
        <v>0</v>
      </c>
      <c r="H333" s="39">
        <f t="shared" si="54"/>
        <v>467.60968800000001</v>
      </c>
      <c r="I333" s="33"/>
      <c r="L333" s="112"/>
      <c r="M333" s="112"/>
      <c r="N333" s="33"/>
    </row>
    <row r="334" spans="1:20" s="34" customFormat="1" ht="15.75" customHeight="1" x14ac:dyDescent="0.35">
      <c r="A334" s="110">
        <v>4</v>
      </c>
      <c r="B334" s="111"/>
      <c r="C334" s="39" t="s">
        <v>397</v>
      </c>
      <c r="D334" s="89">
        <f t="shared" si="52"/>
        <v>322.48944</v>
      </c>
      <c r="E334" s="39">
        <v>0</v>
      </c>
      <c r="F334" s="39">
        <f t="shared" si="53"/>
        <v>322.48944</v>
      </c>
      <c r="G334" s="39">
        <v>0</v>
      </c>
      <c r="H334" s="39">
        <f t="shared" si="54"/>
        <v>467.60968800000001</v>
      </c>
      <c r="I334" s="33"/>
      <c r="L334" s="112"/>
      <c r="M334" s="112"/>
      <c r="N334" s="33"/>
      <c r="T334" s="18"/>
    </row>
    <row r="335" spans="1:20" s="34" customFormat="1" ht="15.75" customHeight="1" x14ac:dyDescent="0.35">
      <c r="A335" s="110">
        <v>5</v>
      </c>
      <c r="B335" s="111"/>
      <c r="C335" s="39" t="s">
        <v>397</v>
      </c>
      <c r="D335" s="89">
        <f t="shared" si="52"/>
        <v>322.48944</v>
      </c>
      <c r="E335" s="39">
        <v>0</v>
      </c>
      <c r="F335" s="39">
        <f t="shared" si="53"/>
        <v>322.48944</v>
      </c>
      <c r="G335" s="39">
        <v>0</v>
      </c>
      <c r="H335" s="39">
        <f t="shared" si="54"/>
        <v>467.60968800000001</v>
      </c>
      <c r="I335" s="33"/>
      <c r="L335" s="112"/>
      <c r="M335" s="112"/>
      <c r="N335" s="33"/>
    </row>
    <row r="336" spans="1:20" s="34" customFormat="1" ht="15.75" customHeight="1" x14ac:dyDescent="0.35">
      <c r="A336" s="110">
        <v>6</v>
      </c>
      <c r="B336" s="111"/>
      <c r="C336" s="39" t="s">
        <v>397</v>
      </c>
      <c r="D336" s="89">
        <f t="shared" si="52"/>
        <v>322.48944</v>
      </c>
      <c r="E336" s="39">
        <v>0</v>
      </c>
      <c r="F336" s="39">
        <f t="shared" si="53"/>
        <v>322.48944</v>
      </c>
      <c r="G336" s="39">
        <v>0</v>
      </c>
      <c r="H336" s="39">
        <f t="shared" si="54"/>
        <v>467.60968800000001</v>
      </c>
      <c r="I336" s="33"/>
      <c r="L336" s="112"/>
      <c r="M336" s="112"/>
      <c r="N336" s="33"/>
    </row>
    <row r="337" spans="1:20" s="34" customFormat="1" ht="15.75" customHeight="1" x14ac:dyDescent="0.35">
      <c r="A337" s="110">
        <v>7</v>
      </c>
      <c r="B337" s="111"/>
      <c r="C337" s="39" t="s">
        <v>397</v>
      </c>
      <c r="D337" s="89">
        <f t="shared" si="52"/>
        <v>322.48944</v>
      </c>
      <c r="E337" s="39">
        <v>0</v>
      </c>
      <c r="F337" s="39">
        <f t="shared" si="53"/>
        <v>322.48944</v>
      </c>
      <c r="G337" s="39">
        <v>0</v>
      </c>
      <c r="H337" s="39">
        <f t="shared" si="54"/>
        <v>467.60968800000001</v>
      </c>
      <c r="I337" s="33"/>
      <c r="L337" s="112"/>
      <c r="M337" s="112"/>
      <c r="N337" s="33"/>
    </row>
    <row r="338" spans="1:20" s="34" customFormat="1" ht="15.75" customHeight="1" x14ac:dyDescent="0.35">
      <c r="A338" s="110">
        <v>8</v>
      </c>
      <c r="B338" s="111"/>
      <c r="C338" s="39" t="s">
        <v>397</v>
      </c>
      <c r="D338" s="89">
        <f t="shared" si="52"/>
        <v>322.48944</v>
      </c>
      <c r="E338" s="39">
        <v>0</v>
      </c>
      <c r="F338" s="39">
        <f t="shared" si="53"/>
        <v>322.48944</v>
      </c>
      <c r="G338" s="39">
        <v>0</v>
      </c>
      <c r="H338" s="39">
        <f t="shared" si="54"/>
        <v>467.60968800000001</v>
      </c>
      <c r="I338" s="33"/>
      <c r="L338" s="112"/>
      <c r="M338" s="112"/>
      <c r="N338" s="33"/>
      <c r="T338" s="18"/>
    </row>
    <row r="339" spans="1:20" s="34" customFormat="1" x14ac:dyDescent="0.35">
      <c r="A339" s="113" t="s">
        <v>399</v>
      </c>
      <c r="B339" s="114"/>
      <c r="C339" s="114"/>
      <c r="D339" s="114"/>
      <c r="E339" s="114"/>
      <c r="F339" s="114"/>
      <c r="G339" s="114"/>
      <c r="H339" s="115"/>
      <c r="I339" s="87">
        <v>7</v>
      </c>
      <c r="J339" s="33"/>
    </row>
    <row r="340" spans="1:20" s="34" customFormat="1" ht="15.75" customHeight="1" x14ac:dyDescent="0.35">
      <c r="A340" s="110">
        <v>1</v>
      </c>
      <c r="B340" s="111"/>
      <c r="C340" s="39" t="s">
        <v>397</v>
      </c>
      <c r="D340" s="89">
        <f t="shared" ref="D340:D347" si="55">(29.96)*(10.764)</f>
        <v>322.48944</v>
      </c>
      <c r="E340" s="39">
        <v>0</v>
      </c>
      <c r="F340" s="39">
        <f t="shared" ref="F340:F347" si="56">D340+E340</f>
        <v>322.48944</v>
      </c>
      <c r="G340" s="39">
        <v>0</v>
      </c>
      <c r="H340" s="39">
        <f t="shared" ref="H340:H347" si="57">F340*(($H$232)+1)+(IF(G340&lt;101,G340,IF(G340&lt;201,G340/2,IF(G340&lt;=301,G340/3,G340/4))))</f>
        <v>467.60968800000001</v>
      </c>
      <c r="I340" s="86">
        <f>4.25*2.75+2.8*2.1+2.8*2.75+1.65*1.2+0.9*1.2</f>
        <v>28.327500000000001</v>
      </c>
      <c r="L340" s="112"/>
      <c r="M340" s="112"/>
      <c r="N340" s="33"/>
    </row>
    <row r="341" spans="1:20" s="34" customFormat="1" ht="15.75" customHeight="1" x14ac:dyDescent="0.35">
      <c r="A341" s="110">
        <v>2</v>
      </c>
      <c r="B341" s="111"/>
      <c r="C341" s="39" t="s">
        <v>397</v>
      </c>
      <c r="D341" s="89">
        <f t="shared" si="55"/>
        <v>322.48944</v>
      </c>
      <c r="E341" s="39">
        <v>0</v>
      </c>
      <c r="F341" s="39">
        <f t="shared" si="56"/>
        <v>322.48944</v>
      </c>
      <c r="G341" s="39">
        <v>0</v>
      </c>
      <c r="H341" s="39">
        <f t="shared" si="57"/>
        <v>467.60968800000001</v>
      </c>
      <c r="I341" s="33"/>
      <c r="L341" s="112"/>
      <c r="M341" s="112"/>
      <c r="N341" s="33"/>
    </row>
    <row r="342" spans="1:20" s="34" customFormat="1" ht="15.75" customHeight="1" x14ac:dyDescent="0.35">
      <c r="A342" s="110">
        <v>3</v>
      </c>
      <c r="B342" s="111"/>
      <c r="C342" s="39" t="s">
        <v>397</v>
      </c>
      <c r="D342" s="89">
        <f t="shared" si="55"/>
        <v>322.48944</v>
      </c>
      <c r="E342" s="39">
        <v>0</v>
      </c>
      <c r="F342" s="39">
        <f t="shared" si="56"/>
        <v>322.48944</v>
      </c>
      <c r="G342" s="39">
        <v>0</v>
      </c>
      <c r="H342" s="39">
        <f t="shared" si="57"/>
        <v>467.60968800000001</v>
      </c>
      <c r="I342" s="33"/>
      <c r="J342" s="89">
        <f>10.764</f>
        <v>10.763999999999999</v>
      </c>
      <c r="L342" s="112"/>
      <c r="M342" s="112"/>
      <c r="N342" s="33"/>
    </row>
    <row r="343" spans="1:20" s="34" customFormat="1" ht="15.75" customHeight="1" x14ac:dyDescent="0.35">
      <c r="A343" s="110">
        <v>4</v>
      </c>
      <c r="B343" s="111"/>
      <c r="C343" s="39" t="s">
        <v>397</v>
      </c>
      <c r="D343" s="89">
        <f t="shared" si="55"/>
        <v>322.48944</v>
      </c>
      <c r="E343" s="39">
        <v>0</v>
      </c>
      <c r="F343" s="39">
        <f t="shared" si="56"/>
        <v>322.48944</v>
      </c>
      <c r="G343" s="39">
        <v>0</v>
      </c>
      <c r="H343" s="39">
        <f t="shared" si="57"/>
        <v>467.60968800000001</v>
      </c>
      <c r="I343" s="33"/>
      <c r="L343" s="112"/>
      <c r="M343" s="112"/>
      <c r="N343" s="33"/>
      <c r="T343" s="18"/>
    </row>
    <row r="344" spans="1:20" s="34" customFormat="1" ht="15.75" customHeight="1" x14ac:dyDescent="0.35">
      <c r="A344" s="110">
        <v>5</v>
      </c>
      <c r="B344" s="111"/>
      <c r="C344" s="39" t="s">
        <v>397</v>
      </c>
      <c r="D344" s="89">
        <f t="shared" si="55"/>
        <v>322.48944</v>
      </c>
      <c r="E344" s="39">
        <v>0</v>
      </c>
      <c r="F344" s="39">
        <f t="shared" si="56"/>
        <v>322.48944</v>
      </c>
      <c r="G344" s="39">
        <v>0</v>
      </c>
      <c r="H344" s="39">
        <f t="shared" si="57"/>
        <v>467.60968800000001</v>
      </c>
      <c r="I344" s="33"/>
      <c r="L344" s="112"/>
      <c r="M344" s="112"/>
      <c r="N344" s="33"/>
    </row>
    <row r="345" spans="1:20" s="34" customFormat="1" ht="15.75" customHeight="1" x14ac:dyDescent="0.35">
      <c r="A345" s="110">
        <v>6</v>
      </c>
      <c r="B345" s="111"/>
      <c r="C345" s="39" t="s">
        <v>397</v>
      </c>
      <c r="D345" s="89">
        <f t="shared" si="55"/>
        <v>322.48944</v>
      </c>
      <c r="E345" s="39">
        <v>0</v>
      </c>
      <c r="F345" s="39">
        <f t="shared" si="56"/>
        <v>322.48944</v>
      </c>
      <c r="G345" s="39">
        <v>0</v>
      </c>
      <c r="H345" s="39">
        <f t="shared" si="57"/>
        <v>467.60968800000001</v>
      </c>
      <c r="I345" s="33"/>
      <c r="L345" s="112"/>
      <c r="M345" s="112"/>
      <c r="N345" s="33"/>
    </row>
    <row r="346" spans="1:20" s="34" customFormat="1" ht="15.75" customHeight="1" x14ac:dyDescent="0.35">
      <c r="A346" s="110">
        <v>7</v>
      </c>
      <c r="B346" s="111"/>
      <c r="C346" s="39" t="s">
        <v>397</v>
      </c>
      <c r="D346" s="89">
        <f t="shared" si="55"/>
        <v>322.48944</v>
      </c>
      <c r="E346" s="39">
        <v>0</v>
      </c>
      <c r="F346" s="39">
        <f t="shared" si="56"/>
        <v>322.48944</v>
      </c>
      <c r="G346" s="39">
        <v>0</v>
      </c>
      <c r="H346" s="39">
        <f t="shared" si="57"/>
        <v>467.60968800000001</v>
      </c>
      <c r="I346" s="33"/>
      <c r="L346" s="112"/>
      <c r="M346" s="112"/>
      <c r="N346" s="33"/>
    </row>
    <row r="347" spans="1:20" s="34" customFormat="1" ht="15.75" customHeight="1" x14ac:dyDescent="0.35">
      <c r="A347" s="110">
        <v>8</v>
      </c>
      <c r="B347" s="111"/>
      <c r="C347" s="39" t="s">
        <v>397</v>
      </c>
      <c r="D347" s="89">
        <f t="shared" si="55"/>
        <v>322.48944</v>
      </c>
      <c r="E347" s="39">
        <v>0</v>
      </c>
      <c r="F347" s="39">
        <f t="shared" si="56"/>
        <v>322.48944</v>
      </c>
      <c r="G347" s="39">
        <v>0</v>
      </c>
      <c r="H347" s="39">
        <f t="shared" si="57"/>
        <v>467.60968800000001</v>
      </c>
      <c r="I347" s="33"/>
      <c r="L347" s="112"/>
      <c r="M347" s="112"/>
      <c r="N347" s="33"/>
      <c r="T347" s="18"/>
    </row>
    <row r="348" spans="1:20" s="34" customFormat="1" x14ac:dyDescent="0.35">
      <c r="A348" s="122" t="s">
        <v>400</v>
      </c>
      <c r="B348" s="123"/>
      <c r="C348" s="123"/>
      <c r="D348" s="123"/>
      <c r="E348" s="123"/>
      <c r="F348" s="123"/>
      <c r="G348" s="123"/>
      <c r="H348" s="124"/>
      <c r="J348" s="33"/>
    </row>
    <row r="349" spans="1:20" s="34" customFormat="1" x14ac:dyDescent="0.35">
      <c r="A349" s="113" t="s">
        <v>411</v>
      </c>
      <c r="B349" s="114"/>
      <c r="C349" s="114"/>
      <c r="D349" s="114"/>
      <c r="E349" s="114"/>
      <c r="F349" s="114"/>
      <c r="G349" s="114"/>
      <c r="H349" s="115"/>
      <c r="J349" s="33"/>
    </row>
    <row r="350" spans="1:20" s="34" customFormat="1" x14ac:dyDescent="0.35">
      <c r="A350" s="113" t="s">
        <v>402</v>
      </c>
      <c r="B350" s="114"/>
      <c r="C350" s="114"/>
      <c r="D350" s="114"/>
      <c r="E350" s="114"/>
      <c r="F350" s="114"/>
      <c r="G350" s="114"/>
      <c r="H350" s="115"/>
      <c r="J350" s="33"/>
    </row>
    <row r="351" spans="1:20" s="34" customFormat="1" ht="15.75" customHeight="1" x14ac:dyDescent="0.35">
      <c r="A351" s="110">
        <v>1</v>
      </c>
      <c r="B351" s="111"/>
      <c r="C351" s="39" t="s">
        <v>401</v>
      </c>
      <c r="D351" s="89">
        <f>(21.8)*(10.764)</f>
        <v>234.65519999999998</v>
      </c>
      <c r="E351" s="39">
        <v>0</v>
      </c>
      <c r="F351" s="39">
        <f t="shared" ref="F351:F358" si="58">D351+E351</f>
        <v>234.65519999999998</v>
      </c>
      <c r="G351" s="39">
        <v>0</v>
      </c>
      <c r="H351" s="39">
        <f t="shared" ref="H351:H358" si="59">F351*(($H$232)+1)+(IF(G351&lt;101,G351,IF(G351&lt;201,G351/2,IF(G351&lt;=301,G351/3,G351/4))))</f>
        <v>340.25003999999996</v>
      </c>
      <c r="I351" s="88">
        <f>4.25*2.75+2.8*2.1+1.65*1.2+0.9*1.2</f>
        <v>20.627499999999998</v>
      </c>
      <c r="L351" s="112"/>
      <c r="M351" s="112"/>
      <c r="N351" s="33"/>
    </row>
    <row r="352" spans="1:20" s="34" customFormat="1" ht="15.75" customHeight="1" x14ac:dyDescent="0.35">
      <c r="A352" s="110">
        <v>2</v>
      </c>
      <c r="B352" s="111"/>
      <c r="C352" s="39" t="s">
        <v>401</v>
      </c>
      <c r="D352" s="89">
        <f>(19.89)*(10.764)</f>
        <v>214.09595999999999</v>
      </c>
      <c r="E352" s="39">
        <v>0</v>
      </c>
      <c r="F352" s="39">
        <f t="shared" si="58"/>
        <v>214.09595999999999</v>
      </c>
      <c r="G352" s="39">
        <v>0</v>
      </c>
      <c r="H352" s="39">
        <f t="shared" si="59"/>
        <v>310.439142</v>
      </c>
      <c r="I352" s="33"/>
      <c r="L352" s="112"/>
      <c r="M352" s="112"/>
      <c r="N352" s="33"/>
    </row>
    <row r="353" spans="1:20" s="34" customFormat="1" ht="15.75" customHeight="1" x14ac:dyDescent="0.35">
      <c r="A353" s="110">
        <v>3</v>
      </c>
      <c r="B353" s="111"/>
      <c r="C353" s="39" t="s">
        <v>397</v>
      </c>
      <c r="D353" s="89">
        <f t="shared" ref="D353:D358" si="60">(29.96)*(10.764)</f>
        <v>322.48944</v>
      </c>
      <c r="E353" s="39">
        <v>0</v>
      </c>
      <c r="F353" s="39">
        <f t="shared" si="58"/>
        <v>322.48944</v>
      </c>
      <c r="G353" s="39">
        <v>0</v>
      </c>
      <c r="H353" s="39">
        <f t="shared" si="59"/>
        <v>467.60968800000001</v>
      </c>
      <c r="I353" s="33"/>
      <c r="L353" s="112"/>
      <c r="M353" s="112"/>
      <c r="N353" s="33"/>
    </row>
    <row r="354" spans="1:20" s="34" customFormat="1" ht="15.75" customHeight="1" x14ac:dyDescent="0.35">
      <c r="A354" s="110">
        <v>4</v>
      </c>
      <c r="B354" s="111"/>
      <c r="C354" s="39" t="s">
        <v>397</v>
      </c>
      <c r="D354" s="89">
        <f t="shared" si="60"/>
        <v>322.48944</v>
      </c>
      <c r="E354" s="39">
        <v>0</v>
      </c>
      <c r="F354" s="39">
        <f t="shared" si="58"/>
        <v>322.48944</v>
      </c>
      <c r="G354" s="39">
        <v>0</v>
      </c>
      <c r="H354" s="39">
        <f t="shared" si="59"/>
        <v>467.60968800000001</v>
      </c>
      <c r="I354" s="86">
        <f>4.25*2.75+2.8*2.1+2.8*2.75+1.65*1.2+0.9*1.2</f>
        <v>28.327500000000001</v>
      </c>
      <c r="L354" s="112"/>
      <c r="M354" s="112"/>
      <c r="N354" s="33"/>
      <c r="T354" s="18"/>
    </row>
    <row r="355" spans="1:20" s="34" customFormat="1" ht="15.75" customHeight="1" x14ac:dyDescent="0.35">
      <c r="A355" s="110">
        <v>5</v>
      </c>
      <c r="B355" s="111"/>
      <c r="C355" s="39" t="s">
        <v>397</v>
      </c>
      <c r="D355" s="89">
        <f t="shared" si="60"/>
        <v>322.48944</v>
      </c>
      <c r="E355" s="39">
        <v>0</v>
      </c>
      <c r="F355" s="39">
        <f t="shared" si="58"/>
        <v>322.48944</v>
      </c>
      <c r="G355" s="39">
        <v>0</v>
      </c>
      <c r="H355" s="39">
        <f t="shared" si="59"/>
        <v>467.60968800000001</v>
      </c>
      <c r="I355" s="33"/>
      <c r="L355" s="112"/>
      <c r="M355" s="112"/>
      <c r="N355" s="33"/>
    </row>
    <row r="356" spans="1:20" s="34" customFormat="1" ht="15.75" customHeight="1" x14ac:dyDescent="0.35">
      <c r="A356" s="110">
        <v>6</v>
      </c>
      <c r="B356" s="111"/>
      <c r="C356" s="39" t="s">
        <v>397</v>
      </c>
      <c r="D356" s="89">
        <f t="shared" si="60"/>
        <v>322.48944</v>
      </c>
      <c r="E356" s="39">
        <v>0</v>
      </c>
      <c r="F356" s="39">
        <f t="shared" si="58"/>
        <v>322.48944</v>
      </c>
      <c r="G356" s="39">
        <v>0</v>
      </c>
      <c r="H356" s="39">
        <f t="shared" si="59"/>
        <v>467.60968800000001</v>
      </c>
      <c r="I356" s="33"/>
      <c r="L356" s="112"/>
      <c r="M356" s="112"/>
      <c r="N356" s="33"/>
    </row>
    <row r="357" spans="1:20" s="34" customFormat="1" ht="15.75" customHeight="1" x14ac:dyDescent="0.35">
      <c r="A357" s="110">
        <v>7</v>
      </c>
      <c r="B357" s="111"/>
      <c r="C357" s="39" t="s">
        <v>397</v>
      </c>
      <c r="D357" s="89">
        <f t="shared" si="60"/>
        <v>322.48944</v>
      </c>
      <c r="E357" s="39">
        <v>0</v>
      </c>
      <c r="F357" s="39">
        <f t="shared" si="58"/>
        <v>322.48944</v>
      </c>
      <c r="G357" s="39">
        <v>0</v>
      </c>
      <c r="H357" s="39">
        <f t="shared" si="59"/>
        <v>467.60968800000001</v>
      </c>
      <c r="I357" s="33"/>
      <c r="L357" s="112"/>
      <c r="M357" s="112"/>
      <c r="N357" s="33"/>
    </row>
    <row r="358" spans="1:20" s="34" customFormat="1" ht="15.75" customHeight="1" x14ac:dyDescent="0.35">
      <c r="A358" s="110">
        <v>8</v>
      </c>
      <c r="B358" s="111"/>
      <c r="C358" s="39" t="s">
        <v>397</v>
      </c>
      <c r="D358" s="89">
        <f t="shared" si="60"/>
        <v>322.48944</v>
      </c>
      <c r="E358" s="39">
        <v>0</v>
      </c>
      <c r="F358" s="39">
        <f t="shared" si="58"/>
        <v>322.48944</v>
      </c>
      <c r="G358" s="39">
        <v>0</v>
      </c>
      <c r="H358" s="39">
        <f t="shared" si="59"/>
        <v>467.60968800000001</v>
      </c>
      <c r="I358" s="33"/>
      <c r="L358" s="112"/>
      <c r="M358" s="112"/>
      <c r="N358" s="33"/>
      <c r="T358" s="18"/>
    </row>
    <row r="359" spans="1:20" s="34" customFormat="1" x14ac:dyDescent="0.35">
      <c r="A359" s="113" t="s">
        <v>399</v>
      </c>
      <c r="B359" s="114"/>
      <c r="C359" s="114"/>
      <c r="D359" s="114"/>
      <c r="E359" s="114"/>
      <c r="F359" s="114"/>
      <c r="G359" s="114"/>
      <c r="H359" s="115"/>
      <c r="J359" s="33"/>
    </row>
    <row r="360" spans="1:20" s="34" customFormat="1" ht="15.75" customHeight="1" x14ac:dyDescent="0.35">
      <c r="A360" s="110">
        <v>1</v>
      </c>
      <c r="B360" s="111"/>
      <c r="C360" s="39" t="s">
        <v>397</v>
      </c>
      <c r="D360" s="89">
        <f t="shared" ref="D360:D367" si="61">(29.96)*(10.764)</f>
        <v>322.48944</v>
      </c>
      <c r="E360" s="39">
        <v>0</v>
      </c>
      <c r="F360" s="39">
        <f t="shared" ref="F360:F367" si="62">D360+E360</f>
        <v>322.48944</v>
      </c>
      <c r="G360" s="39">
        <v>0</v>
      </c>
      <c r="H360" s="39">
        <f t="shared" ref="H360:H367" si="63">F360*(($H$232)+1)+(IF(G360&lt;101,G360,IF(G360&lt;201,G360/2,IF(G360&lt;=301,G360/3,G360/4))))</f>
        <v>467.60968800000001</v>
      </c>
      <c r="I360" s="86">
        <f>4.25*2.75+2.8*2.1+2.8*2.75+1.65*1.2+0.9*1.2</f>
        <v>28.327500000000001</v>
      </c>
      <c r="L360" s="112"/>
      <c r="M360" s="112"/>
      <c r="N360" s="33"/>
    </row>
    <row r="361" spans="1:20" s="34" customFormat="1" ht="15.75" customHeight="1" x14ac:dyDescent="0.35">
      <c r="A361" s="110">
        <v>2</v>
      </c>
      <c r="B361" s="111"/>
      <c r="C361" s="39" t="s">
        <v>397</v>
      </c>
      <c r="D361" s="89">
        <f t="shared" si="61"/>
        <v>322.48944</v>
      </c>
      <c r="E361" s="39">
        <v>0</v>
      </c>
      <c r="F361" s="39">
        <f t="shared" si="62"/>
        <v>322.48944</v>
      </c>
      <c r="G361" s="39">
        <v>0</v>
      </c>
      <c r="H361" s="39">
        <f t="shared" si="63"/>
        <v>467.60968800000001</v>
      </c>
      <c r="I361" s="33"/>
      <c r="L361" s="112"/>
      <c r="M361" s="112"/>
      <c r="N361" s="33"/>
    </row>
    <row r="362" spans="1:20" s="34" customFormat="1" ht="15.75" customHeight="1" x14ac:dyDescent="0.35">
      <c r="A362" s="110">
        <v>3</v>
      </c>
      <c r="B362" s="111"/>
      <c r="C362" s="39" t="s">
        <v>397</v>
      </c>
      <c r="D362" s="89">
        <f t="shared" si="61"/>
        <v>322.48944</v>
      </c>
      <c r="E362" s="39">
        <v>0</v>
      </c>
      <c r="F362" s="39">
        <f t="shared" si="62"/>
        <v>322.48944</v>
      </c>
      <c r="G362" s="39">
        <v>0</v>
      </c>
      <c r="H362" s="39">
        <f t="shared" si="63"/>
        <v>467.60968800000001</v>
      </c>
      <c r="I362" s="33"/>
      <c r="L362" s="112"/>
      <c r="M362" s="112"/>
      <c r="N362" s="33"/>
    </row>
    <row r="363" spans="1:20" s="34" customFormat="1" ht="15.75" customHeight="1" x14ac:dyDescent="0.35">
      <c r="A363" s="110">
        <v>4</v>
      </c>
      <c r="B363" s="111"/>
      <c r="C363" s="39" t="s">
        <v>397</v>
      </c>
      <c r="D363" s="89">
        <f t="shared" si="61"/>
        <v>322.48944</v>
      </c>
      <c r="E363" s="39">
        <v>0</v>
      </c>
      <c r="F363" s="39">
        <f t="shared" si="62"/>
        <v>322.48944</v>
      </c>
      <c r="G363" s="39">
        <v>0</v>
      </c>
      <c r="H363" s="39">
        <f t="shared" si="63"/>
        <v>467.60968800000001</v>
      </c>
      <c r="I363" s="33"/>
      <c r="L363" s="112"/>
      <c r="M363" s="112"/>
      <c r="N363" s="33"/>
      <c r="T363" s="18"/>
    </row>
    <row r="364" spans="1:20" s="34" customFormat="1" ht="15.75" customHeight="1" x14ac:dyDescent="0.35">
      <c r="A364" s="110">
        <v>5</v>
      </c>
      <c r="B364" s="111"/>
      <c r="C364" s="39" t="s">
        <v>397</v>
      </c>
      <c r="D364" s="89">
        <f t="shared" si="61"/>
        <v>322.48944</v>
      </c>
      <c r="E364" s="39">
        <v>0</v>
      </c>
      <c r="F364" s="39">
        <f t="shared" si="62"/>
        <v>322.48944</v>
      </c>
      <c r="G364" s="39">
        <v>0</v>
      </c>
      <c r="H364" s="39">
        <f t="shared" si="63"/>
        <v>467.60968800000001</v>
      </c>
      <c r="I364" s="33"/>
      <c r="L364" s="112"/>
      <c r="M364" s="112"/>
      <c r="N364" s="33"/>
    </row>
    <row r="365" spans="1:20" s="34" customFormat="1" ht="15.75" customHeight="1" x14ac:dyDescent="0.35">
      <c r="A365" s="110">
        <v>6</v>
      </c>
      <c r="B365" s="111"/>
      <c r="C365" s="39" t="s">
        <v>397</v>
      </c>
      <c r="D365" s="89">
        <f t="shared" si="61"/>
        <v>322.48944</v>
      </c>
      <c r="E365" s="39">
        <v>0</v>
      </c>
      <c r="F365" s="39">
        <f t="shared" si="62"/>
        <v>322.48944</v>
      </c>
      <c r="G365" s="39">
        <v>0</v>
      </c>
      <c r="H365" s="39">
        <f t="shared" si="63"/>
        <v>467.60968800000001</v>
      </c>
      <c r="I365" s="33"/>
      <c r="L365" s="112"/>
      <c r="M365" s="112"/>
      <c r="N365" s="33"/>
    </row>
    <row r="366" spans="1:20" s="34" customFormat="1" ht="15.75" customHeight="1" x14ac:dyDescent="0.35">
      <c r="A366" s="110">
        <v>7</v>
      </c>
      <c r="B366" s="111"/>
      <c r="C366" s="39" t="s">
        <v>397</v>
      </c>
      <c r="D366" s="89">
        <f t="shared" si="61"/>
        <v>322.48944</v>
      </c>
      <c r="E366" s="39">
        <v>0</v>
      </c>
      <c r="F366" s="39">
        <f t="shared" si="62"/>
        <v>322.48944</v>
      </c>
      <c r="G366" s="39">
        <v>0</v>
      </c>
      <c r="H366" s="39">
        <f t="shared" si="63"/>
        <v>467.60968800000001</v>
      </c>
      <c r="I366" s="33"/>
      <c r="L366" s="112"/>
      <c r="M366" s="112"/>
      <c r="N366" s="33"/>
    </row>
    <row r="367" spans="1:20" s="34" customFormat="1" ht="15.75" customHeight="1" x14ac:dyDescent="0.35">
      <c r="A367" s="110">
        <v>8</v>
      </c>
      <c r="B367" s="111"/>
      <c r="C367" s="39" t="s">
        <v>397</v>
      </c>
      <c r="D367" s="89">
        <f t="shared" si="61"/>
        <v>322.48944</v>
      </c>
      <c r="E367" s="39">
        <v>0</v>
      </c>
      <c r="F367" s="39">
        <f t="shared" si="62"/>
        <v>322.48944</v>
      </c>
      <c r="G367" s="39">
        <v>0</v>
      </c>
      <c r="H367" s="39">
        <f t="shared" si="63"/>
        <v>467.60968800000001</v>
      </c>
      <c r="I367" s="33"/>
      <c r="L367" s="112"/>
      <c r="M367" s="112"/>
      <c r="N367" s="33"/>
      <c r="T367" s="18"/>
    </row>
    <row r="368" spans="1:20" s="34" customFormat="1" x14ac:dyDescent="0.35">
      <c r="A368" s="113" t="s">
        <v>412</v>
      </c>
      <c r="B368" s="114"/>
      <c r="C368" s="114"/>
      <c r="D368" s="114"/>
      <c r="E368" s="114"/>
      <c r="F368" s="114"/>
      <c r="G368" s="114"/>
      <c r="H368" s="115"/>
      <c r="J368" s="33"/>
    </row>
    <row r="369" spans="1:20" s="34" customFormat="1" x14ac:dyDescent="0.35">
      <c r="A369" s="113" t="s">
        <v>402</v>
      </c>
      <c r="B369" s="114"/>
      <c r="C369" s="114"/>
      <c r="D369" s="114"/>
      <c r="E369" s="114"/>
      <c r="F369" s="114"/>
      <c r="G369" s="114"/>
      <c r="H369" s="115"/>
      <c r="J369" s="33"/>
    </row>
    <row r="370" spans="1:20" s="34" customFormat="1" ht="15.75" customHeight="1" x14ac:dyDescent="0.35">
      <c r="A370" s="110">
        <v>1</v>
      </c>
      <c r="B370" s="111"/>
      <c r="C370" s="39" t="s">
        <v>401</v>
      </c>
      <c r="D370" s="89">
        <f>(21.8)*(10.764)</f>
        <v>234.65519999999998</v>
      </c>
      <c r="E370" s="39">
        <v>0</v>
      </c>
      <c r="F370" s="39">
        <f t="shared" ref="F370:F377" si="64">D370+E370</f>
        <v>234.65519999999998</v>
      </c>
      <c r="G370" s="39">
        <v>0</v>
      </c>
      <c r="H370" s="39">
        <f t="shared" ref="H370:H377" si="65">F370*(($H$232)+1)+(IF(G370&lt;101,G370,IF(G370&lt;201,G370/2,IF(G370&lt;=301,G370/3,G370/4))))</f>
        <v>340.25003999999996</v>
      </c>
      <c r="I370" s="88">
        <f>4.25*2.75+2.8*2.1+1.65*1.2+0.9*1.2</f>
        <v>20.627499999999998</v>
      </c>
      <c r="L370" s="112"/>
      <c r="M370" s="112"/>
      <c r="N370" s="33"/>
    </row>
    <row r="371" spans="1:20" s="34" customFormat="1" ht="15.75" customHeight="1" x14ac:dyDescent="0.35">
      <c r="A371" s="110">
        <v>2</v>
      </c>
      <c r="B371" s="111"/>
      <c r="C371" s="39" t="s">
        <v>401</v>
      </c>
      <c r="D371" s="89">
        <f>(19.89)*(10.764)</f>
        <v>214.09595999999999</v>
      </c>
      <c r="E371" s="39">
        <v>0</v>
      </c>
      <c r="F371" s="39">
        <f t="shared" si="64"/>
        <v>214.09595999999999</v>
      </c>
      <c r="G371" s="39">
        <v>0</v>
      </c>
      <c r="H371" s="39">
        <f t="shared" si="65"/>
        <v>310.439142</v>
      </c>
      <c r="I371" s="33"/>
      <c r="L371" s="112"/>
      <c r="M371" s="112"/>
      <c r="N371" s="33"/>
    </row>
    <row r="372" spans="1:20" s="34" customFormat="1" ht="15.75" customHeight="1" x14ac:dyDescent="0.35">
      <c r="A372" s="110">
        <v>3</v>
      </c>
      <c r="B372" s="111"/>
      <c r="C372" s="39" t="s">
        <v>397</v>
      </c>
      <c r="D372" s="89">
        <f t="shared" ref="D372:D377" si="66">(29.96)*(10.764)</f>
        <v>322.48944</v>
      </c>
      <c r="E372" s="39">
        <v>0</v>
      </c>
      <c r="F372" s="39">
        <f t="shared" si="64"/>
        <v>322.48944</v>
      </c>
      <c r="G372" s="39">
        <v>0</v>
      </c>
      <c r="H372" s="39">
        <f t="shared" si="65"/>
        <v>467.60968800000001</v>
      </c>
      <c r="I372" s="33"/>
      <c r="L372" s="112"/>
      <c r="M372" s="112"/>
      <c r="N372" s="33"/>
    </row>
    <row r="373" spans="1:20" s="34" customFormat="1" ht="15.75" customHeight="1" x14ac:dyDescent="0.35">
      <c r="A373" s="110">
        <v>4</v>
      </c>
      <c r="B373" s="111"/>
      <c r="C373" s="39" t="s">
        <v>397</v>
      </c>
      <c r="D373" s="89">
        <f t="shared" si="66"/>
        <v>322.48944</v>
      </c>
      <c r="E373" s="39">
        <v>0</v>
      </c>
      <c r="F373" s="39">
        <f t="shared" si="64"/>
        <v>322.48944</v>
      </c>
      <c r="G373" s="39">
        <v>0</v>
      </c>
      <c r="H373" s="39">
        <f t="shared" si="65"/>
        <v>467.60968800000001</v>
      </c>
      <c r="I373" s="86">
        <f>4.25*2.75+2.8*2.1+2.8*2.75+1.65*1.2+0.9*1.2</f>
        <v>28.327500000000001</v>
      </c>
      <c r="L373" s="112"/>
      <c r="M373" s="112"/>
      <c r="N373" s="33"/>
      <c r="T373" s="18"/>
    </row>
    <row r="374" spans="1:20" s="34" customFormat="1" ht="15.75" customHeight="1" x14ac:dyDescent="0.35">
      <c r="A374" s="110">
        <v>5</v>
      </c>
      <c r="B374" s="111"/>
      <c r="C374" s="39" t="s">
        <v>397</v>
      </c>
      <c r="D374" s="89">
        <f t="shared" si="66"/>
        <v>322.48944</v>
      </c>
      <c r="E374" s="39">
        <v>0</v>
      </c>
      <c r="F374" s="39">
        <f t="shared" si="64"/>
        <v>322.48944</v>
      </c>
      <c r="G374" s="39">
        <v>0</v>
      </c>
      <c r="H374" s="39">
        <f t="shared" si="65"/>
        <v>467.60968800000001</v>
      </c>
      <c r="I374" s="33"/>
      <c r="L374" s="112"/>
      <c r="M374" s="112"/>
      <c r="N374" s="33"/>
    </row>
    <row r="375" spans="1:20" s="34" customFormat="1" ht="15.75" customHeight="1" x14ac:dyDescent="0.35">
      <c r="A375" s="110">
        <v>6</v>
      </c>
      <c r="B375" s="111"/>
      <c r="C375" s="39" t="s">
        <v>397</v>
      </c>
      <c r="D375" s="89">
        <f t="shared" si="66"/>
        <v>322.48944</v>
      </c>
      <c r="E375" s="39">
        <v>0</v>
      </c>
      <c r="F375" s="39">
        <f t="shared" si="64"/>
        <v>322.48944</v>
      </c>
      <c r="G375" s="39">
        <v>0</v>
      </c>
      <c r="H375" s="39">
        <f t="shared" si="65"/>
        <v>467.60968800000001</v>
      </c>
      <c r="I375" s="33"/>
      <c r="L375" s="112"/>
      <c r="M375" s="112"/>
      <c r="N375" s="33"/>
    </row>
    <row r="376" spans="1:20" s="34" customFormat="1" ht="15.75" customHeight="1" x14ac:dyDescent="0.35">
      <c r="A376" s="110">
        <v>7</v>
      </c>
      <c r="B376" s="111"/>
      <c r="C376" s="39" t="s">
        <v>397</v>
      </c>
      <c r="D376" s="89">
        <f t="shared" si="66"/>
        <v>322.48944</v>
      </c>
      <c r="E376" s="39">
        <v>0</v>
      </c>
      <c r="F376" s="39">
        <f t="shared" si="64"/>
        <v>322.48944</v>
      </c>
      <c r="G376" s="39">
        <v>0</v>
      </c>
      <c r="H376" s="39">
        <f t="shared" si="65"/>
        <v>467.60968800000001</v>
      </c>
      <c r="I376" s="33"/>
      <c r="L376" s="112"/>
      <c r="M376" s="112"/>
      <c r="N376" s="33"/>
    </row>
    <row r="377" spans="1:20" s="34" customFormat="1" ht="15.75" customHeight="1" x14ac:dyDescent="0.35">
      <c r="A377" s="110">
        <v>8</v>
      </c>
      <c r="B377" s="111"/>
      <c r="C377" s="39" t="s">
        <v>397</v>
      </c>
      <c r="D377" s="89">
        <f t="shared" si="66"/>
        <v>322.48944</v>
      </c>
      <c r="E377" s="39">
        <v>0</v>
      </c>
      <c r="F377" s="39">
        <f t="shared" si="64"/>
        <v>322.48944</v>
      </c>
      <c r="G377" s="39">
        <v>0</v>
      </c>
      <c r="H377" s="39">
        <f t="shared" si="65"/>
        <v>467.60968800000001</v>
      </c>
      <c r="I377" s="33"/>
      <c r="L377" s="112"/>
      <c r="M377" s="112"/>
      <c r="N377" s="33"/>
      <c r="T377" s="18"/>
    </row>
    <row r="378" spans="1:20" s="34" customFormat="1" x14ac:dyDescent="0.35">
      <c r="A378" s="113" t="s">
        <v>399</v>
      </c>
      <c r="B378" s="114"/>
      <c r="C378" s="114"/>
      <c r="D378" s="114"/>
      <c r="E378" s="114"/>
      <c r="F378" s="114"/>
      <c r="G378" s="114"/>
      <c r="H378" s="115"/>
      <c r="J378" s="33"/>
    </row>
    <row r="379" spans="1:20" s="34" customFormat="1" ht="15.75" customHeight="1" x14ac:dyDescent="0.35">
      <c r="A379" s="110">
        <v>1</v>
      </c>
      <c r="B379" s="111"/>
      <c r="C379" s="39" t="s">
        <v>397</v>
      </c>
      <c r="D379" s="89">
        <f t="shared" ref="D379:D386" si="67">(29.96)*(10.764)</f>
        <v>322.48944</v>
      </c>
      <c r="E379" s="39">
        <v>0</v>
      </c>
      <c r="F379" s="39">
        <f t="shared" ref="F379:F386" si="68">D379+E379</f>
        <v>322.48944</v>
      </c>
      <c r="G379" s="39">
        <v>0</v>
      </c>
      <c r="H379" s="39">
        <f t="shared" ref="H379:H386" si="69">F379*(($H$232)+1)+(IF(G379&lt;101,G379,IF(G379&lt;201,G379/2,IF(G379&lt;=301,G379/3,G379/4))))</f>
        <v>467.60968800000001</v>
      </c>
      <c r="I379" s="86">
        <f>4.25*2.75+2.8*2.1+2.8*2.75+1.65*1.2+0.9*1.2</f>
        <v>28.327500000000001</v>
      </c>
      <c r="L379" s="112"/>
      <c r="M379" s="112"/>
      <c r="N379" s="33"/>
    </row>
    <row r="380" spans="1:20" s="34" customFormat="1" ht="15.75" customHeight="1" x14ac:dyDescent="0.35">
      <c r="A380" s="110">
        <v>2</v>
      </c>
      <c r="B380" s="111"/>
      <c r="C380" s="39" t="s">
        <v>397</v>
      </c>
      <c r="D380" s="89">
        <f t="shared" si="67"/>
        <v>322.48944</v>
      </c>
      <c r="E380" s="39">
        <v>0</v>
      </c>
      <c r="F380" s="39">
        <f t="shared" si="68"/>
        <v>322.48944</v>
      </c>
      <c r="G380" s="39">
        <v>0</v>
      </c>
      <c r="H380" s="39">
        <f t="shared" si="69"/>
        <v>467.60968800000001</v>
      </c>
      <c r="I380" s="33"/>
      <c r="L380" s="112"/>
      <c r="M380" s="112"/>
      <c r="N380" s="33"/>
    </row>
    <row r="381" spans="1:20" s="34" customFormat="1" ht="15.75" customHeight="1" x14ac:dyDescent="0.35">
      <c r="A381" s="110">
        <v>3</v>
      </c>
      <c r="B381" s="111"/>
      <c r="C381" s="39" t="s">
        <v>397</v>
      </c>
      <c r="D381" s="89">
        <f t="shared" si="67"/>
        <v>322.48944</v>
      </c>
      <c r="E381" s="39">
        <v>0</v>
      </c>
      <c r="F381" s="39">
        <f t="shared" si="68"/>
        <v>322.48944</v>
      </c>
      <c r="G381" s="39">
        <v>0</v>
      </c>
      <c r="H381" s="39">
        <f t="shared" si="69"/>
        <v>467.60968800000001</v>
      </c>
      <c r="I381" s="33"/>
      <c r="L381" s="112"/>
      <c r="M381" s="112"/>
      <c r="N381" s="33"/>
    </row>
    <row r="382" spans="1:20" s="34" customFormat="1" ht="15.75" customHeight="1" x14ac:dyDescent="0.35">
      <c r="A382" s="110">
        <v>4</v>
      </c>
      <c r="B382" s="111"/>
      <c r="C382" s="39" t="s">
        <v>397</v>
      </c>
      <c r="D382" s="89">
        <f t="shared" si="67"/>
        <v>322.48944</v>
      </c>
      <c r="E382" s="39">
        <v>0</v>
      </c>
      <c r="F382" s="39">
        <f t="shared" si="68"/>
        <v>322.48944</v>
      </c>
      <c r="G382" s="39">
        <v>0</v>
      </c>
      <c r="H382" s="39">
        <f t="shared" si="69"/>
        <v>467.60968800000001</v>
      </c>
      <c r="I382" s="33"/>
      <c r="L382" s="112"/>
      <c r="M382" s="112"/>
      <c r="N382" s="33"/>
      <c r="T382" s="18"/>
    </row>
    <row r="383" spans="1:20" s="34" customFormat="1" ht="15.75" customHeight="1" x14ac:dyDescent="0.35">
      <c r="A383" s="110">
        <v>5</v>
      </c>
      <c r="B383" s="111"/>
      <c r="C383" s="39" t="s">
        <v>397</v>
      </c>
      <c r="D383" s="89">
        <f t="shared" si="67"/>
        <v>322.48944</v>
      </c>
      <c r="E383" s="39">
        <v>0</v>
      </c>
      <c r="F383" s="39">
        <f t="shared" si="68"/>
        <v>322.48944</v>
      </c>
      <c r="G383" s="39">
        <v>0</v>
      </c>
      <c r="H383" s="39">
        <f t="shared" si="69"/>
        <v>467.60968800000001</v>
      </c>
      <c r="I383" s="33"/>
      <c r="L383" s="112"/>
      <c r="M383" s="112"/>
      <c r="N383" s="33"/>
    </row>
    <row r="384" spans="1:20" s="34" customFormat="1" ht="15.75" customHeight="1" x14ac:dyDescent="0.35">
      <c r="A384" s="110">
        <v>6</v>
      </c>
      <c r="B384" s="111"/>
      <c r="C384" s="39" t="s">
        <v>397</v>
      </c>
      <c r="D384" s="89">
        <f t="shared" si="67"/>
        <v>322.48944</v>
      </c>
      <c r="E384" s="39">
        <v>0</v>
      </c>
      <c r="F384" s="39">
        <f t="shared" si="68"/>
        <v>322.48944</v>
      </c>
      <c r="G384" s="39">
        <v>0</v>
      </c>
      <c r="H384" s="39">
        <f t="shared" si="69"/>
        <v>467.60968800000001</v>
      </c>
      <c r="I384" s="33"/>
      <c r="L384" s="112"/>
      <c r="M384" s="112"/>
      <c r="N384" s="33"/>
    </row>
    <row r="385" spans="1:20" s="34" customFormat="1" ht="15.75" customHeight="1" x14ac:dyDescent="0.35">
      <c r="A385" s="110">
        <v>7</v>
      </c>
      <c r="B385" s="111"/>
      <c r="C385" s="39" t="s">
        <v>397</v>
      </c>
      <c r="D385" s="89">
        <f t="shared" si="67"/>
        <v>322.48944</v>
      </c>
      <c r="E385" s="39">
        <v>0</v>
      </c>
      <c r="F385" s="39">
        <f t="shared" si="68"/>
        <v>322.48944</v>
      </c>
      <c r="G385" s="39">
        <v>0</v>
      </c>
      <c r="H385" s="39">
        <f t="shared" si="69"/>
        <v>467.60968800000001</v>
      </c>
      <c r="I385" s="33"/>
      <c r="L385" s="112"/>
      <c r="M385" s="112"/>
      <c r="N385" s="33"/>
    </row>
    <row r="386" spans="1:20" s="34" customFormat="1" ht="15.75" customHeight="1" x14ac:dyDescent="0.35">
      <c r="A386" s="110">
        <v>8</v>
      </c>
      <c r="B386" s="111"/>
      <c r="C386" s="39" t="s">
        <v>397</v>
      </c>
      <c r="D386" s="89">
        <f t="shared" si="67"/>
        <v>322.48944</v>
      </c>
      <c r="E386" s="39">
        <v>0</v>
      </c>
      <c r="F386" s="39">
        <f t="shared" si="68"/>
        <v>322.48944</v>
      </c>
      <c r="G386" s="39">
        <v>0</v>
      </c>
      <c r="H386" s="39">
        <f t="shared" si="69"/>
        <v>467.60968800000001</v>
      </c>
      <c r="I386" s="33"/>
      <c r="L386" s="112"/>
      <c r="M386" s="112"/>
      <c r="N386" s="33"/>
      <c r="T386" s="18"/>
    </row>
    <row r="387" spans="1:20" s="34" customFormat="1" x14ac:dyDescent="0.35">
      <c r="A387" s="113" t="s">
        <v>413</v>
      </c>
      <c r="B387" s="114"/>
      <c r="C387" s="114"/>
      <c r="D387" s="114"/>
      <c r="E387" s="114"/>
      <c r="F387" s="114"/>
      <c r="G387" s="114"/>
      <c r="H387" s="115"/>
      <c r="J387" s="33"/>
    </row>
    <row r="388" spans="1:20" s="34" customFormat="1" x14ac:dyDescent="0.35">
      <c r="A388" s="113" t="s">
        <v>402</v>
      </c>
      <c r="B388" s="114"/>
      <c r="C388" s="114"/>
      <c r="D388" s="114"/>
      <c r="E388" s="114"/>
      <c r="F388" s="114"/>
      <c r="G388" s="114"/>
      <c r="H388" s="115"/>
      <c r="J388" s="33"/>
    </row>
    <row r="389" spans="1:20" s="34" customFormat="1" ht="15.75" customHeight="1" x14ac:dyDescent="0.35">
      <c r="A389" s="110">
        <v>1</v>
      </c>
      <c r="B389" s="111"/>
      <c r="C389" s="39" t="s">
        <v>401</v>
      </c>
      <c r="D389" s="89">
        <f>(21.8)*(10.764)</f>
        <v>234.65519999999998</v>
      </c>
      <c r="E389" s="39">
        <v>0</v>
      </c>
      <c r="F389" s="39">
        <f t="shared" ref="F389:F396" si="70">D389+E389</f>
        <v>234.65519999999998</v>
      </c>
      <c r="G389" s="39">
        <v>0</v>
      </c>
      <c r="H389" s="39">
        <f t="shared" ref="H389:H396" si="71">F389*(($H$232)+1)+(IF(G389&lt;101,G389,IF(G389&lt;201,G389/2,IF(G389&lt;=301,G389/3,G389/4))))</f>
        <v>340.25003999999996</v>
      </c>
      <c r="I389" s="88">
        <f>4.25*2.75+2.8*2.1+1.65*1.2+0.9*1.2</f>
        <v>20.627499999999998</v>
      </c>
      <c r="L389" s="112"/>
      <c r="M389" s="112"/>
      <c r="N389" s="33"/>
    </row>
    <row r="390" spans="1:20" s="34" customFormat="1" ht="15.75" customHeight="1" x14ac:dyDescent="0.35">
      <c r="A390" s="110">
        <v>2</v>
      </c>
      <c r="B390" s="111"/>
      <c r="C390" s="39" t="s">
        <v>401</v>
      </c>
      <c r="D390" s="89">
        <f>(19.89)*(10.764)</f>
        <v>214.09595999999999</v>
      </c>
      <c r="E390" s="39">
        <v>0</v>
      </c>
      <c r="F390" s="39">
        <f t="shared" si="70"/>
        <v>214.09595999999999</v>
      </c>
      <c r="G390" s="39">
        <v>0</v>
      </c>
      <c r="H390" s="39">
        <f t="shared" si="71"/>
        <v>310.439142</v>
      </c>
      <c r="I390" s="33"/>
      <c r="L390" s="112"/>
      <c r="M390" s="112"/>
      <c r="N390" s="33"/>
    </row>
    <row r="391" spans="1:20" s="34" customFormat="1" ht="15.75" customHeight="1" x14ac:dyDescent="0.35">
      <c r="A391" s="110">
        <v>3</v>
      </c>
      <c r="B391" s="111"/>
      <c r="C391" s="39" t="s">
        <v>397</v>
      </c>
      <c r="D391" s="89">
        <f t="shared" ref="D391:D396" si="72">(29.96)*(10.764)</f>
        <v>322.48944</v>
      </c>
      <c r="E391" s="39">
        <v>0</v>
      </c>
      <c r="F391" s="39">
        <f t="shared" si="70"/>
        <v>322.48944</v>
      </c>
      <c r="G391" s="39">
        <v>0</v>
      </c>
      <c r="H391" s="39">
        <f t="shared" si="71"/>
        <v>467.60968800000001</v>
      </c>
      <c r="I391" s="33"/>
      <c r="L391" s="112"/>
      <c r="M391" s="112"/>
      <c r="N391" s="33"/>
    </row>
    <row r="392" spans="1:20" s="34" customFormat="1" ht="15.75" customHeight="1" x14ac:dyDescent="0.35">
      <c r="A392" s="110">
        <v>4</v>
      </c>
      <c r="B392" s="111"/>
      <c r="C392" s="39" t="s">
        <v>397</v>
      </c>
      <c r="D392" s="89">
        <f t="shared" si="72"/>
        <v>322.48944</v>
      </c>
      <c r="E392" s="39">
        <v>0</v>
      </c>
      <c r="F392" s="39">
        <f t="shared" si="70"/>
        <v>322.48944</v>
      </c>
      <c r="G392" s="39">
        <v>0</v>
      </c>
      <c r="H392" s="39">
        <f t="shared" si="71"/>
        <v>467.60968800000001</v>
      </c>
      <c r="I392" s="86">
        <f>4.25*2.75+2.8*2.1+2.8*2.75+1.65*1.2+0.9*1.2</f>
        <v>28.327500000000001</v>
      </c>
      <c r="L392" s="112"/>
      <c r="M392" s="112"/>
      <c r="N392" s="33"/>
      <c r="T392" s="18"/>
    </row>
    <row r="393" spans="1:20" s="34" customFormat="1" ht="15.75" customHeight="1" x14ac:dyDescent="0.35">
      <c r="A393" s="110">
        <v>5</v>
      </c>
      <c r="B393" s="111"/>
      <c r="C393" s="39" t="s">
        <v>397</v>
      </c>
      <c r="D393" s="89">
        <f t="shared" si="72"/>
        <v>322.48944</v>
      </c>
      <c r="E393" s="39">
        <v>0</v>
      </c>
      <c r="F393" s="39">
        <f t="shared" si="70"/>
        <v>322.48944</v>
      </c>
      <c r="G393" s="39">
        <v>0</v>
      </c>
      <c r="H393" s="39">
        <f t="shared" si="71"/>
        <v>467.60968800000001</v>
      </c>
      <c r="I393" s="33"/>
      <c r="L393" s="112"/>
      <c r="M393" s="112"/>
      <c r="N393" s="33"/>
    </row>
    <row r="394" spans="1:20" s="34" customFormat="1" ht="15.75" customHeight="1" x14ac:dyDescent="0.35">
      <c r="A394" s="110">
        <v>6</v>
      </c>
      <c r="B394" s="111"/>
      <c r="C394" s="39" t="s">
        <v>397</v>
      </c>
      <c r="D394" s="89">
        <f t="shared" si="72"/>
        <v>322.48944</v>
      </c>
      <c r="E394" s="39">
        <v>0</v>
      </c>
      <c r="F394" s="39">
        <f t="shared" si="70"/>
        <v>322.48944</v>
      </c>
      <c r="G394" s="39">
        <v>0</v>
      </c>
      <c r="H394" s="39">
        <f t="shared" si="71"/>
        <v>467.60968800000001</v>
      </c>
      <c r="I394" s="33"/>
      <c r="L394" s="112"/>
      <c r="M394" s="112"/>
      <c r="N394" s="33"/>
    </row>
    <row r="395" spans="1:20" s="34" customFormat="1" ht="15.75" customHeight="1" x14ac:dyDescent="0.35">
      <c r="A395" s="110">
        <v>7</v>
      </c>
      <c r="B395" s="111"/>
      <c r="C395" s="39" t="s">
        <v>397</v>
      </c>
      <c r="D395" s="89">
        <f t="shared" si="72"/>
        <v>322.48944</v>
      </c>
      <c r="E395" s="39">
        <v>0</v>
      </c>
      <c r="F395" s="39">
        <f t="shared" si="70"/>
        <v>322.48944</v>
      </c>
      <c r="G395" s="39">
        <v>0</v>
      </c>
      <c r="H395" s="39">
        <f t="shared" si="71"/>
        <v>467.60968800000001</v>
      </c>
      <c r="I395" s="33"/>
      <c r="L395" s="112"/>
      <c r="M395" s="112"/>
      <c r="N395" s="33"/>
    </row>
    <row r="396" spans="1:20" s="34" customFormat="1" ht="15.75" customHeight="1" x14ac:dyDescent="0.35">
      <c r="A396" s="110">
        <v>8</v>
      </c>
      <c r="B396" s="111"/>
      <c r="C396" s="39" t="s">
        <v>397</v>
      </c>
      <c r="D396" s="89">
        <f t="shared" si="72"/>
        <v>322.48944</v>
      </c>
      <c r="E396" s="39">
        <v>0</v>
      </c>
      <c r="F396" s="39">
        <f t="shared" si="70"/>
        <v>322.48944</v>
      </c>
      <c r="G396" s="39">
        <v>0</v>
      </c>
      <c r="H396" s="39">
        <f t="shared" si="71"/>
        <v>467.60968800000001</v>
      </c>
      <c r="I396" s="33"/>
      <c r="L396" s="112"/>
      <c r="M396" s="112"/>
      <c r="N396" s="33"/>
      <c r="T396" s="18"/>
    </row>
    <row r="397" spans="1:20" s="34" customFormat="1" x14ac:dyDescent="0.35">
      <c r="A397" s="113" t="s">
        <v>399</v>
      </c>
      <c r="B397" s="114"/>
      <c r="C397" s="114"/>
      <c r="D397" s="114"/>
      <c r="E397" s="114"/>
      <c r="F397" s="114"/>
      <c r="G397" s="114"/>
      <c r="H397" s="115"/>
      <c r="J397" s="33"/>
    </row>
    <row r="398" spans="1:20" s="34" customFormat="1" ht="15.75" customHeight="1" x14ac:dyDescent="0.35">
      <c r="A398" s="110">
        <v>1</v>
      </c>
      <c r="B398" s="111"/>
      <c r="C398" s="39" t="s">
        <v>397</v>
      </c>
      <c r="D398" s="89">
        <f t="shared" ref="D398:D405" si="73">(29.96)*(10.764)</f>
        <v>322.48944</v>
      </c>
      <c r="E398" s="39">
        <v>0</v>
      </c>
      <c r="F398" s="39">
        <f t="shared" ref="F398:F405" si="74">D398+E398</f>
        <v>322.48944</v>
      </c>
      <c r="G398" s="39">
        <v>0</v>
      </c>
      <c r="H398" s="39">
        <f t="shared" ref="H398:H405" si="75">F398*(($H$232)+1)+(IF(G398&lt;101,G398,IF(G398&lt;201,G398/2,IF(G398&lt;=301,G398/3,G398/4))))</f>
        <v>467.60968800000001</v>
      </c>
      <c r="I398" s="86">
        <f>4.25*2.75+2.8*2.1+2.8*2.75+1.65*1.2+0.9*1.2</f>
        <v>28.327500000000001</v>
      </c>
      <c r="L398" s="112"/>
      <c r="M398" s="112"/>
      <c r="N398" s="33"/>
    </row>
    <row r="399" spans="1:20" s="34" customFormat="1" ht="15.75" customHeight="1" x14ac:dyDescent="0.35">
      <c r="A399" s="110">
        <v>2</v>
      </c>
      <c r="B399" s="111"/>
      <c r="C399" s="39" t="s">
        <v>397</v>
      </c>
      <c r="D399" s="89">
        <f t="shared" si="73"/>
        <v>322.48944</v>
      </c>
      <c r="E399" s="39">
        <v>0</v>
      </c>
      <c r="F399" s="39">
        <f t="shared" si="74"/>
        <v>322.48944</v>
      </c>
      <c r="G399" s="39">
        <v>0</v>
      </c>
      <c r="H399" s="39">
        <f t="shared" si="75"/>
        <v>467.60968800000001</v>
      </c>
      <c r="I399" s="33"/>
      <c r="L399" s="112"/>
      <c r="M399" s="112"/>
      <c r="N399" s="33"/>
    </row>
    <row r="400" spans="1:20" s="34" customFormat="1" ht="15.75" customHeight="1" x14ac:dyDescent="0.35">
      <c r="A400" s="110">
        <v>3</v>
      </c>
      <c r="B400" s="111"/>
      <c r="C400" s="39" t="s">
        <v>397</v>
      </c>
      <c r="D400" s="89">
        <f t="shared" si="73"/>
        <v>322.48944</v>
      </c>
      <c r="E400" s="39">
        <v>0</v>
      </c>
      <c r="F400" s="39">
        <f t="shared" si="74"/>
        <v>322.48944</v>
      </c>
      <c r="G400" s="39">
        <v>0</v>
      </c>
      <c r="H400" s="39">
        <f t="shared" si="75"/>
        <v>467.60968800000001</v>
      </c>
      <c r="I400" s="33"/>
      <c r="L400" s="112"/>
      <c r="M400" s="112"/>
      <c r="N400" s="33"/>
    </row>
    <row r="401" spans="1:20" s="34" customFormat="1" ht="15.75" customHeight="1" x14ac:dyDescent="0.35">
      <c r="A401" s="110">
        <v>4</v>
      </c>
      <c r="B401" s="111"/>
      <c r="C401" s="39" t="s">
        <v>397</v>
      </c>
      <c r="D401" s="89">
        <f t="shared" si="73"/>
        <v>322.48944</v>
      </c>
      <c r="E401" s="39">
        <v>0</v>
      </c>
      <c r="F401" s="39">
        <f t="shared" si="74"/>
        <v>322.48944</v>
      </c>
      <c r="G401" s="39">
        <v>0</v>
      </c>
      <c r="H401" s="39">
        <f t="shared" si="75"/>
        <v>467.60968800000001</v>
      </c>
      <c r="I401" s="33"/>
      <c r="L401" s="112"/>
      <c r="M401" s="112"/>
      <c r="N401" s="33"/>
      <c r="T401" s="18"/>
    </row>
    <row r="402" spans="1:20" s="34" customFormat="1" ht="15.75" customHeight="1" x14ac:dyDescent="0.35">
      <c r="A402" s="110">
        <v>5</v>
      </c>
      <c r="B402" s="111"/>
      <c r="C402" s="39" t="s">
        <v>397</v>
      </c>
      <c r="D402" s="89">
        <f t="shared" si="73"/>
        <v>322.48944</v>
      </c>
      <c r="E402" s="39">
        <v>0</v>
      </c>
      <c r="F402" s="39">
        <f t="shared" si="74"/>
        <v>322.48944</v>
      </c>
      <c r="G402" s="39">
        <v>0</v>
      </c>
      <c r="H402" s="39">
        <f t="shared" si="75"/>
        <v>467.60968800000001</v>
      </c>
      <c r="I402" s="33"/>
      <c r="L402" s="112"/>
      <c r="M402" s="112"/>
      <c r="N402" s="33"/>
    </row>
    <row r="403" spans="1:20" s="34" customFormat="1" ht="15.75" customHeight="1" x14ac:dyDescent="0.35">
      <c r="A403" s="110">
        <v>6</v>
      </c>
      <c r="B403" s="111"/>
      <c r="C403" s="39" t="s">
        <v>397</v>
      </c>
      <c r="D403" s="89">
        <f t="shared" si="73"/>
        <v>322.48944</v>
      </c>
      <c r="E403" s="39">
        <v>0</v>
      </c>
      <c r="F403" s="39">
        <f t="shared" si="74"/>
        <v>322.48944</v>
      </c>
      <c r="G403" s="39">
        <v>0</v>
      </c>
      <c r="H403" s="39">
        <f t="shared" si="75"/>
        <v>467.60968800000001</v>
      </c>
      <c r="I403" s="33"/>
      <c r="L403" s="112"/>
      <c r="M403" s="112"/>
      <c r="N403" s="33"/>
    </row>
    <row r="404" spans="1:20" s="34" customFormat="1" ht="15.75" customHeight="1" x14ac:dyDescent="0.35">
      <c r="A404" s="110">
        <v>7</v>
      </c>
      <c r="B404" s="111"/>
      <c r="C404" s="39" t="s">
        <v>397</v>
      </c>
      <c r="D404" s="89">
        <f t="shared" si="73"/>
        <v>322.48944</v>
      </c>
      <c r="E404" s="39">
        <v>0</v>
      </c>
      <c r="F404" s="39">
        <f t="shared" si="74"/>
        <v>322.48944</v>
      </c>
      <c r="G404" s="39">
        <v>0</v>
      </c>
      <c r="H404" s="39">
        <f t="shared" si="75"/>
        <v>467.60968800000001</v>
      </c>
      <c r="I404" s="33"/>
      <c r="L404" s="112"/>
      <c r="M404" s="112"/>
      <c r="N404" s="33"/>
    </row>
    <row r="405" spans="1:20" s="34" customFormat="1" ht="15.75" customHeight="1" x14ac:dyDescent="0.35">
      <c r="A405" s="110">
        <v>8</v>
      </c>
      <c r="B405" s="111"/>
      <c r="C405" s="39" t="s">
        <v>397</v>
      </c>
      <c r="D405" s="89">
        <f t="shared" si="73"/>
        <v>322.48944</v>
      </c>
      <c r="E405" s="39">
        <v>0</v>
      </c>
      <c r="F405" s="39">
        <f t="shared" si="74"/>
        <v>322.48944</v>
      </c>
      <c r="G405" s="39">
        <v>0</v>
      </c>
      <c r="H405" s="39">
        <f t="shared" si="75"/>
        <v>467.60968800000001</v>
      </c>
      <c r="I405" s="33"/>
      <c r="L405" s="112"/>
      <c r="M405" s="112"/>
      <c r="N405" s="33"/>
      <c r="T405" s="18"/>
    </row>
    <row r="406" spans="1:20" s="34" customFormat="1" x14ac:dyDescent="0.35">
      <c r="A406" s="119" t="s">
        <v>403</v>
      </c>
      <c r="B406" s="120"/>
      <c r="C406" s="120"/>
      <c r="D406" s="120"/>
      <c r="E406" s="120"/>
      <c r="F406" s="120"/>
      <c r="G406" s="120"/>
      <c r="H406" s="121"/>
      <c r="J406" s="33"/>
    </row>
    <row r="407" spans="1:20" s="34" customFormat="1" x14ac:dyDescent="0.35">
      <c r="A407" s="113" t="s">
        <v>414</v>
      </c>
      <c r="B407" s="114"/>
      <c r="C407" s="114"/>
      <c r="D407" s="114"/>
      <c r="E407" s="114"/>
      <c r="F407" s="114"/>
      <c r="G407" s="114"/>
      <c r="H407" s="115"/>
      <c r="J407" s="33"/>
    </row>
    <row r="408" spans="1:20" s="34" customFormat="1" x14ac:dyDescent="0.35">
      <c r="A408" s="113" t="s">
        <v>404</v>
      </c>
      <c r="B408" s="114"/>
      <c r="C408" s="114"/>
      <c r="D408" s="114"/>
      <c r="E408" s="114"/>
      <c r="F408" s="114"/>
      <c r="G408" s="114"/>
      <c r="H408" s="115"/>
      <c r="J408" s="33"/>
    </row>
    <row r="409" spans="1:20" s="34" customFormat="1" ht="15.75" customHeight="1" x14ac:dyDescent="0.35">
      <c r="A409" s="110">
        <v>1</v>
      </c>
      <c r="B409" s="111"/>
      <c r="C409" s="39" t="s">
        <v>397</v>
      </c>
      <c r="D409" s="89">
        <f>(29.96)*(10.764)</f>
        <v>322.48944</v>
      </c>
      <c r="E409" s="39">
        <v>0</v>
      </c>
      <c r="F409" s="39">
        <f t="shared" ref="F409:F416" si="76">D409+E409</f>
        <v>322.48944</v>
      </c>
      <c r="G409" s="39">
        <v>0</v>
      </c>
      <c r="H409" s="39">
        <f t="shared" ref="H409:H416" si="77">F409*(($H$232)+1)+(IF(G409&lt;101,G409,IF(G409&lt;201,G409/2,IF(G409&lt;=301,G409/3,G409/4))))</f>
        <v>467.60968800000001</v>
      </c>
      <c r="I409" s="86">
        <f>4.25*2.75+2.8*2.1+2.8*2.75+1.65*1.2+0.9*1.2</f>
        <v>28.327500000000001</v>
      </c>
      <c r="L409" s="112"/>
      <c r="M409" s="112"/>
      <c r="N409" s="33"/>
    </row>
    <row r="410" spans="1:20" s="34" customFormat="1" ht="15.75" customHeight="1" x14ac:dyDescent="0.35">
      <c r="A410" s="110">
        <v>2</v>
      </c>
      <c r="B410" s="111"/>
      <c r="C410" s="39" t="s">
        <v>401</v>
      </c>
      <c r="D410" s="89">
        <f>(20.09)*(10.764)</f>
        <v>216.24875999999998</v>
      </c>
      <c r="E410" s="39">
        <v>0</v>
      </c>
      <c r="F410" s="39">
        <f t="shared" si="76"/>
        <v>216.24875999999998</v>
      </c>
      <c r="G410" s="39">
        <v>0</v>
      </c>
      <c r="H410" s="39">
        <f t="shared" si="77"/>
        <v>313.56070199999994</v>
      </c>
      <c r="I410" s="88">
        <f>4.25*2.75+3*1.2+0.9*1.2+1.65*1.2+1.2</f>
        <v>19.547499999999999</v>
      </c>
      <c r="L410" s="112"/>
      <c r="M410" s="112"/>
      <c r="N410" s="33"/>
    </row>
    <row r="411" spans="1:20" s="34" customFormat="1" ht="15.75" customHeight="1" x14ac:dyDescent="0.35">
      <c r="A411" s="110">
        <v>3</v>
      </c>
      <c r="B411" s="111"/>
      <c r="C411" s="39" t="s">
        <v>397</v>
      </c>
      <c r="D411" s="89">
        <f t="shared" ref="D411:D416" si="78">(29.96)*(10.764)</f>
        <v>322.48944</v>
      </c>
      <c r="E411" s="39">
        <v>0</v>
      </c>
      <c r="F411" s="39">
        <f t="shared" si="76"/>
        <v>322.48944</v>
      </c>
      <c r="G411" s="39">
        <v>0</v>
      </c>
      <c r="H411" s="39">
        <f t="shared" si="77"/>
        <v>467.60968800000001</v>
      </c>
      <c r="I411" s="33"/>
      <c r="L411" s="112"/>
      <c r="M411" s="112"/>
      <c r="N411" s="33"/>
    </row>
    <row r="412" spans="1:20" s="34" customFormat="1" ht="15.75" customHeight="1" x14ac:dyDescent="0.35">
      <c r="A412" s="110">
        <v>4</v>
      </c>
      <c r="B412" s="111"/>
      <c r="C412" s="39" t="s">
        <v>397</v>
      </c>
      <c r="D412" s="89">
        <f t="shared" si="78"/>
        <v>322.48944</v>
      </c>
      <c r="E412" s="39">
        <v>0</v>
      </c>
      <c r="F412" s="39">
        <f t="shared" si="76"/>
        <v>322.48944</v>
      </c>
      <c r="G412" s="39">
        <v>0</v>
      </c>
      <c r="H412" s="39">
        <f t="shared" si="77"/>
        <v>467.60968800000001</v>
      </c>
      <c r="I412" s="33"/>
      <c r="L412" s="112"/>
      <c r="M412" s="112"/>
      <c r="N412" s="33"/>
      <c r="T412" s="18"/>
    </row>
    <row r="413" spans="1:20" s="34" customFormat="1" ht="15.75" customHeight="1" x14ac:dyDescent="0.35">
      <c r="A413" s="110">
        <v>5</v>
      </c>
      <c r="B413" s="111"/>
      <c r="C413" s="39" t="s">
        <v>397</v>
      </c>
      <c r="D413" s="89">
        <f t="shared" si="78"/>
        <v>322.48944</v>
      </c>
      <c r="E413" s="39">
        <v>0</v>
      </c>
      <c r="F413" s="39">
        <f t="shared" si="76"/>
        <v>322.48944</v>
      </c>
      <c r="G413" s="39">
        <v>0</v>
      </c>
      <c r="H413" s="39">
        <f t="shared" si="77"/>
        <v>467.60968800000001</v>
      </c>
      <c r="I413" s="33"/>
      <c r="L413" s="112"/>
      <c r="M413" s="112"/>
      <c r="N413" s="33"/>
    </row>
    <row r="414" spans="1:20" s="34" customFormat="1" ht="15.75" customHeight="1" x14ac:dyDescent="0.35">
      <c r="A414" s="110">
        <v>6</v>
      </c>
      <c r="B414" s="111"/>
      <c r="C414" s="39" t="s">
        <v>397</v>
      </c>
      <c r="D414" s="89">
        <f t="shared" si="78"/>
        <v>322.48944</v>
      </c>
      <c r="E414" s="39">
        <v>0</v>
      </c>
      <c r="F414" s="39">
        <f t="shared" si="76"/>
        <v>322.48944</v>
      </c>
      <c r="G414" s="39">
        <v>0</v>
      </c>
      <c r="H414" s="39">
        <f t="shared" si="77"/>
        <v>467.60968800000001</v>
      </c>
      <c r="I414" s="33"/>
      <c r="L414" s="112"/>
      <c r="M414" s="112"/>
      <c r="N414" s="33"/>
    </row>
    <row r="415" spans="1:20" s="34" customFormat="1" ht="15.75" customHeight="1" x14ac:dyDescent="0.35">
      <c r="A415" s="110">
        <v>7</v>
      </c>
      <c r="B415" s="111"/>
      <c r="C415" s="39" t="s">
        <v>397</v>
      </c>
      <c r="D415" s="89">
        <f t="shared" si="78"/>
        <v>322.48944</v>
      </c>
      <c r="E415" s="39">
        <v>0</v>
      </c>
      <c r="F415" s="39">
        <f t="shared" si="76"/>
        <v>322.48944</v>
      </c>
      <c r="G415" s="39">
        <v>0</v>
      </c>
      <c r="H415" s="39">
        <f t="shared" si="77"/>
        <v>467.60968800000001</v>
      </c>
      <c r="I415" s="33"/>
      <c r="L415" s="112"/>
      <c r="M415" s="112"/>
      <c r="N415" s="33"/>
    </row>
    <row r="416" spans="1:20" s="34" customFormat="1" ht="15.75" customHeight="1" x14ac:dyDescent="0.35">
      <c r="A416" s="110">
        <v>8</v>
      </c>
      <c r="B416" s="111"/>
      <c r="C416" s="39" t="s">
        <v>397</v>
      </c>
      <c r="D416" s="89">
        <f t="shared" si="78"/>
        <v>322.48944</v>
      </c>
      <c r="E416" s="39">
        <v>0</v>
      </c>
      <c r="F416" s="39">
        <f t="shared" si="76"/>
        <v>322.48944</v>
      </c>
      <c r="G416" s="39">
        <v>0</v>
      </c>
      <c r="H416" s="39">
        <f t="shared" si="77"/>
        <v>467.60968800000001</v>
      </c>
      <c r="I416" s="33"/>
      <c r="L416" s="112"/>
      <c r="M416" s="112"/>
      <c r="N416" s="33"/>
      <c r="T416" s="18"/>
    </row>
    <row r="417" spans="1:20" s="34" customFormat="1" x14ac:dyDescent="0.35">
      <c r="A417" s="113" t="s">
        <v>399</v>
      </c>
      <c r="B417" s="114"/>
      <c r="C417" s="114"/>
      <c r="D417" s="114"/>
      <c r="E417" s="114"/>
      <c r="F417" s="114"/>
      <c r="G417" s="114"/>
      <c r="H417" s="115"/>
      <c r="J417" s="33"/>
    </row>
    <row r="418" spans="1:20" s="34" customFormat="1" ht="15.75" customHeight="1" x14ac:dyDescent="0.35">
      <c r="A418" s="110">
        <v>1</v>
      </c>
      <c r="B418" s="111"/>
      <c r="C418" s="39" t="s">
        <v>397</v>
      </c>
      <c r="D418" s="89">
        <f t="shared" ref="D418:D425" si="79">(29.96)*(10.764)</f>
        <v>322.48944</v>
      </c>
      <c r="E418" s="39">
        <v>0</v>
      </c>
      <c r="F418" s="39">
        <f t="shared" ref="F418:F425" si="80">D418+E418</f>
        <v>322.48944</v>
      </c>
      <c r="G418" s="39">
        <v>0</v>
      </c>
      <c r="H418" s="39">
        <f t="shared" ref="H418:H425" si="81">F418*(($H$232)+1)+(IF(G418&lt;101,G418,IF(G418&lt;201,G418/2,IF(G418&lt;=301,G418/3,G418/4))))</f>
        <v>467.60968800000001</v>
      </c>
      <c r="I418" s="86">
        <f>4.25*2.75+2.8*2.1+2.8*2.75+1.65*1.2+0.9*1.2</f>
        <v>28.327500000000001</v>
      </c>
      <c r="L418" s="112"/>
      <c r="M418" s="112"/>
      <c r="N418" s="33"/>
    </row>
    <row r="419" spans="1:20" s="34" customFormat="1" ht="15.75" customHeight="1" x14ac:dyDescent="0.35">
      <c r="A419" s="110">
        <v>2</v>
      </c>
      <c r="B419" s="111"/>
      <c r="C419" s="39" t="s">
        <v>397</v>
      </c>
      <c r="D419" s="89">
        <f t="shared" si="79"/>
        <v>322.48944</v>
      </c>
      <c r="E419" s="39">
        <v>0</v>
      </c>
      <c r="F419" s="39">
        <f t="shared" si="80"/>
        <v>322.48944</v>
      </c>
      <c r="G419" s="39">
        <v>0</v>
      </c>
      <c r="H419" s="39">
        <f t="shared" si="81"/>
        <v>467.60968800000001</v>
      </c>
      <c r="I419" s="33"/>
      <c r="L419" s="112"/>
      <c r="M419" s="112"/>
      <c r="N419" s="33"/>
    </row>
    <row r="420" spans="1:20" s="34" customFormat="1" ht="15.75" customHeight="1" x14ac:dyDescent="0.35">
      <c r="A420" s="110">
        <v>3</v>
      </c>
      <c r="B420" s="111"/>
      <c r="C420" s="39" t="s">
        <v>397</v>
      </c>
      <c r="D420" s="89">
        <f t="shared" si="79"/>
        <v>322.48944</v>
      </c>
      <c r="E420" s="39">
        <v>0</v>
      </c>
      <c r="F420" s="39">
        <f t="shared" si="80"/>
        <v>322.48944</v>
      </c>
      <c r="G420" s="39">
        <v>0</v>
      </c>
      <c r="H420" s="39">
        <f t="shared" si="81"/>
        <v>467.60968800000001</v>
      </c>
      <c r="I420" s="33"/>
      <c r="L420" s="112"/>
      <c r="M420" s="112"/>
      <c r="N420" s="33"/>
    </row>
    <row r="421" spans="1:20" s="34" customFormat="1" ht="15.75" customHeight="1" x14ac:dyDescent="0.35">
      <c r="A421" s="110">
        <v>4</v>
      </c>
      <c r="B421" s="111"/>
      <c r="C421" s="39" t="s">
        <v>397</v>
      </c>
      <c r="D421" s="89">
        <f t="shared" si="79"/>
        <v>322.48944</v>
      </c>
      <c r="E421" s="39">
        <v>0</v>
      </c>
      <c r="F421" s="39">
        <f t="shared" si="80"/>
        <v>322.48944</v>
      </c>
      <c r="G421" s="39">
        <v>0</v>
      </c>
      <c r="H421" s="39">
        <f t="shared" si="81"/>
        <v>467.60968800000001</v>
      </c>
      <c r="I421" s="33"/>
      <c r="L421" s="112"/>
      <c r="M421" s="112"/>
      <c r="N421" s="33"/>
      <c r="T421" s="18"/>
    </row>
    <row r="422" spans="1:20" s="34" customFormat="1" ht="15.75" customHeight="1" x14ac:dyDescent="0.35">
      <c r="A422" s="110">
        <v>5</v>
      </c>
      <c r="B422" s="111"/>
      <c r="C422" s="39" t="s">
        <v>397</v>
      </c>
      <c r="D422" s="89">
        <f t="shared" si="79"/>
        <v>322.48944</v>
      </c>
      <c r="E422" s="39">
        <v>0</v>
      </c>
      <c r="F422" s="39">
        <f t="shared" si="80"/>
        <v>322.48944</v>
      </c>
      <c r="G422" s="39">
        <v>0</v>
      </c>
      <c r="H422" s="39">
        <f t="shared" si="81"/>
        <v>467.60968800000001</v>
      </c>
      <c r="I422" s="33"/>
      <c r="L422" s="112"/>
      <c r="M422" s="112"/>
      <c r="N422" s="33"/>
    </row>
    <row r="423" spans="1:20" s="34" customFormat="1" ht="15.75" customHeight="1" x14ac:dyDescent="0.35">
      <c r="A423" s="110">
        <v>6</v>
      </c>
      <c r="B423" s="111"/>
      <c r="C423" s="39" t="s">
        <v>397</v>
      </c>
      <c r="D423" s="89">
        <f t="shared" si="79"/>
        <v>322.48944</v>
      </c>
      <c r="E423" s="39">
        <v>0</v>
      </c>
      <c r="F423" s="39">
        <f t="shared" si="80"/>
        <v>322.48944</v>
      </c>
      <c r="G423" s="39">
        <v>0</v>
      </c>
      <c r="H423" s="39">
        <f t="shared" si="81"/>
        <v>467.60968800000001</v>
      </c>
      <c r="I423" s="33"/>
      <c r="L423" s="112"/>
      <c r="M423" s="112"/>
      <c r="N423" s="33"/>
    </row>
    <row r="424" spans="1:20" s="34" customFormat="1" ht="15.75" customHeight="1" x14ac:dyDescent="0.35">
      <c r="A424" s="110">
        <v>7</v>
      </c>
      <c r="B424" s="111"/>
      <c r="C424" s="39" t="s">
        <v>397</v>
      </c>
      <c r="D424" s="89">
        <f t="shared" si="79"/>
        <v>322.48944</v>
      </c>
      <c r="E424" s="39">
        <v>0</v>
      </c>
      <c r="F424" s="39">
        <f t="shared" si="80"/>
        <v>322.48944</v>
      </c>
      <c r="G424" s="39">
        <v>0</v>
      </c>
      <c r="H424" s="39">
        <f t="shared" si="81"/>
        <v>467.60968800000001</v>
      </c>
      <c r="I424" s="33"/>
      <c r="L424" s="112"/>
      <c r="M424" s="112"/>
      <c r="N424" s="33"/>
    </row>
    <row r="425" spans="1:20" s="34" customFormat="1" ht="15.75" customHeight="1" x14ac:dyDescent="0.35">
      <c r="A425" s="110">
        <v>8</v>
      </c>
      <c r="B425" s="111"/>
      <c r="C425" s="39" t="s">
        <v>397</v>
      </c>
      <c r="D425" s="89">
        <f t="shared" si="79"/>
        <v>322.48944</v>
      </c>
      <c r="E425" s="39">
        <v>0</v>
      </c>
      <c r="F425" s="39">
        <f t="shared" si="80"/>
        <v>322.48944</v>
      </c>
      <c r="G425" s="39">
        <v>0</v>
      </c>
      <c r="H425" s="39">
        <f t="shared" si="81"/>
        <v>467.60968800000001</v>
      </c>
      <c r="I425" s="33"/>
      <c r="L425" s="112"/>
      <c r="M425" s="112"/>
      <c r="N425" s="33"/>
      <c r="T425" s="18"/>
    </row>
    <row r="426" spans="1:20" s="34" customFormat="1" x14ac:dyDescent="0.35">
      <c r="A426" s="113" t="s">
        <v>415</v>
      </c>
      <c r="B426" s="114"/>
      <c r="C426" s="114"/>
      <c r="D426" s="114"/>
      <c r="E426" s="114"/>
      <c r="F426" s="114"/>
      <c r="G426" s="114"/>
      <c r="H426" s="115"/>
      <c r="J426" s="33"/>
    </row>
    <row r="427" spans="1:20" s="34" customFormat="1" x14ac:dyDescent="0.35">
      <c r="A427" s="113" t="s">
        <v>404</v>
      </c>
      <c r="B427" s="114"/>
      <c r="C427" s="114"/>
      <c r="D427" s="114"/>
      <c r="E427" s="114"/>
      <c r="F427" s="114"/>
      <c r="G427" s="114"/>
      <c r="H427" s="115"/>
      <c r="J427" s="33"/>
    </row>
    <row r="428" spans="1:20" s="34" customFormat="1" ht="15.75" customHeight="1" x14ac:dyDescent="0.35">
      <c r="A428" s="110">
        <v>1</v>
      </c>
      <c r="B428" s="111"/>
      <c r="C428" s="39" t="s">
        <v>397</v>
      </c>
      <c r="D428" s="89">
        <f>(29.96)*(10.764)</f>
        <v>322.48944</v>
      </c>
      <c r="E428" s="39">
        <v>0</v>
      </c>
      <c r="F428" s="39">
        <f t="shared" ref="F428:F435" si="82">D428+E428</f>
        <v>322.48944</v>
      </c>
      <c r="G428" s="39">
        <v>0</v>
      </c>
      <c r="H428" s="39">
        <f t="shared" ref="H428:H435" si="83">F428*(($H$232)+1)+(IF(G428&lt;101,G428,IF(G428&lt;201,G428/2,IF(G428&lt;=301,G428/3,G428/4))))</f>
        <v>467.60968800000001</v>
      </c>
      <c r="I428" s="86">
        <f>4.25*2.75+2.8*2.1+2.8*2.75+1.65*1.2+0.9*1.2</f>
        <v>28.327500000000001</v>
      </c>
      <c r="L428" s="112"/>
      <c r="M428" s="112"/>
      <c r="N428" s="33"/>
    </row>
    <row r="429" spans="1:20" s="34" customFormat="1" ht="15.75" customHeight="1" x14ac:dyDescent="0.35">
      <c r="A429" s="110">
        <v>2</v>
      </c>
      <c r="B429" s="111"/>
      <c r="C429" s="39" t="s">
        <v>401</v>
      </c>
      <c r="D429" s="89">
        <f>(20.09)*(10.764)</f>
        <v>216.24875999999998</v>
      </c>
      <c r="E429" s="39">
        <v>0</v>
      </c>
      <c r="F429" s="39">
        <f t="shared" si="82"/>
        <v>216.24875999999998</v>
      </c>
      <c r="G429" s="39">
        <v>0</v>
      </c>
      <c r="H429" s="39">
        <f t="shared" si="83"/>
        <v>313.56070199999994</v>
      </c>
      <c r="I429" s="88">
        <f>4.25*2.75+3*1.2+0.9*1.2+1.65*1.2+1.2</f>
        <v>19.547499999999999</v>
      </c>
      <c r="L429" s="112"/>
      <c r="M429" s="112"/>
      <c r="N429" s="33"/>
    </row>
    <row r="430" spans="1:20" s="34" customFormat="1" ht="15.75" customHeight="1" x14ac:dyDescent="0.35">
      <c r="A430" s="110">
        <v>3</v>
      </c>
      <c r="B430" s="111"/>
      <c r="C430" s="39" t="s">
        <v>397</v>
      </c>
      <c r="D430" s="89">
        <f t="shared" ref="D430:D435" si="84">(29.96)*(10.764)</f>
        <v>322.48944</v>
      </c>
      <c r="E430" s="39">
        <v>0</v>
      </c>
      <c r="F430" s="39">
        <f t="shared" si="82"/>
        <v>322.48944</v>
      </c>
      <c r="G430" s="39">
        <v>0</v>
      </c>
      <c r="H430" s="39">
        <f t="shared" si="83"/>
        <v>467.60968800000001</v>
      </c>
      <c r="I430" s="33"/>
      <c r="L430" s="112"/>
      <c r="M430" s="112"/>
      <c r="N430" s="33"/>
    </row>
    <row r="431" spans="1:20" s="34" customFormat="1" ht="15.75" customHeight="1" x14ac:dyDescent="0.35">
      <c r="A431" s="110">
        <v>4</v>
      </c>
      <c r="B431" s="111"/>
      <c r="C431" s="39" t="s">
        <v>397</v>
      </c>
      <c r="D431" s="89">
        <f t="shared" si="84"/>
        <v>322.48944</v>
      </c>
      <c r="E431" s="39">
        <v>0</v>
      </c>
      <c r="F431" s="39">
        <f t="shared" si="82"/>
        <v>322.48944</v>
      </c>
      <c r="G431" s="39">
        <v>0</v>
      </c>
      <c r="H431" s="39">
        <f t="shared" si="83"/>
        <v>467.60968800000001</v>
      </c>
      <c r="I431" s="33"/>
      <c r="L431" s="112"/>
      <c r="M431" s="112"/>
      <c r="N431" s="33"/>
      <c r="T431" s="18"/>
    </row>
    <row r="432" spans="1:20" s="34" customFormat="1" ht="15.75" customHeight="1" x14ac:dyDescent="0.35">
      <c r="A432" s="110">
        <v>5</v>
      </c>
      <c r="B432" s="111"/>
      <c r="C432" s="39" t="s">
        <v>397</v>
      </c>
      <c r="D432" s="89">
        <f t="shared" si="84"/>
        <v>322.48944</v>
      </c>
      <c r="E432" s="39">
        <v>0</v>
      </c>
      <c r="F432" s="39">
        <f t="shared" si="82"/>
        <v>322.48944</v>
      </c>
      <c r="G432" s="39">
        <v>0</v>
      </c>
      <c r="H432" s="39">
        <f t="shared" si="83"/>
        <v>467.60968800000001</v>
      </c>
      <c r="I432" s="33"/>
      <c r="L432" s="112"/>
      <c r="M432" s="112"/>
      <c r="N432" s="33"/>
    </row>
    <row r="433" spans="1:20" s="34" customFormat="1" ht="15.75" customHeight="1" x14ac:dyDescent="0.35">
      <c r="A433" s="110">
        <v>6</v>
      </c>
      <c r="B433" s="111"/>
      <c r="C433" s="39" t="s">
        <v>397</v>
      </c>
      <c r="D433" s="89">
        <f t="shared" si="84"/>
        <v>322.48944</v>
      </c>
      <c r="E433" s="39">
        <v>0</v>
      </c>
      <c r="F433" s="39">
        <f t="shared" si="82"/>
        <v>322.48944</v>
      </c>
      <c r="G433" s="39">
        <v>0</v>
      </c>
      <c r="H433" s="39">
        <f t="shared" si="83"/>
        <v>467.60968800000001</v>
      </c>
      <c r="I433" s="33"/>
      <c r="L433" s="112"/>
      <c r="M433" s="112"/>
      <c r="N433" s="33"/>
    </row>
    <row r="434" spans="1:20" s="34" customFormat="1" ht="15.75" customHeight="1" x14ac:dyDescent="0.35">
      <c r="A434" s="110">
        <v>7</v>
      </c>
      <c r="B434" s="111"/>
      <c r="C434" s="39" t="s">
        <v>397</v>
      </c>
      <c r="D434" s="89">
        <f t="shared" si="84"/>
        <v>322.48944</v>
      </c>
      <c r="E434" s="39">
        <v>0</v>
      </c>
      <c r="F434" s="39">
        <f t="shared" si="82"/>
        <v>322.48944</v>
      </c>
      <c r="G434" s="39">
        <v>0</v>
      </c>
      <c r="H434" s="39">
        <f t="shared" si="83"/>
        <v>467.60968800000001</v>
      </c>
      <c r="I434" s="33"/>
      <c r="L434" s="112"/>
      <c r="M434" s="112"/>
      <c r="N434" s="33"/>
    </row>
    <row r="435" spans="1:20" s="34" customFormat="1" ht="15.75" customHeight="1" x14ac:dyDescent="0.35">
      <c r="A435" s="110">
        <v>8</v>
      </c>
      <c r="B435" s="111"/>
      <c r="C435" s="39" t="s">
        <v>397</v>
      </c>
      <c r="D435" s="89">
        <f t="shared" si="84"/>
        <v>322.48944</v>
      </c>
      <c r="E435" s="39">
        <v>0</v>
      </c>
      <c r="F435" s="39">
        <f t="shared" si="82"/>
        <v>322.48944</v>
      </c>
      <c r="G435" s="39">
        <v>0</v>
      </c>
      <c r="H435" s="39">
        <f t="shared" si="83"/>
        <v>467.60968800000001</v>
      </c>
      <c r="I435" s="33"/>
      <c r="L435" s="112"/>
      <c r="M435" s="112"/>
      <c r="N435" s="33"/>
      <c r="T435" s="18"/>
    </row>
    <row r="436" spans="1:20" s="34" customFormat="1" x14ac:dyDescent="0.35">
      <c r="A436" s="113" t="s">
        <v>399</v>
      </c>
      <c r="B436" s="114"/>
      <c r="C436" s="114"/>
      <c r="D436" s="114"/>
      <c r="E436" s="114"/>
      <c r="F436" s="114"/>
      <c r="G436" s="114"/>
      <c r="H436" s="115"/>
      <c r="J436" s="33"/>
    </row>
    <row r="437" spans="1:20" s="34" customFormat="1" ht="15.75" customHeight="1" x14ac:dyDescent="0.35">
      <c r="A437" s="110">
        <v>1</v>
      </c>
      <c r="B437" s="111"/>
      <c r="C437" s="39" t="s">
        <v>397</v>
      </c>
      <c r="D437" s="89">
        <f t="shared" ref="D437:D444" si="85">(29.96)*(10.764)</f>
        <v>322.48944</v>
      </c>
      <c r="E437" s="39">
        <v>0</v>
      </c>
      <c r="F437" s="39">
        <f t="shared" ref="F437:F444" si="86">D437+E437</f>
        <v>322.48944</v>
      </c>
      <c r="G437" s="39">
        <v>0</v>
      </c>
      <c r="H437" s="39">
        <f t="shared" ref="H437:H444" si="87">F437*(($H$232)+1)+(IF(G437&lt;101,G437,IF(G437&lt;201,G437/2,IF(G437&lt;=301,G437/3,G437/4))))</f>
        <v>467.60968800000001</v>
      </c>
      <c r="I437" s="86">
        <f>4.25*2.75+2.8*2.1+2.8*2.75+1.65*1.2+0.9*1.2</f>
        <v>28.327500000000001</v>
      </c>
      <c r="L437" s="112"/>
      <c r="M437" s="112"/>
      <c r="N437" s="33"/>
    </row>
    <row r="438" spans="1:20" s="34" customFormat="1" ht="15.75" customHeight="1" x14ac:dyDescent="0.35">
      <c r="A438" s="110">
        <v>2</v>
      </c>
      <c r="B438" s="111"/>
      <c r="C438" s="39" t="s">
        <v>397</v>
      </c>
      <c r="D438" s="89">
        <f t="shared" si="85"/>
        <v>322.48944</v>
      </c>
      <c r="E438" s="39">
        <v>0</v>
      </c>
      <c r="F438" s="39">
        <f t="shared" si="86"/>
        <v>322.48944</v>
      </c>
      <c r="G438" s="39">
        <v>0</v>
      </c>
      <c r="H438" s="39">
        <f t="shared" si="87"/>
        <v>467.60968800000001</v>
      </c>
      <c r="I438" s="33"/>
      <c r="L438" s="112"/>
      <c r="M438" s="112"/>
      <c r="N438" s="33"/>
    </row>
    <row r="439" spans="1:20" s="34" customFormat="1" ht="15.75" customHeight="1" x14ac:dyDescent="0.35">
      <c r="A439" s="110">
        <v>3</v>
      </c>
      <c r="B439" s="111"/>
      <c r="C439" s="39" t="s">
        <v>397</v>
      </c>
      <c r="D439" s="89">
        <f t="shared" si="85"/>
        <v>322.48944</v>
      </c>
      <c r="E439" s="39">
        <v>0</v>
      </c>
      <c r="F439" s="39">
        <f t="shared" si="86"/>
        <v>322.48944</v>
      </c>
      <c r="G439" s="39">
        <v>0</v>
      </c>
      <c r="H439" s="39">
        <f t="shared" si="87"/>
        <v>467.60968800000001</v>
      </c>
      <c r="I439" s="33"/>
      <c r="L439" s="112"/>
      <c r="M439" s="112"/>
      <c r="N439" s="33"/>
    </row>
    <row r="440" spans="1:20" s="34" customFormat="1" ht="15.75" customHeight="1" x14ac:dyDescent="0.35">
      <c r="A440" s="110">
        <v>4</v>
      </c>
      <c r="B440" s="111"/>
      <c r="C440" s="39" t="s">
        <v>397</v>
      </c>
      <c r="D440" s="89">
        <f t="shared" si="85"/>
        <v>322.48944</v>
      </c>
      <c r="E440" s="39">
        <v>0</v>
      </c>
      <c r="F440" s="39">
        <f t="shared" si="86"/>
        <v>322.48944</v>
      </c>
      <c r="G440" s="39">
        <v>0</v>
      </c>
      <c r="H440" s="39">
        <f t="shared" si="87"/>
        <v>467.60968800000001</v>
      </c>
      <c r="I440" s="33"/>
      <c r="L440" s="112"/>
      <c r="M440" s="112"/>
      <c r="N440" s="33"/>
      <c r="T440" s="18"/>
    </row>
    <row r="441" spans="1:20" s="34" customFormat="1" ht="15.75" customHeight="1" x14ac:dyDescent="0.35">
      <c r="A441" s="110">
        <v>5</v>
      </c>
      <c r="B441" s="111"/>
      <c r="C441" s="39" t="s">
        <v>397</v>
      </c>
      <c r="D441" s="89">
        <f t="shared" si="85"/>
        <v>322.48944</v>
      </c>
      <c r="E441" s="39">
        <v>0</v>
      </c>
      <c r="F441" s="39">
        <f t="shared" si="86"/>
        <v>322.48944</v>
      </c>
      <c r="G441" s="39">
        <v>0</v>
      </c>
      <c r="H441" s="39">
        <f t="shared" si="87"/>
        <v>467.60968800000001</v>
      </c>
      <c r="I441" s="33"/>
      <c r="L441" s="112"/>
      <c r="M441" s="112"/>
      <c r="N441" s="33"/>
    </row>
    <row r="442" spans="1:20" s="34" customFormat="1" ht="15.75" customHeight="1" x14ac:dyDescent="0.35">
      <c r="A442" s="110">
        <v>6</v>
      </c>
      <c r="B442" s="111"/>
      <c r="C442" s="39" t="s">
        <v>397</v>
      </c>
      <c r="D442" s="89">
        <f t="shared" si="85"/>
        <v>322.48944</v>
      </c>
      <c r="E442" s="39">
        <v>0</v>
      </c>
      <c r="F442" s="39">
        <f t="shared" si="86"/>
        <v>322.48944</v>
      </c>
      <c r="G442" s="39">
        <v>0</v>
      </c>
      <c r="H442" s="39">
        <f t="shared" si="87"/>
        <v>467.60968800000001</v>
      </c>
      <c r="I442" s="33"/>
      <c r="L442" s="112"/>
      <c r="M442" s="112"/>
      <c r="N442" s="33"/>
    </row>
    <row r="443" spans="1:20" s="34" customFormat="1" ht="15.75" customHeight="1" x14ac:dyDescent="0.35">
      <c r="A443" s="110">
        <v>7</v>
      </c>
      <c r="B443" s="111"/>
      <c r="C443" s="39" t="s">
        <v>397</v>
      </c>
      <c r="D443" s="89">
        <f t="shared" si="85"/>
        <v>322.48944</v>
      </c>
      <c r="E443" s="39">
        <v>0</v>
      </c>
      <c r="F443" s="39">
        <f t="shared" si="86"/>
        <v>322.48944</v>
      </c>
      <c r="G443" s="39">
        <v>0</v>
      </c>
      <c r="H443" s="39">
        <f t="shared" si="87"/>
        <v>467.60968800000001</v>
      </c>
      <c r="I443" s="33"/>
      <c r="L443" s="112"/>
      <c r="M443" s="112"/>
      <c r="N443" s="33"/>
    </row>
    <row r="444" spans="1:20" s="34" customFormat="1" ht="15.75" customHeight="1" x14ac:dyDescent="0.35">
      <c r="A444" s="110">
        <v>8</v>
      </c>
      <c r="B444" s="111"/>
      <c r="C444" s="39" t="s">
        <v>397</v>
      </c>
      <c r="D444" s="89">
        <f t="shared" si="85"/>
        <v>322.48944</v>
      </c>
      <c r="E444" s="39">
        <v>0</v>
      </c>
      <c r="F444" s="39">
        <f t="shared" si="86"/>
        <v>322.48944</v>
      </c>
      <c r="G444" s="39">
        <v>0</v>
      </c>
      <c r="H444" s="39">
        <f t="shared" si="87"/>
        <v>467.60968800000001</v>
      </c>
      <c r="I444" s="33"/>
      <c r="L444" s="112"/>
      <c r="M444" s="112"/>
      <c r="N444" s="33"/>
      <c r="T444" s="18"/>
    </row>
    <row r="445" spans="1:20" s="34" customFormat="1" x14ac:dyDescent="0.35">
      <c r="A445" s="113" t="s">
        <v>416</v>
      </c>
      <c r="B445" s="114"/>
      <c r="C445" s="114"/>
      <c r="D445" s="114"/>
      <c r="E445" s="114"/>
      <c r="F445" s="114"/>
      <c r="G445" s="114"/>
      <c r="H445" s="115"/>
      <c r="J445" s="33"/>
    </row>
    <row r="446" spans="1:20" s="34" customFormat="1" x14ac:dyDescent="0.35">
      <c r="A446" s="113" t="s">
        <v>404</v>
      </c>
      <c r="B446" s="114"/>
      <c r="C446" s="114"/>
      <c r="D446" s="114"/>
      <c r="E446" s="114"/>
      <c r="F446" s="114"/>
      <c r="G446" s="114"/>
      <c r="H446" s="115"/>
      <c r="J446" s="33"/>
    </row>
    <row r="447" spans="1:20" s="34" customFormat="1" ht="15.75" customHeight="1" x14ac:dyDescent="0.35">
      <c r="A447" s="110">
        <v>1</v>
      </c>
      <c r="B447" s="111"/>
      <c r="C447" s="39" t="s">
        <v>397</v>
      </c>
      <c r="D447" s="89">
        <f>(29.96)*(10.764)</f>
        <v>322.48944</v>
      </c>
      <c r="E447" s="39">
        <v>0</v>
      </c>
      <c r="F447" s="39">
        <f t="shared" ref="F447:F454" si="88">D447+E447</f>
        <v>322.48944</v>
      </c>
      <c r="G447" s="39">
        <v>0</v>
      </c>
      <c r="H447" s="39">
        <f t="shared" ref="H447:H454" si="89">F447*(($H$232)+1)+(IF(G447&lt;101,G447,IF(G447&lt;201,G447/2,IF(G447&lt;=301,G447/3,G447/4))))</f>
        <v>467.60968800000001</v>
      </c>
      <c r="I447" s="86">
        <f>4.25*2.75+2.8*2.1+2.8*2.75+1.65*1.2+0.9*1.2</f>
        <v>28.327500000000001</v>
      </c>
      <c r="L447" s="112"/>
      <c r="M447" s="112"/>
      <c r="N447" s="33"/>
    </row>
    <row r="448" spans="1:20" s="34" customFormat="1" ht="15.75" customHeight="1" x14ac:dyDescent="0.35">
      <c r="A448" s="110">
        <v>2</v>
      </c>
      <c r="B448" s="111"/>
      <c r="C448" s="39" t="s">
        <v>401</v>
      </c>
      <c r="D448" s="89">
        <f>(20.09)*(10.764)</f>
        <v>216.24875999999998</v>
      </c>
      <c r="E448" s="39">
        <v>0</v>
      </c>
      <c r="F448" s="39">
        <f t="shared" si="88"/>
        <v>216.24875999999998</v>
      </c>
      <c r="G448" s="39">
        <v>0</v>
      </c>
      <c r="H448" s="39">
        <f t="shared" si="89"/>
        <v>313.56070199999994</v>
      </c>
      <c r="I448" s="88">
        <f>4.25*2.75+3*1.2+0.9*1.2+1.65*1.2+1.2</f>
        <v>19.547499999999999</v>
      </c>
      <c r="L448" s="112"/>
      <c r="M448" s="112"/>
      <c r="N448" s="33"/>
    </row>
    <row r="449" spans="1:20" s="34" customFormat="1" ht="15.75" customHeight="1" x14ac:dyDescent="0.35">
      <c r="A449" s="110">
        <v>3</v>
      </c>
      <c r="B449" s="111"/>
      <c r="C449" s="39" t="s">
        <v>397</v>
      </c>
      <c r="D449" s="89">
        <f t="shared" ref="D449:D454" si="90">(29.96)*(10.764)</f>
        <v>322.48944</v>
      </c>
      <c r="E449" s="39">
        <v>0</v>
      </c>
      <c r="F449" s="39">
        <f t="shared" si="88"/>
        <v>322.48944</v>
      </c>
      <c r="G449" s="39">
        <v>0</v>
      </c>
      <c r="H449" s="39">
        <f t="shared" si="89"/>
        <v>467.60968800000001</v>
      </c>
      <c r="I449" s="33"/>
      <c r="L449" s="112"/>
      <c r="M449" s="112"/>
      <c r="N449" s="33"/>
    </row>
    <row r="450" spans="1:20" s="34" customFormat="1" ht="15.75" customHeight="1" x14ac:dyDescent="0.35">
      <c r="A450" s="110">
        <v>4</v>
      </c>
      <c r="B450" s="111"/>
      <c r="C450" s="39" t="s">
        <v>397</v>
      </c>
      <c r="D450" s="89">
        <f t="shared" si="90"/>
        <v>322.48944</v>
      </c>
      <c r="E450" s="39">
        <v>0</v>
      </c>
      <c r="F450" s="39">
        <f t="shared" si="88"/>
        <v>322.48944</v>
      </c>
      <c r="G450" s="39">
        <v>0</v>
      </c>
      <c r="H450" s="39">
        <f t="shared" si="89"/>
        <v>467.60968800000001</v>
      </c>
      <c r="I450" s="33"/>
      <c r="L450" s="112"/>
      <c r="M450" s="112"/>
      <c r="N450" s="33"/>
      <c r="T450" s="18"/>
    </row>
    <row r="451" spans="1:20" s="34" customFormat="1" ht="15.75" customHeight="1" x14ac:dyDescent="0.35">
      <c r="A451" s="110">
        <v>5</v>
      </c>
      <c r="B451" s="111"/>
      <c r="C451" s="39" t="s">
        <v>397</v>
      </c>
      <c r="D451" s="89">
        <f t="shared" si="90"/>
        <v>322.48944</v>
      </c>
      <c r="E451" s="39">
        <v>0</v>
      </c>
      <c r="F451" s="39">
        <f t="shared" si="88"/>
        <v>322.48944</v>
      </c>
      <c r="G451" s="39">
        <v>0</v>
      </c>
      <c r="H451" s="39">
        <f t="shared" si="89"/>
        <v>467.60968800000001</v>
      </c>
      <c r="I451" s="33"/>
      <c r="L451" s="112"/>
      <c r="M451" s="112"/>
      <c r="N451" s="33"/>
    </row>
    <row r="452" spans="1:20" s="34" customFormat="1" ht="15.75" customHeight="1" x14ac:dyDescent="0.35">
      <c r="A452" s="110">
        <v>6</v>
      </c>
      <c r="B452" s="111"/>
      <c r="C452" s="39" t="s">
        <v>397</v>
      </c>
      <c r="D452" s="89">
        <f t="shared" si="90"/>
        <v>322.48944</v>
      </c>
      <c r="E452" s="39">
        <v>0</v>
      </c>
      <c r="F452" s="39">
        <f t="shared" si="88"/>
        <v>322.48944</v>
      </c>
      <c r="G452" s="39">
        <v>0</v>
      </c>
      <c r="H452" s="39">
        <f t="shared" si="89"/>
        <v>467.60968800000001</v>
      </c>
      <c r="I452" s="33"/>
      <c r="L452" s="112"/>
      <c r="M452" s="112"/>
      <c r="N452" s="33"/>
    </row>
    <row r="453" spans="1:20" s="34" customFormat="1" ht="15.75" customHeight="1" x14ac:dyDescent="0.35">
      <c r="A453" s="110">
        <v>7</v>
      </c>
      <c r="B453" s="111"/>
      <c r="C453" s="39" t="s">
        <v>397</v>
      </c>
      <c r="D453" s="89">
        <f t="shared" si="90"/>
        <v>322.48944</v>
      </c>
      <c r="E453" s="39">
        <v>0</v>
      </c>
      <c r="F453" s="39">
        <f t="shared" si="88"/>
        <v>322.48944</v>
      </c>
      <c r="G453" s="39">
        <v>0</v>
      </c>
      <c r="H453" s="39">
        <f t="shared" si="89"/>
        <v>467.60968800000001</v>
      </c>
      <c r="I453" s="33"/>
      <c r="L453" s="112"/>
      <c r="M453" s="112"/>
      <c r="N453" s="33"/>
    </row>
    <row r="454" spans="1:20" s="34" customFormat="1" ht="15.75" customHeight="1" x14ac:dyDescent="0.35">
      <c r="A454" s="110">
        <v>8</v>
      </c>
      <c r="B454" s="111"/>
      <c r="C454" s="39" t="s">
        <v>397</v>
      </c>
      <c r="D454" s="89">
        <f t="shared" si="90"/>
        <v>322.48944</v>
      </c>
      <c r="E454" s="39">
        <v>0</v>
      </c>
      <c r="F454" s="39">
        <f t="shared" si="88"/>
        <v>322.48944</v>
      </c>
      <c r="G454" s="39">
        <v>0</v>
      </c>
      <c r="H454" s="39">
        <f t="shared" si="89"/>
        <v>467.60968800000001</v>
      </c>
      <c r="I454" s="33"/>
      <c r="L454" s="112"/>
      <c r="M454" s="112"/>
      <c r="N454" s="33"/>
      <c r="T454" s="18"/>
    </row>
    <row r="455" spans="1:20" s="34" customFormat="1" x14ac:dyDescent="0.35">
      <c r="A455" s="113" t="s">
        <v>399</v>
      </c>
      <c r="B455" s="114"/>
      <c r="C455" s="114"/>
      <c r="D455" s="114"/>
      <c r="E455" s="114"/>
      <c r="F455" s="114"/>
      <c r="G455" s="114"/>
      <c r="H455" s="115"/>
      <c r="J455" s="33"/>
    </row>
    <row r="456" spans="1:20" s="34" customFormat="1" ht="15.75" customHeight="1" x14ac:dyDescent="0.35">
      <c r="A456" s="110">
        <v>1</v>
      </c>
      <c r="B456" s="111"/>
      <c r="C456" s="39" t="s">
        <v>397</v>
      </c>
      <c r="D456" s="89">
        <f t="shared" ref="D456:D463" si="91">(29.96)*(10.764)</f>
        <v>322.48944</v>
      </c>
      <c r="E456" s="39">
        <v>0</v>
      </c>
      <c r="F456" s="39">
        <f t="shared" ref="F456:F463" si="92">D456+E456</f>
        <v>322.48944</v>
      </c>
      <c r="G456" s="39">
        <v>0</v>
      </c>
      <c r="H456" s="39">
        <f t="shared" ref="H456:H463" si="93">F456*(($H$232)+1)+(IF(G456&lt;101,G456,IF(G456&lt;201,G456/2,IF(G456&lt;=301,G456/3,G456/4))))</f>
        <v>467.60968800000001</v>
      </c>
      <c r="I456" s="86">
        <f>4.25*2.75+2.8*2.1+2.8*2.75+1.65*1.2+0.9*1.2</f>
        <v>28.327500000000001</v>
      </c>
      <c r="L456" s="112"/>
      <c r="M456" s="112"/>
      <c r="N456" s="33"/>
    </row>
    <row r="457" spans="1:20" s="34" customFormat="1" ht="15.75" customHeight="1" x14ac:dyDescent="0.35">
      <c r="A457" s="110">
        <v>2</v>
      </c>
      <c r="B457" s="111"/>
      <c r="C457" s="39" t="s">
        <v>397</v>
      </c>
      <c r="D457" s="89">
        <f t="shared" si="91"/>
        <v>322.48944</v>
      </c>
      <c r="E457" s="39">
        <v>0</v>
      </c>
      <c r="F457" s="39">
        <f t="shared" si="92"/>
        <v>322.48944</v>
      </c>
      <c r="G457" s="39">
        <v>0</v>
      </c>
      <c r="H457" s="39">
        <f t="shared" si="93"/>
        <v>467.60968800000001</v>
      </c>
      <c r="I457" s="33"/>
      <c r="L457" s="112"/>
      <c r="M457" s="112"/>
      <c r="N457" s="33"/>
    </row>
    <row r="458" spans="1:20" s="34" customFormat="1" ht="15.75" customHeight="1" x14ac:dyDescent="0.35">
      <c r="A458" s="110">
        <v>3</v>
      </c>
      <c r="B458" s="111"/>
      <c r="C458" s="39" t="s">
        <v>397</v>
      </c>
      <c r="D458" s="89">
        <f t="shared" si="91"/>
        <v>322.48944</v>
      </c>
      <c r="E458" s="39">
        <v>0</v>
      </c>
      <c r="F458" s="39">
        <f t="shared" si="92"/>
        <v>322.48944</v>
      </c>
      <c r="G458" s="39">
        <v>0</v>
      </c>
      <c r="H458" s="39">
        <f t="shared" si="93"/>
        <v>467.60968800000001</v>
      </c>
      <c r="I458" s="33"/>
      <c r="L458" s="112"/>
      <c r="M458" s="112"/>
      <c r="N458" s="33"/>
    </row>
    <row r="459" spans="1:20" s="34" customFormat="1" ht="15.75" customHeight="1" x14ac:dyDescent="0.35">
      <c r="A459" s="110">
        <v>4</v>
      </c>
      <c r="B459" s="111"/>
      <c r="C459" s="39" t="s">
        <v>397</v>
      </c>
      <c r="D459" s="89">
        <f t="shared" si="91"/>
        <v>322.48944</v>
      </c>
      <c r="E459" s="39">
        <v>0</v>
      </c>
      <c r="F459" s="39">
        <f t="shared" si="92"/>
        <v>322.48944</v>
      </c>
      <c r="G459" s="39">
        <v>0</v>
      </c>
      <c r="H459" s="39">
        <f t="shared" si="93"/>
        <v>467.60968800000001</v>
      </c>
      <c r="I459" s="33"/>
      <c r="L459" s="112"/>
      <c r="M459" s="112"/>
      <c r="N459" s="33"/>
      <c r="T459" s="18"/>
    </row>
    <row r="460" spans="1:20" s="34" customFormat="1" ht="15.75" customHeight="1" x14ac:dyDescent="0.35">
      <c r="A460" s="110">
        <v>5</v>
      </c>
      <c r="B460" s="111"/>
      <c r="C460" s="39" t="s">
        <v>397</v>
      </c>
      <c r="D460" s="89">
        <f t="shared" si="91"/>
        <v>322.48944</v>
      </c>
      <c r="E460" s="39">
        <v>0</v>
      </c>
      <c r="F460" s="39">
        <f t="shared" si="92"/>
        <v>322.48944</v>
      </c>
      <c r="G460" s="39">
        <v>0</v>
      </c>
      <c r="H460" s="39">
        <f t="shared" si="93"/>
        <v>467.60968800000001</v>
      </c>
      <c r="I460" s="33"/>
      <c r="L460" s="112"/>
      <c r="M460" s="112"/>
      <c r="N460" s="33"/>
    </row>
    <row r="461" spans="1:20" s="34" customFormat="1" ht="15.75" customHeight="1" x14ac:dyDescent="0.35">
      <c r="A461" s="110">
        <v>6</v>
      </c>
      <c r="B461" s="111"/>
      <c r="C461" s="39" t="s">
        <v>397</v>
      </c>
      <c r="D461" s="89">
        <f t="shared" si="91"/>
        <v>322.48944</v>
      </c>
      <c r="E461" s="39">
        <v>0</v>
      </c>
      <c r="F461" s="39">
        <f t="shared" si="92"/>
        <v>322.48944</v>
      </c>
      <c r="G461" s="39">
        <v>0</v>
      </c>
      <c r="H461" s="39">
        <f t="shared" si="93"/>
        <v>467.60968800000001</v>
      </c>
      <c r="I461" s="33"/>
      <c r="L461" s="112"/>
      <c r="M461" s="112"/>
      <c r="N461" s="33"/>
    </row>
    <row r="462" spans="1:20" s="34" customFormat="1" ht="15.75" customHeight="1" x14ac:dyDescent="0.35">
      <c r="A462" s="110">
        <v>7</v>
      </c>
      <c r="B462" s="111"/>
      <c r="C462" s="39" t="s">
        <v>397</v>
      </c>
      <c r="D462" s="89">
        <f t="shared" si="91"/>
        <v>322.48944</v>
      </c>
      <c r="E462" s="39">
        <v>0</v>
      </c>
      <c r="F462" s="39">
        <f t="shared" si="92"/>
        <v>322.48944</v>
      </c>
      <c r="G462" s="39">
        <v>0</v>
      </c>
      <c r="H462" s="39">
        <f t="shared" si="93"/>
        <v>467.60968800000001</v>
      </c>
      <c r="I462" s="33"/>
      <c r="L462" s="112"/>
      <c r="M462" s="112"/>
      <c r="N462" s="33"/>
    </row>
    <row r="463" spans="1:20" s="34" customFormat="1" ht="15.75" customHeight="1" x14ac:dyDescent="0.35">
      <c r="A463" s="110">
        <v>8</v>
      </c>
      <c r="B463" s="111"/>
      <c r="C463" s="39" t="s">
        <v>397</v>
      </c>
      <c r="D463" s="89">
        <f t="shared" si="91"/>
        <v>322.48944</v>
      </c>
      <c r="E463" s="39">
        <v>0</v>
      </c>
      <c r="F463" s="39">
        <f t="shared" si="92"/>
        <v>322.48944</v>
      </c>
      <c r="G463" s="39">
        <v>0</v>
      </c>
      <c r="H463" s="39">
        <f t="shared" si="93"/>
        <v>467.60968800000001</v>
      </c>
      <c r="I463" s="33"/>
      <c r="L463" s="112"/>
      <c r="M463" s="112"/>
      <c r="N463" s="33"/>
      <c r="T463" s="18"/>
    </row>
    <row r="464" spans="1:20" s="34" customFormat="1" hidden="1" x14ac:dyDescent="0.35">
      <c r="A464" s="240" t="s">
        <v>117</v>
      </c>
      <c r="B464" s="240"/>
      <c r="C464" s="240"/>
      <c r="D464" s="240"/>
      <c r="E464" s="240"/>
      <c r="F464" s="240"/>
      <c r="G464" s="240"/>
      <c r="H464" s="240"/>
      <c r="I464" s="33"/>
      <c r="L464" s="112"/>
      <c r="M464" s="112"/>
    </row>
    <row r="465" spans="1:14" s="34" customFormat="1" hidden="1" x14ac:dyDescent="0.35">
      <c r="A465" s="165">
        <f>LEFT(A464,SUM(LEN(A464)-LEN(SUBSTITUTE(A464,{"0","1","2","3","4","5","6","7","8","9"},""))))*100+1</f>
        <v>201</v>
      </c>
      <c r="B465" s="165"/>
      <c r="C465" s="39"/>
      <c r="D465" s="39"/>
      <c r="E465" s="39">
        <v>0</v>
      </c>
      <c r="F465" s="39">
        <f>D465+E465</f>
        <v>0</v>
      </c>
      <c r="G465" s="39">
        <v>0</v>
      </c>
      <c r="H465" s="39">
        <f>F465*(($H$232)+1)+(IF(G465&lt;101,G465,IF(G465&lt;201,G465/2,IF(G465&lt;=301,G465/3,G465/4))))</f>
        <v>0</v>
      </c>
      <c r="I465" s="33"/>
      <c r="N465" s="33"/>
    </row>
    <row r="466" spans="1:14" s="34" customFormat="1" hidden="1" x14ac:dyDescent="0.35">
      <c r="A466" s="165">
        <f>A465+1</f>
        <v>202</v>
      </c>
      <c r="B466" s="165"/>
      <c r="C466" s="39"/>
      <c r="D466" s="39"/>
      <c r="E466" s="39">
        <v>0</v>
      </c>
      <c r="F466" s="39">
        <f>D466+E466</f>
        <v>0</v>
      </c>
      <c r="G466" s="39">
        <v>0</v>
      </c>
      <c r="H466" s="39">
        <f>F466*(($H$232)+1)+(IF(G466&lt;101,G466,IF(G466&lt;201,G466/2,IF(G466&lt;=301,G466/3,G466/4))))</f>
        <v>0</v>
      </c>
      <c r="I466" s="33"/>
      <c r="N466" s="33"/>
    </row>
    <row r="467" spans="1:14" s="34" customFormat="1" hidden="1" x14ac:dyDescent="0.35">
      <c r="A467" s="165">
        <f>A466+1</f>
        <v>203</v>
      </c>
      <c r="B467" s="165"/>
      <c r="C467" s="39"/>
      <c r="D467" s="39"/>
      <c r="E467" s="39">
        <v>0</v>
      </c>
      <c r="F467" s="39">
        <f>D467+E467</f>
        <v>0</v>
      </c>
      <c r="G467" s="39">
        <v>0</v>
      </c>
      <c r="H467" s="39">
        <f>F467*(($H$232)+1)+(IF(G467&lt;101,G467,IF(G467&lt;201,G467/2,IF(G467&lt;=301,G467/3,G467/4))))</f>
        <v>0</v>
      </c>
      <c r="I467" s="33"/>
      <c r="N467" s="33"/>
    </row>
    <row r="468" spans="1:14" s="34" customFormat="1" hidden="1" x14ac:dyDescent="0.35">
      <c r="A468" s="165">
        <f>A467+1</f>
        <v>204</v>
      </c>
      <c r="B468" s="165"/>
      <c r="C468" s="39"/>
      <c r="D468" s="39"/>
      <c r="E468" s="39">
        <v>0</v>
      </c>
      <c r="F468" s="39">
        <f>D468+E468</f>
        <v>0</v>
      </c>
      <c r="G468" s="39">
        <v>0</v>
      </c>
      <c r="H468" s="39">
        <f>F468*(($H$232)+1)+(IF(G468&lt;101,G468,IF(G468&lt;201,G468/2,IF(G468&lt;=301,G468/3,G468/4))))</f>
        <v>0</v>
      </c>
      <c r="I468" s="33"/>
      <c r="N468" s="33"/>
    </row>
    <row r="469" spans="1:14" s="34" customFormat="1" hidden="1" x14ac:dyDescent="0.35">
      <c r="A469" s="165">
        <f>A468+1</f>
        <v>205</v>
      </c>
      <c r="B469" s="165"/>
      <c r="C469" s="39"/>
      <c r="D469" s="39"/>
      <c r="E469" s="39">
        <v>0</v>
      </c>
      <c r="F469" s="39">
        <f>D469+E469</f>
        <v>0</v>
      </c>
      <c r="G469" s="39">
        <v>0</v>
      </c>
      <c r="H469" s="39">
        <f>F469*(($H$232)+1)+(IF(G469&lt;101,G469,IF(G469&lt;201,G469/2,IF(G469&lt;=301,G469/3,G469/4))))</f>
        <v>0</v>
      </c>
      <c r="I469" s="33"/>
      <c r="N469" s="33"/>
    </row>
    <row r="470" spans="1:14" s="34" customFormat="1" ht="15.75" hidden="1" customHeight="1" x14ac:dyDescent="0.35">
      <c r="A470" s="113" t="s">
        <v>149</v>
      </c>
      <c r="B470" s="114"/>
      <c r="C470" s="114"/>
      <c r="D470" s="114"/>
      <c r="E470" s="114"/>
      <c r="F470" s="114"/>
      <c r="G470" s="114"/>
      <c r="H470" s="115"/>
      <c r="I470" s="33"/>
    </row>
    <row r="471" spans="1:14" s="34" customFormat="1" ht="15.75" hidden="1" customHeight="1" x14ac:dyDescent="0.35">
      <c r="A471" s="110" t="str">
        <f ca="1">(SUMPRODUCT(MID(0&amp;(LEFT(A470,SUM(LEN(A470)-LEN(SUBSTITUTE(A470,{"0","1","2"},""))))), LARGE(INDEX(ISNUMBER(--MID((LEFT(A470,SUM(LEN(A470)-LEN(SUBSTITUTE(A470,{"0","1","2"},""))))), ROW(INDIRECT("1:"&amp;LEN((LEFT(A470,SUM(LEN(A470)-LEN(SUBSTITUTE(A470,{"0","1","2"},"")))))))), 1)) * ROW(INDIRECT("1:"&amp;LEN((LEFT(A470,SUM(LEN(A470)-LEN(SUBSTITUTE(A470,{"0","1","2"},"")))))))), 0), ROW(INDIRECT("1:"&amp;LEN((LEFT(A470,SUM(LEN(A470)-LEN(SUBSTITUTE(A470,{"0","1","2"},"")))))))))+1, 1) * 10^ROW(INDIRECT("1:"&amp;LEN((LEFT(A470,SUM(LEN(A470)-LEN(SUBSTITUTE(A470,{"0","1","2"},""))))))))/10))*100+1&amp;""&amp;" ,.., "&amp;""&amp;(SUMPRODUCT(MID(0&amp;(--TRIM(RIGHT(SUBSTITUTE(LEFT(A470,_xlfn.AGGREGATE(16,6,FIND({0,1,2,3,4,5,6,7,8,9},A470,ROW(INDIRECT("1:"&amp;LEN(A470)))),1))," ",REPT(" ",LEN(A470))),LEN(A470)))), LARGE(INDEX(ISNUMBER(--MID((--TRIM(RIGHT(SUBSTITUTE(LEFT(A470,_xlfn.AGGREGATE(16,6,FIND({0,1,2,3,4,5,6,7,8,9},A470,ROW(INDIRECT("1:"&amp;LEN(A470)))),1))," ",REPT(" ",LEN(A470))),LEN(A470)))), ROW(INDIRECT("1:"&amp;LEN((--TRIM(RIGHT(SUBSTITUTE(LEFT(A470,_xlfn.AGGREGATE(16,6,FIND({0,1,2,3,4,5,6,7,8,9},A470,ROW(INDIRECT("1:"&amp;LEN(A470)))),1))," ",REPT(" ",LEN(A470))),LEN(A470))))))), 1)) * ROW(INDIRECT("1:"&amp;LEN((--TRIM(RIGHT(SUBSTITUTE(LEFT(A470,_xlfn.AGGREGATE(16,6,FIND({0,1,2,3,4,5,6,7,8,9},A470,ROW(INDIRECT("1:"&amp;LEN(A470)))),1))," ",REPT(" ",LEN(A470))),LEN(A470))))))), 0), ROW(INDIRECT("1:"&amp;LEN((--TRIM(RIGHT(SUBSTITUTE(LEFT(A470,_xlfn.AGGREGATE(16,6,FIND({0,1,2,3,4,5,6,7,8,9},A470,ROW(INDIRECT("1:"&amp;LEN(A470)))),1))," ",REPT(" ",LEN(A470))),LEN(A470))))))))+1, 1) * 10^ROW(INDIRECT("1:"&amp;LEN((--TRIM(RIGHT(SUBSTITUTE(LEFT(A470,_xlfn.AGGREGATE(16,6,FIND({0,1,2,3,4,5,6,7,8,9},A470,ROW(INDIRECT("1:"&amp;LEN(A470)))),1))," ",REPT(" ",LEN(A470))),LEN(A470)))))))/10))*100+1</f>
        <v>301 ,.., 1501</v>
      </c>
      <c r="B471" s="111"/>
      <c r="C471" s="39"/>
      <c r="D471" s="39"/>
      <c r="E471" s="39">
        <v>0</v>
      </c>
      <c r="F471" s="39">
        <f>D471+E471</f>
        <v>0</v>
      </c>
      <c r="G471" s="39">
        <v>0</v>
      </c>
      <c r="H471" s="39">
        <f>F471*(($H$232)+1)+(IF(G471&lt;101,G471,IF(G471&lt;201,G471/2,IF(G471&lt;=301,G471/3,G471/4))))</f>
        <v>0</v>
      </c>
      <c r="I471" s="33"/>
    </row>
    <row r="472" spans="1:14" s="34" customFormat="1" ht="15.75" hidden="1" customHeight="1" x14ac:dyDescent="0.35">
      <c r="A472" s="110" t="str">
        <f ca="1">(SUMPRODUCT(MID(0&amp;(LEFT(A471,SUM(LEN(A471)-LEN(SUBSTITUTE(A471,{"0","1","2"},""))))), LARGE(INDEX(ISNUMBER(--MID((LEFT(A471,SUM(LEN(A471)-LEN(SUBSTITUTE(A471,{"0","1","2"},""))))), ROW(INDIRECT("1:"&amp;LEN((LEFT(A471,SUM(LEN(A471)-LEN(SUBSTITUTE(A471,{"0","1","2"},"")))))))), 1)) * ROW(INDIRECT("1:"&amp;LEN((LEFT(A471,SUM(LEN(A471)-LEN(SUBSTITUTE(A471,{"0","1","2"},"")))))))), 0), ROW(INDIRECT("1:"&amp;LEN((LEFT(A471,SUM(LEN(A471)-LEN(SUBSTITUTE(A471,{"0","1","2"},"")))))))))+1, 1) * 10^ROW(INDIRECT("1:"&amp;LEN((LEFT(A471,SUM(LEN(A471)-LEN(SUBSTITUTE(A471,{"0","1","2"},""))))))))/10))*1+1&amp;""&amp;" ,.., "&amp;""&amp;(SUMPRODUCT(MID(0&amp;(--TRIM(RIGHT(SUBSTITUTE(LEFT(A471,_xlfn.AGGREGATE(16,6,FIND({0,1,2,3,4,5,6,7,8,9},A471,ROW(INDIRECT("1:"&amp;LEN(A471)))),1))," ",REPT(" ",LEN(A471))),LEN(A471)))), LARGE(INDEX(ISNUMBER(--MID((--TRIM(RIGHT(SUBSTITUTE(LEFT(A471,_xlfn.AGGREGATE(16,6,FIND({0,1,2,3,4,5,6,7,8,9},A471,ROW(INDIRECT("1:"&amp;LEN(A471)))),1))," ",REPT(" ",LEN(A471))),LEN(A471)))), ROW(INDIRECT("1:"&amp;LEN((--TRIM(RIGHT(SUBSTITUTE(LEFT(A471,_xlfn.AGGREGATE(16,6,FIND({0,1,2,3,4,5,6,7,8,9},A471,ROW(INDIRECT("1:"&amp;LEN(A471)))),1))," ",REPT(" ",LEN(A471))),LEN(A471))))))), 1)) * ROW(INDIRECT("1:"&amp;LEN((--TRIM(RIGHT(SUBSTITUTE(LEFT(A471,_xlfn.AGGREGATE(16,6,FIND({0,1,2,3,4,5,6,7,8,9},A471,ROW(INDIRECT("1:"&amp;LEN(A471)))),1))," ",REPT(" ",LEN(A471))),LEN(A471))))))), 0), ROW(INDIRECT("1:"&amp;LEN((--TRIM(RIGHT(SUBSTITUTE(LEFT(A471,_xlfn.AGGREGATE(16,6,FIND({0,1,2,3,4,5,6,7,8,9},A471,ROW(INDIRECT("1:"&amp;LEN(A471)))),1))," ",REPT(" ",LEN(A471))),LEN(A471))))))))+1, 1) * 10^ROW(INDIRECT("1:"&amp;LEN((--TRIM(RIGHT(SUBSTITUTE(LEFT(A471,_xlfn.AGGREGATE(16,6,FIND({0,1,2,3,4,5,6,7,8,9},A471,ROW(INDIRECT("1:"&amp;LEN(A471)))),1))," ",REPT(" ",LEN(A471))),LEN(A471)))))))/10))*1+1</f>
        <v>302 ,.., 1502</v>
      </c>
      <c r="B472" s="111"/>
      <c r="C472" s="39"/>
      <c r="D472" s="39"/>
      <c r="E472" s="39">
        <v>0</v>
      </c>
      <c r="F472" s="39">
        <f>D472+E472</f>
        <v>0</v>
      </c>
      <c r="G472" s="39">
        <v>0</v>
      </c>
      <c r="H472" s="39">
        <f>F472*(($H$232)+1)+(IF(G472&lt;101,G472,IF(G472&lt;201,G472/2,IF(G472&lt;=301,G472/3,G472/4))))</f>
        <v>0</v>
      </c>
      <c r="I472" s="33"/>
    </row>
    <row r="473" spans="1:14" s="34" customFormat="1" ht="15.75" hidden="1" customHeight="1" x14ac:dyDescent="0.35">
      <c r="A473" s="110" t="str">
        <f ca="1">(SUMPRODUCT(MID(0&amp;(LEFT(A472,SUM(LEN(A472)-LEN(SUBSTITUTE(A472,{"0","1","2"},""))))), LARGE(INDEX(ISNUMBER(--MID((LEFT(A472,SUM(LEN(A472)-LEN(SUBSTITUTE(A472,{"0","1","2"},""))))), ROW(INDIRECT("1:"&amp;LEN((LEFT(A472,SUM(LEN(A472)-LEN(SUBSTITUTE(A472,{"0","1","2"},"")))))))), 1)) * ROW(INDIRECT("1:"&amp;LEN((LEFT(A472,SUM(LEN(A472)-LEN(SUBSTITUTE(A472,{"0","1","2"},"")))))))), 0), ROW(INDIRECT("1:"&amp;LEN((LEFT(A472,SUM(LEN(A472)-LEN(SUBSTITUTE(A472,{"0","1","2"},"")))))))))+1, 1) * 10^ROW(INDIRECT("1:"&amp;LEN((LEFT(A472,SUM(LEN(A472)-LEN(SUBSTITUTE(A472,{"0","1","2"},""))))))))/10))*1+1&amp;""&amp;" ,.., "&amp;""&amp;(SUMPRODUCT(MID(0&amp;(--TRIM(RIGHT(SUBSTITUTE(LEFT(A472,_xlfn.AGGREGATE(16,6,FIND({0,1,2,3,4,5,6,7,8,9},A472,ROW(INDIRECT("1:"&amp;LEN(A472)))),1))," ",REPT(" ",LEN(A472))),LEN(A472)))), LARGE(INDEX(ISNUMBER(--MID((--TRIM(RIGHT(SUBSTITUTE(LEFT(A472,_xlfn.AGGREGATE(16,6,FIND({0,1,2,3,4,5,6,7,8,9},A472,ROW(INDIRECT("1:"&amp;LEN(A472)))),1))," ",REPT(" ",LEN(A472))),LEN(A472)))), ROW(INDIRECT("1:"&amp;LEN((--TRIM(RIGHT(SUBSTITUTE(LEFT(A472,_xlfn.AGGREGATE(16,6,FIND({0,1,2,3,4,5,6,7,8,9},A472,ROW(INDIRECT("1:"&amp;LEN(A472)))),1))," ",REPT(" ",LEN(A472))),LEN(A472))))))), 1)) * ROW(INDIRECT("1:"&amp;LEN((--TRIM(RIGHT(SUBSTITUTE(LEFT(A472,_xlfn.AGGREGATE(16,6,FIND({0,1,2,3,4,5,6,7,8,9},A472,ROW(INDIRECT("1:"&amp;LEN(A472)))),1))," ",REPT(" ",LEN(A472))),LEN(A472))))))), 0), ROW(INDIRECT("1:"&amp;LEN((--TRIM(RIGHT(SUBSTITUTE(LEFT(A472,_xlfn.AGGREGATE(16,6,FIND({0,1,2,3,4,5,6,7,8,9},A472,ROW(INDIRECT("1:"&amp;LEN(A472)))),1))," ",REPT(" ",LEN(A472))),LEN(A472))))))))+1, 1) * 10^ROW(INDIRECT("1:"&amp;LEN((--TRIM(RIGHT(SUBSTITUTE(LEFT(A472,_xlfn.AGGREGATE(16,6,FIND({0,1,2,3,4,5,6,7,8,9},A472,ROW(INDIRECT("1:"&amp;LEN(A472)))),1))," ",REPT(" ",LEN(A472))),LEN(A472)))))))/10))*1+1</f>
        <v>303 ,.., 1503</v>
      </c>
      <c r="B473" s="111"/>
      <c r="C473" s="39"/>
      <c r="D473" s="39"/>
      <c r="E473" s="39">
        <v>0</v>
      </c>
      <c r="F473" s="39">
        <f>D473+E473</f>
        <v>0</v>
      </c>
      <c r="G473" s="39">
        <v>0</v>
      </c>
      <c r="H473" s="39">
        <f>F473*(($H$232)+1)+(IF(G473&lt;101,G473,IF(G473&lt;201,G473/2,IF(G473&lt;=301,G473/3,G473/4))))</f>
        <v>0</v>
      </c>
      <c r="I473" s="33"/>
    </row>
    <row r="474" spans="1:14" s="34" customFormat="1" ht="15.75" hidden="1" customHeight="1" x14ac:dyDescent="0.35">
      <c r="A474" s="110" t="str">
        <f ca="1">(SUMPRODUCT(MID(0&amp;(LEFT(A473,SUM(LEN(A473)-LEN(SUBSTITUTE(A473,{"0","1","2"},""))))), LARGE(INDEX(ISNUMBER(--MID((LEFT(A473,SUM(LEN(A473)-LEN(SUBSTITUTE(A473,{"0","1","2"},""))))), ROW(INDIRECT("1:"&amp;LEN((LEFT(A473,SUM(LEN(A473)-LEN(SUBSTITUTE(A473,{"0","1","2"},"")))))))), 1)) * ROW(INDIRECT("1:"&amp;LEN((LEFT(A473,SUM(LEN(A473)-LEN(SUBSTITUTE(A473,{"0","1","2"},"")))))))), 0), ROW(INDIRECT("1:"&amp;LEN((LEFT(A473,SUM(LEN(A473)-LEN(SUBSTITUTE(A473,{"0","1","2"},"")))))))))+1, 1) * 10^ROW(INDIRECT("1:"&amp;LEN((LEFT(A473,SUM(LEN(A473)-LEN(SUBSTITUTE(A473,{"0","1","2"},""))))))))/10))*1+1&amp;""&amp;" ,.., "&amp;""&amp;(SUMPRODUCT(MID(0&amp;(--TRIM(RIGHT(SUBSTITUTE(LEFT(A473,_xlfn.AGGREGATE(16,6,FIND({0,1,2,3,4,5,6,7,8,9},A473,ROW(INDIRECT("1:"&amp;LEN(A473)))),1))," ",REPT(" ",LEN(A473))),LEN(A473)))), LARGE(INDEX(ISNUMBER(--MID((--TRIM(RIGHT(SUBSTITUTE(LEFT(A473,_xlfn.AGGREGATE(16,6,FIND({0,1,2,3,4,5,6,7,8,9},A473,ROW(INDIRECT("1:"&amp;LEN(A473)))),1))," ",REPT(" ",LEN(A473))),LEN(A473)))), ROW(INDIRECT("1:"&amp;LEN((--TRIM(RIGHT(SUBSTITUTE(LEFT(A473,_xlfn.AGGREGATE(16,6,FIND({0,1,2,3,4,5,6,7,8,9},A473,ROW(INDIRECT("1:"&amp;LEN(A473)))),1))," ",REPT(" ",LEN(A473))),LEN(A473))))))), 1)) * ROW(INDIRECT("1:"&amp;LEN((--TRIM(RIGHT(SUBSTITUTE(LEFT(A473,_xlfn.AGGREGATE(16,6,FIND({0,1,2,3,4,5,6,7,8,9},A473,ROW(INDIRECT("1:"&amp;LEN(A473)))),1))," ",REPT(" ",LEN(A473))),LEN(A473))))))), 0), ROW(INDIRECT("1:"&amp;LEN((--TRIM(RIGHT(SUBSTITUTE(LEFT(A473,_xlfn.AGGREGATE(16,6,FIND({0,1,2,3,4,5,6,7,8,9},A473,ROW(INDIRECT("1:"&amp;LEN(A473)))),1))," ",REPT(" ",LEN(A473))),LEN(A473))))))))+1, 1) * 10^ROW(INDIRECT("1:"&amp;LEN((--TRIM(RIGHT(SUBSTITUTE(LEFT(A473,_xlfn.AGGREGATE(16,6,FIND({0,1,2,3,4,5,6,7,8,9},A473,ROW(INDIRECT("1:"&amp;LEN(A473)))),1))," ",REPT(" ",LEN(A473))),LEN(A473)))))))/10))*1+1</f>
        <v>304 ,.., 1504</v>
      </c>
      <c r="B474" s="111"/>
      <c r="C474" s="39"/>
      <c r="D474" s="39"/>
      <c r="E474" s="39">
        <v>0</v>
      </c>
      <c r="F474" s="39">
        <f>D474+E474</f>
        <v>0</v>
      </c>
      <c r="G474" s="39">
        <v>0</v>
      </c>
      <c r="H474" s="39">
        <f>F474*(($H$232)+1)+(IF(G474&lt;101,G474,IF(G474&lt;201,G474/2,IF(G474&lt;=301,G474/3,G474/4))))</f>
        <v>0</v>
      </c>
      <c r="I474" s="33"/>
    </row>
    <row r="475" spans="1:14" s="34" customFormat="1" ht="15.75" hidden="1" customHeight="1" x14ac:dyDescent="0.35">
      <c r="A475" s="110" t="str">
        <f ca="1">(SUMPRODUCT(MID(0&amp;(LEFT(A474,SUM(LEN(A474)-LEN(SUBSTITUTE(A474,{"0","1","2"},""))))), LARGE(INDEX(ISNUMBER(--MID((LEFT(A474,SUM(LEN(A474)-LEN(SUBSTITUTE(A474,{"0","1","2"},""))))), ROW(INDIRECT("1:"&amp;LEN((LEFT(A474,SUM(LEN(A474)-LEN(SUBSTITUTE(A474,{"0","1","2"},"")))))))), 1)) * ROW(INDIRECT("1:"&amp;LEN((LEFT(A474,SUM(LEN(A474)-LEN(SUBSTITUTE(A474,{"0","1","2"},"")))))))), 0), ROW(INDIRECT("1:"&amp;LEN((LEFT(A474,SUM(LEN(A474)-LEN(SUBSTITUTE(A474,{"0","1","2"},"")))))))))+1, 1) * 10^ROW(INDIRECT("1:"&amp;LEN((LEFT(A474,SUM(LEN(A474)-LEN(SUBSTITUTE(A474,{"0","1","2"},""))))))))/10))*1+1&amp;""&amp;" ,.., "&amp;""&amp;(SUMPRODUCT(MID(0&amp;(--TRIM(RIGHT(SUBSTITUTE(LEFT(A474,_xlfn.AGGREGATE(16,6,FIND({0,1,2,3,4,5,6,7,8,9},A474,ROW(INDIRECT("1:"&amp;LEN(A474)))),1))," ",REPT(" ",LEN(A474))),LEN(A474)))), LARGE(INDEX(ISNUMBER(--MID((--TRIM(RIGHT(SUBSTITUTE(LEFT(A474,_xlfn.AGGREGATE(16,6,FIND({0,1,2,3,4,5,6,7,8,9},A474,ROW(INDIRECT("1:"&amp;LEN(A474)))),1))," ",REPT(" ",LEN(A474))),LEN(A474)))), ROW(INDIRECT("1:"&amp;LEN((--TRIM(RIGHT(SUBSTITUTE(LEFT(A474,_xlfn.AGGREGATE(16,6,FIND({0,1,2,3,4,5,6,7,8,9},A474,ROW(INDIRECT("1:"&amp;LEN(A474)))),1))," ",REPT(" ",LEN(A474))),LEN(A474))))))), 1)) * ROW(INDIRECT("1:"&amp;LEN((--TRIM(RIGHT(SUBSTITUTE(LEFT(A474,_xlfn.AGGREGATE(16,6,FIND({0,1,2,3,4,5,6,7,8,9},A474,ROW(INDIRECT("1:"&amp;LEN(A474)))),1))," ",REPT(" ",LEN(A474))),LEN(A474))))))), 0), ROW(INDIRECT("1:"&amp;LEN((--TRIM(RIGHT(SUBSTITUTE(LEFT(A474,_xlfn.AGGREGATE(16,6,FIND({0,1,2,3,4,5,6,7,8,9},A474,ROW(INDIRECT("1:"&amp;LEN(A474)))),1))," ",REPT(" ",LEN(A474))),LEN(A474))))))))+1, 1) * 10^ROW(INDIRECT("1:"&amp;LEN((--TRIM(RIGHT(SUBSTITUTE(LEFT(A474,_xlfn.AGGREGATE(16,6,FIND({0,1,2,3,4,5,6,7,8,9},A474,ROW(INDIRECT("1:"&amp;LEN(A474)))),1))," ",REPT(" ",LEN(A474))),LEN(A474)))))))/10))*1+1</f>
        <v>305 ,.., 1505</v>
      </c>
      <c r="B475" s="111"/>
      <c r="C475" s="39"/>
      <c r="D475" s="39"/>
      <c r="E475" s="39">
        <v>0</v>
      </c>
      <c r="F475" s="39">
        <f>D475+E475</f>
        <v>0</v>
      </c>
      <c r="G475" s="39">
        <v>0</v>
      </c>
      <c r="H475" s="39">
        <f>F475*(($H$232)+1)+(IF(G475&lt;101,G475,IF(G475&lt;201,G475/2,IF(G475&lt;=301,G475/3,G475/4))))</f>
        <v>0</v>
      </c>
      <c r="I475" s="33"/>
    </row>
    <row r="476" spans="1:14" s="34" customFormat="1" hidden="1" x14ac:dyDescent="0.35">
      <c r="A476" s="113" t="s">
        <v>143</v>
      </c>
      <c r="B476" s="114"/>
      <c r="C476" s="114"/>
      <c r="D476" s="114"/>
      <c r="E476" s="114"/>
      <c r="F476" s="114"/>
      <c r="G476" s="114"/>
      <c r="H476" s="115"/>
      <c r="I476" s="33"/>
    </row>
    <row r="477" spans="1:14" s="34" customFormat="1" ht="15.75" hidden="1" customHeight="1" x14ac:dyDescent="0.35">
      <c r="A477" s="110" t="str">
        <f ca="1">(SUMPRODUCT(MID(0&amp;(LEFT(A476,SUM(LEN(A476)-LEN(SUBSTITUTE(A476,{"0","1","2"},""))))), LARGE(INDEX(ISNUMBER(--MID((LEFT(A476,SUM(LEN(A476)-LEN(SUBSTITUTE(A476,{"0","1","2"},""))))), ROW(INDIRECT("1:"&amp;LEN((LEFT(A476,SUM(LEN(A476)-LEN(SUBSTITUTE(A476,{"0","1","2"},"")))))))), 1)) * ROW(INDIRECT("1:"&amp;LEN((LEFT(A476,SUM(LEN(A476)-LEN(SUBSTITUTE(A476,{"0","1","2"},"")))))))), 0), ROW(INDIRECT("1:"&amp;LEN((LEFT(A476,SUM(LEN(A476)-LEN(SUBSTITUTE(A476,{"0","1","2"},"")))))))))+1, 1) * 10^ROW(INDIRECT("1:"&amp;LEN((LEFT(A476,SUM(LEN(A476)-LEN(SUBSTITUTE(A476,{"0","1","2"},""))))))))/10))*100+1&amp;""&amp;" to "&amp;""&amp;(SUMPRODUCT(MID(0&amp;(--TRIM(RIGHT(SUBSTITUTE(LEFT(A476,_xlfn.AGGREGATE(16,6,FIND({0,1,2,3,4,5,6,7,8,9},A476,ROW(INDIRECT("1:"&amp;LEN(A476)))),1))," ",REPT(" ",LEN(A476))),LEN(A476)))), LARGE(INDEX(ISNUMBER(--MID((--TRIM(RIGHT(SUBSTITUTE(LEFT(A476,_xlfn.AGGREGATE(16,6,FIND({0,1,2,3,4,5,6,7,8,9},A476,ROW(INDIRECT("1:"&amp;LEN(A476)))),1))," ",REPT(" ",LEN(A476))),LEN(A476)))), ROW(INDIRECT("1:"&amp;LEN((--TRIM(RIGHT(SUBSTITUTE(LEFT(A476,_xlfn.AGGREGATE(16,6,FIND({0,1,2,3,4,5,6,7,8,9},A476,ROW(INDIRECT("1:"&amp;LEN(A476)))),1))," ",REPT(" ",LEN(A476))),LEN(A476))))))), 1)) * ROW(INDIRECT("1:"&amp;LEN((--TRIM(RIGHT(SUBSTITUTE(LEFT(A476,_xlfn.AGGREGATE(16,6,FIND({0,1,2,3,4,5,6,7,8,9},A476,ROW(INDIRECT("1:"&amp;LEN(A476)))),1))," ",REPT(" ",LEN(A476))),LEN(A476))))))), 0), ROW(INDIRECT("1:"&amp;LEN((--TRIM(RIGHT(SUBSTITUTE(LEFT(A476,_xlfn.AGGREGATE(16,6,FIND({0,1,2,3,4,5,6,7,8,9},A476,ROW(INDIRECT("1:"&amp;LEN(A476)))),1))," ",REPT(" ",LEN(A476))),LEN(A476))))))))+1, 1) * 10^ROW(INDIRECT("1:"&amp;LEN((--TRIM(RIGHT(SUBSTITUTE(LEFT(A476,_xlfn.AGGREGATE(16,6,FIND({0,1,2,3,4,5,6,7,8,9},A476,ROW(INDIRECT("1:"&amp;LEN(A476)))),1))," ",REPT(" ",LEN(A476))),LEN(A476)))))))/10))*100+1</f>
        <v>201 to 501</v>
      </c>
      <c r="B477" s="111"/>
      <c r="C477" s="39"/>
      <c r="D477" s="39"/>
      <c r="E477" s="39">
        <v>0</v>
      </c>
      <c r="F477" s="39">
        <f>D477+E477</f>
        <v>0</v>
      </c>
      <c r="G477" s="39">
        <v>0</v>
      </c>
      <c r="H477" s="39">
        <f>F477*(($H$232)+1)+(IF(G477&lt;101,G477,IF(G477&lt;201,G477/2,IF(G477&lt;=301,G477/3,G477/4))))</f>
        <v>0</v>
      </c>
      <c r="I477" s="33"/>
    </row>
    <row r="478" spans="1:14" s="34" customFormat="1" ht="15.75" hidden="1" customHeight="1" x14ac:dyDescent="0.35">
      <c r="A478" s="110" t="str">
        <f ca="1">(SUMPRODUCT(MID(0&amp;(LEFT(A477,SUM(LEN(A477)-LEN(SUBSTITUTE(A477,{"0","1","2"},""))))), LARGE(INDEX(ISNUMBER(--MID((LEFT(A477,SUM(LEN(A477)-LEN(SUBSTITUTE(A477,{"0","1","2"},""))))), ROW(INDIRECT("1:"&amp;LEN((LEFT(A477,SUM(LEN(A477)-LEN(SUBSTITUTE(A477,{"0","1","2"},"")))))))), 1)) * ROW(INDIRECT("1:"&amp;LEN((LEFT(A477,SUM(LEN(A477)-LEN(SUBSTITUTE(A477,{"0","1","2"},"")))))))), 0), ROW(INDIRECT("1:"&amp;LEN((LEFT(A477,SUM(LEN(A477)-LEN(SUBSTITUTE(A477,{"0","1","2"},"")))))))))+1, 1) * 10^ROW(INDIRECT("1:"&amp;LEN((LEFT(A477,SUM(LEN(A477)-LEN(SUBSTITUTE(A477,{"0","1","2"},""))))))))/10))*1+1&amp;""&amp;" to "&amp;""&amp;(SUMPRODUCT(MID(0&amp;(--TRIM(RIGHT(SUBSTITUTE(LEFT(A477,_xlfn.AGGREGATE(16,6,FIND({0,1,2,3,4,5,6,7,8,9},A477,ROW(INDIRECT("1:"&amp;LEN(A477)))),1))," ",REPT(" ",LEN(A477))),LEN(A477)))), LARGE(INDEX(ISNUMBER(--MID((--TRIM(RIGHT(SUBSTITUTE(LEFT(A477,_xlfn.AGGREGATE(16,6,FIND({0,1,2,3,4,5,6,7,8,9},A477,ROW(INDIRECT("1:"&amp;LEN(A477)))),1))," ",REPT(" ",LEN(A477))),LEN(A477)))), ROW(INDIRECT("1:"&amp;LEN((--TRIM(RIGHT(SUBSTITUTE(LEFT(A477,_xlfn.AGGREGATE(16,6,FIND({0,1,2,3,4,5,6,7,8,9},A477,ROW(INDIRECT("1:"&amp;LEN(A477)))),1))," ",REPT(" ",LEN(A477))),LEN(A477))))))), 1)) * ROW(INDIRECT("1:"&amp;LEN((--TRIM(RIGHT(SUBSTITUTE(LEFT(A477,_xlfn.AGGREGATE(16,6,FIND({0,1,2,3,4,5,6,7,8,9},A477,ROW(INDIRECT("1:"&amp;LEN(A477)))),1))," ",REPT(" ",LEN(A477))),LEN(A477))))))), 0), ROW(INDIRECT("1:"&amp;LEN((--TRIM(RIGHT(SUBSTITUTE(LEFT(A477,_xlfn.AGGREGATE(16,6,FIND({0,1,2,3,4,5,6,7,8,9},A477,ROW(INDIRECT("1:"&amp;LEN(A477)))),1))," ",REPT(" ",LEN(A477))),LEN(A477))))))))+1, 1) * 10^ROW(INDIRECT("1:"&amp;LEN((--TRIM(RIGHT(SUBSTITUTE(LEFT(A477,_xlfn.AGGREGATE(16,6,FIND({0,1,2,3,4,5,6,7,8,9},A477,ROW(INDIRECT("1:"&amp;LEN(A477)))),1))," ",REPT(" ",LEN(A477))),LEN(A477)))))))/10))*1+1</f>
        <v>202 to 502</v>
      </c>
      <c r="B478" s="111"/>
      <c r="C478" s="39"/>
      <c r="D478" s="39"/>
      <c r="E478" s="39">
        <v>0</v>
      </c>
      <c r="F478" s="39">
        <f>D478+E478</f>
        <v>0</v>
      </c>
      <c r="G478" s="39">
        <v>0</v>
      </c>
      <c r="H478" s="39">
        <f>F478*(($H$232)+1)+(IF(G478&lt;101,G478,IF(G478&lt;201,G478/2,IF(G478&lt;=301,G478/3,G478/4))))</f>
        <v>0</v>
      </c>
      <c r="I478" s="33"/>
    </row>
    <row r="479" spans="1:14" s="34" customFormat="1" ht="15.75" hidden="1" customHeight="1" x14ac:dyDescent="0.35">
      <c r="A479" s="110" t="str">
        <f ca="1">(SUMPRODUCT(MID(0&amp;(LEFT(A478,SUM(LEN(A478)-LEN(SUBSTITUTE(A478,{"0","1","2"},""))))), LARGE(INDEX(ISNUMBER(--MID((LEFT(A478,SUM(LEN(A478)-LEN(SUBSTITUTE(A478,{"0","1","2"},""))))), ROW(INDIRECT("1:"&amp;LEN((LEFT(A478,SUM(LEN(A478)-LEN(SUBSTITUTE(A478,{"0","1","2"},"")))))))), 1)) * ROW(INDIRECT("1:"&amp;LEN((LEFT(A478,SUM(LEN(A478)-LEN(SUBSTITUTE(A478,{"0","1","2"},"")))))))), 0), ROW(INDIRECT("1:"&amp;LEN((LEFT(A478,SUM(LEN(A478)-LEN(SUBSTITUTE(A478,{"0","1","2"},"")))))))))+1, 1) * 10^ROW(INDIRECT("1:"&amp;LEN((LEFT(A478,SUM(LEN(A478)-LEN(SUBSTITUTE(A478,{"0","1","2"},""))))))))/10))*1+1&amp;""&amp;" to "&amp;""&amp;(SUMPRODUCT(MID(0&amp;(--TRIM(RIGHT(SUBSTITUTE(LEFT(A478,_xlfn.AGGREGATE(16,6,FIND({0,1,2,3,4,5,6,7,8,9},A478,ROW(INDIRECT("1:"&amp;LEN(A478)))),1))," ",REPT(" ",LEN(A478))),LEN(A478)))), LARGE(INDEX(ISNUMBER(--MID((--TRIM(RIGHT(SUBSTITUTE(LEFT(A478,_xlfn.AGGREGATE(16,6,FIND({0,1,2,3,4,5,6,7,8,9},A478,ROW(INDIRECT("1:"&amp;LEN(A478)))),1))," ",REPT(" ",LEN(A478))),LEN(A478)))), ROW(INDIRECT("1:"&amp;LEN((--TRIM(RIGHT(SUBSTITUTE(LEFT(A478,_xlfn.AGGREGATE(16,6,FIND({0,1,2,3,4,5,6,7,8,9},A478,ROW(INDIRECT("1:"&amp;LEN(A478)))),1))," ",REPT(" ",LEN(A478))),LEN(A478))))))), 1)) * ROW(INDIRECT("1:"&amp;LEN((--TRIM(RIGHT(SUBSTITUTE(LEFT(A478,_xlfn.AGGREGATE(16,6,FIND({0,1,2,3,4,5,6,7,8,9},A478,ROW(INDIRECT("1:"&amp;LEN(A478)))),1))," ",REPT(" ",LEN(A478))),LEN(A478))))))), 0), ROW(INDIRECT("1:"&amp;LEN((--TRIM(RIGHT(SUBSTITUTE(LEFT(A478,_xlfn.AGGREGATE(16,6,FIND({0,1,2,3,4,5,6,7,8,9},A478,ROW(INDIRECT("1:"&amp;LEN(A478)))),1))," ",REPT(" ",LEN(A478))),LEN(A478))))))))+1, 1) * 10^ROW(INDIRECT("1:"&amp;LEN((--TRIM(RIGHT(SUBSTITUTE(LEFT(A478,_xlfn.AGGREGATE(16,6,FIND({0,1,2,3,4,5,6,7,8,9},A478,ROW(INDIRECT("1:"&amp;LEN(A478)))),1))," ",REPT(" ",LEN(A478))),LEN(A478)))))))/10))*1+1</f>
        <v>203 to 503</v>
      </c>
      <c r="B479" s="111"/>
      <c r="C479" s="39"/>
      <c r="D479" s="39"/>
      <c r="E479" s="39">
        <v>0</v>
      </c>
      <c r="F479" s="39">
        <f>D479+E479</f>
        <v>0</v>
      </c>
      <c r="G479" s="39">
        <v>0</v>
      </c>
      <c r="H479" s="39">
        <f>F479*(($H$232)+1)+(IF(G479&lt;101,G479,IF(G479&lt;201,G479/2,IF(G479&lt;=301,G479/3,G479/4))))</f>
        <v>0</v>
      </c>
      <c r="I479" s="33"/>
    </row>
    <row r="480" spans="1:14" s="34" customFormat="1" ht="15.75" hidden="1" customHeight="1" x14ac:dyDescent="0.35">
      <c r="A480" s="110" t="str">
        <f ca="1">(SUMPRODUCT(MID(0&amp;(LEFT(A479,SUM(LEN(A479)-LEN(SUBSTITUTE(A479,{"0","1","2"},""))))), LARGE(INDEX(ISNUMBER(--MID((LEFT(A479,SUM(LEN(A479)-LEN(SUBSTITUTE(A479,{"0","1","2"},""))))), ROW(INDIRECT("1:"&amp;LEN((LEFT(A479,SUM(LEN(A479)-LEN(SUBSTITUTE(A479,{"0","1","2"},"")))))))), 1)) * ROW(INDIRECT("1:"&amp;LEN((LEFT(A479,SUM(LEN(A479)-LEN(SUBSTITUTE(A479,{"0","1","2"},"")))))))), 0), ROW(INDIRECT("1:"&amp;LEN((LEFT(A479,SUM(LEN(A479)-LEN(SUBSTITUTE(A479,{"0","1","2"},"")))))))))+1, 1) * 10^ROW(INDIRECT("1:"&amp;LEN((LEFT(A479,SUM(LEN(A479)-LEN(SUBSTITUTE(A479,{"0","1","2"},""))))))))/10))*1+1&amp;""&amp;" to "&amp;""&amp;(SUMPRODUCT(MID(0&amp;(--TRIM(RIGHT(SUBSTITUTE(LEFT(A479,_xlfn.AGGREGATE(16,6,FIND({0,1,2,3,4,5,6,7,8,9},A479,ROW(INDIRECT("1:"&amp;LEN(A479)))),1))," ",REPT(" ",LEN(A479))),LEN(A479)))), LARGE(INDEX(ISNUMBER(--MID((--TRIM(RIGHT(SUBSTITUTE(LEFT(A479,_xlfn.AGGREGATE(16,6,FIND({0,1,2,3,4,5,6,7,8,9},A479,ROW(INDIRECT("1:"&amp;LEN(A479)))),1))," ",REPT(" ",LEN(A479))),LEN(A479)))), ROW(INDIRECT("1:"&amp;LEN((--TRIM(RIGHT(SUBSTITUTE(LEFT(A479,_xlfn.AGGREGATE(16,6,FIND({0,1,2,3,4,5,6,7,8,9},A479,ROW(INDIRECT("1:"&amp;LEN(A479)))),1))," ",REPT(" ",LEN(A479))),LEN(A479))))))), 1)) * ROW(INDIRECT("1:"&amp;LEN((--TRIM(RIGHT(SUBSTITUTE(LEFT(A479,_xlfn.AGGREGATE(16,6,FIND({0,1,2,3,4,5,6,7,8,9},A479,ROW(INDIRECT("1:"&amp;LEN(A479)))),1))," ",REPT(" ",LEN(A479))),LEN(A479))))))), 0), ROW(INDIRECT("1:"&amp;LEN((--TRIM(RIGHT(SUBSTITUTE(LEFT(A479,_xlfn.AGGREGATE(16,6,FIND({0,1,2,3,4,5,6,7,8,9},A479,ROW(INDIRECT("1:"&amp;LEN(A479)))),1))," ",REPT(" ",LEN(A479))),LEN(A479))))))))+1, 1) * 10^ROW(INDIRECT("1:"&amp;LEN((--TRIM(RIGHT(SUBSTITUTE(LEFT(A479,_xlfn.AGGREGATE(16,6,FIND({0,1,2,3,4,5,6,7,8,9},A479,ROW(INDIRECT("1:"&amp;LEN(A479)))),1))," ",REPT(" ",LEN(A479))),LEN(A479)))))))/10))*1+1</f>
        <v>204 to 504</v>
      </c>
      <c r="B480" s="111"/>
      <c r="C480" s="39"/>
      <c r="D480" s="39"/>
      <c r="E480" s="39">
        <v>0</v>
      </c>
      <c r="F480" s="39">
        <f>D480+E480</f>
        <v>0</v>
      </c>
      <c r="G480" s="39">
        <v>0</v>
      </c>
      <c r="H480" s="39">
        <f>F480*(($H$232)+1)+(IF(G480&lt;101,G480,IF(G480&lt;201,G480/2,IF(G480&lt;=301,G480/3,G480/4))))</f>
        <v>0</v>
      </c>
      <c r="I480" s="33"/>
    </row>
    <row r="481" spans="1:20" s="34" customFormat="1" ht="15.75" hidden="1" customHeight="1" x14ac:dyDescent="0.35">
      <c r="A481" s="110" t="str">
        <f ca="1">(SUMPRODUCT(MID(0&amp;(LEFT(A480,SUM(LEN(A480)-LEN(SUBSTITUTE(A480,{"0","1","2"},""))))), LARGE(INDEX(ISNUMBER(--MID((LEFT(A480,SUM(LEN(A480)-LEN(SUBSTITUTE(A480,{"0","1","2"},""))))), ROW(INDIRECT("1:"&amp;LEN((LEFT(A480,SUM(LEN(A480)-LEN(SUBSTITUTE(A480,{"0","1","2"},"")))))))), 1)) * ROW(INDIRECT("1:"&amp;LEN((LEFT(A480,SUM(LEN(A480)-LEN(SUBSTITUTE(A480,{"0","1","2"},"")))))))), 0), ROW(INDIRECT("1:"&amp;LEN((LEFT(A480,SUM(LEN(A480)-LEN(SUBSTITUTE(A480,{"0","1","2"},"")))))))))+1, 1) * 10^ROW(INDIRECT("1:"&amp;LEN((LEFT(A480,SUM(LEN(A480)-LEN(SUBSTITUTE(A480,{"0","1","2"},""))))))))/10))*1+1&amp;""&amp;" to "&amp;""&amp;(SUMPRODUCT(MID(0&amp;(--TRIM(RIGHT(SUBSTITUTE(LEFT(A480,_xlfn.AGGREGATE(16,6,FIND({0,1,2,3,4,5,6,7,8,9},A480,ROW(INDIRECT("1:"&amp;LEN(A480)))),1))," ",REPT(" ",LEN(A480))),LEN(A480)))), LARGE(INDEX(ISNUMBER(--MID((--TRIM(RIGHT(SUBSTITUTE(LEFT(A480,_xlfn.AGGREGATE(16,6,FIND({0,1,2,3,4,5,6,7,8,9},A480,ROW(INDIRECT("1:"&amp;LEN(A480)))),1))," ",REPT(" ",LEN(A480))),LEN(A480)))), ROW(INDIRECT("1:"&amp;LEN((--TRIM(RIGHT(SUBSTITUTE(LEFT(A480,_xlfn.AGGREGATE(16,6,FIND({0,1,2,3,4,5,6,7,8,9},A480,ROW(INDIRECT("1:"&amp;LEN(A480)))),1))," ",REPT(" ",LEN(A480))),LEN(A480))))))), 1)) * ROW(INDIRECT("1:"&amp;LEN((--TRIM(RIGHT(SUBSTITUTE(LEFT(A480,_xlfn.AGGREGATE(16,6,FIND({0,1,2,3,4,5,6,7,8,9},A480,ROW(INDIRECT("1:"&amp;LEN(A480)))),1))," ",REPT(" ",LEN(A480))),LEN(A480))))))), 0), ROW(INDIRECT("1:"&amp;LEN((--TRIM(RIGHT(SUBSTITUTE(LEFT(A480,_xlfn.AGGREGATE(16,6,FIND({0,1,2,3,4,5,6,7,8,9},A480,ROW(INDIRECT("1:"&amp;LEN(A480)))),1))," ",REPT(" ",LEN(A480))),LEN(A480))))))))+1, 1) * 10^ROW(INDIRECT("1:"&amp;LEN((--TRIM(RIGHT(SUBSTITUTE(LEFT(A480,_xlfn.AGGREGATE(16,6,FIND({0,1,2,3,4,5,6,7,8,9},A480,ROW(INDIRECT("1:"&amp;LEN(A480)))),1))," ",REPT(" ",LEN(A480))),LEN(A480)))))))/10))*1+1</f>
        <v>205 to 505</v>
      </c>
      <c r="B481" s="111"/>
      <c r="C481" s="39"/>
      <c r="D481" s="39"/>
      <c r="E481" s="39">
        <v>0</v>
      </c>
      <c r="F481" s="39">
        <f>D481+E481</f>
        <v>0</v>
      </c>
      <c r="G481" s="39">
        <v>0</v>
      </c>
      <c r="H481" s="39">
        <f>F481*(($H$232)+1)+(IF(G481&lt;101,G481,IF(G481&lt;201,G481/2,IF(G481&lt;=301,G481/3,G481/4))))</f>
        <v>0</v>
      </c>
      <c r="I481" s="33"/>
    </row>
    <row r="482" spans="1:20" s="34" customFormat="1" hidden="1" x14ac:dyDescent="0.35">
      <c r="A482" s="113" t="s">
        <v>144</v>
      </c>
      <c r="B482" s="114"/>
      <c r="C482" s="114"/>
      <c r="D482" s="114"/>
      <c r="E482" s="114"/>
      <c r="F482" s="114"/>
      <c r="G482" s="114"/>
      <c r="H482" s="115"/>
      <c r="I482" s="33"/>
    </row>
    <row r="483" spans="1:20" s="34" customFormat="1" ht="15.75" hidden="1" customHeight="1" x14ac:dyDescent="0.35">
      <c r="A483" s="110" t="str">
        <f ca="1">(SUMPRODUCT(MID(0&amp;(LEFT(A482,SUM(LEN(A482)-LEN(SUBSTITUTE(A482,{"0","1","2"},""))))), LARGE(INDEX(ISNUMBER(--MID((LEFT(A482,SUM(LEN(A482)-LEN(SUBSTITUTE(A482,{"0","1","2"},""))))), ROW(INDIRECT("1:"&amp;LEN((LEFT(A482,SUM(LEN(A482)-LEN(SUBSTITUTE(A482,{"0","1","2"},"")))))))), 1)) * ROW(INDIRECT("1:"&amp;LEN((LEFT(A482,SUM(LEN(A482)-LEN(SUBSTITUTE(A482,{"0","1","2"},"")))))))), 0), ROW(INDIRECT("1:"&amp;LEN((LEFT(A482,SUM(LEN(A482)-LEN(SUBSTITUTE(A482,{"0","1","2"},"")))))))))+1, 1) * 10^ROW(INDIRECT("1:"&amp;LEN((LEFT(A482,SUM(LEN(A482)-LEN(SUBSTITUTE(A482,{"0","1","2"},""))))))))/10))*100+1&amp;""&amp;" &amp; "&amp;""&amp;(SUMPRODUCT(MID(0&amp;(--TRIM(RIGHT(SUBSTITUTE(LEFT(A482,_xlfn.AGGREGATE(16,6,FIND({0,1,2,3,4,5,6,7,8,9},A482,ROW(INDIRECT("1:"&amp;LEN(A482)))),1))," ",REPT(" ",LEN(A482))),LEN(A482)))), LARGE(INDEX(ISNUMBER(--MID((--TRIM(RIGHT(SUBSTITUTE(LEFT(A482,_xlfn.AGGREGATE(16,6,FIND({0,1,2,3,4,5,6,7,8,9},A482,ROW(INDIRECT("1:"&amp;LEN(A482)))),1))," ",REPT(" ",LEN(A482))),LEN(A482)))), ROW(INDIRECT("1:"&amp;LEN((--TRIM(RIGHT(SUBSTITUTE(LEFT(A482,_xlfn.AGGREGATE(16,6,FIND({0,1,2,3,4,5,6,7,8,9},A482,ROW(INDIRECT("1:"&amp;LEN(A482)))),1))," ",REPT(" ",LEN(A482))),LEN(A482))))))), 1)) * ROW(INDIRECT("1:"&amp;LEN((--TRIM(RIGHT(SUBSTITUTE(LEFT(A482,_xlfn.AGGREGATE(16,6,FIND({0,1,2,3,4,5,6,7,8,9},A482,ROW(INDIRECT("1:"&amp;LEN(A482)))),1))," ",REPT(" ",LEN(A482))),LEN(A482))))))), 0), ROW(INDIRECT("1:"&amp;LEN((--TRIM(RIGHT(SUBSTITUTE(LEFT(A482,_xlfn.AGGREGATE(16,6,FIND({0,1,2,3,4,5,6,7,8,9},A482,ROW(INDIRECT("1:"&amp;LEN(A482)))),1))," ",REPT(" ",LEN(A482))),LEN(A482))))))))+1, 1) * 10^ROW(INDIRECT("1:"&amp;LEN((--TRIM(RIGHT(SUBSTITUTE(LEFT(A482,_xlfn.AGGREGATE(16,6,FIND({0,1,2,3,4,5,6,7,8,9},A482,ROW(INDIRECT("1:"&amp;LEN(A482)))),1))," ",REPT(" ",LEN(A482))),LEN(A482)))))))/10))*100+1</f>
        <v>201 &amp; 501</v>
      </c>
      <c r="B483" s="111"/>
      <c r="C483" s="39"/>
      <c r="D483" s="39"/>
      <c r="E483" s="39">
        <v>0</v>
      </c>
      <c r="F483" s="39">
        <f>D483+E483</f>
        <v>0</v>
      </c>
      <c r="G483" s="39">
        <v>0</v>
      </c>
      <c r="H483" s="39">
        <f>F483*(($H$232)+1)+(IF(G483&lt;101,G483,IF(G483&lt;201,G483/2,IF(G483&lt;=301,G483/3,G483/4))))</f>
        <v>0</v>
      </c>
      <c r="I483" s="33"/>
    </row>
    <row r="484" spans="1:20" s="34" customFormat="1" ht="15.75" hidden="1" customHeight="1" x14ac:dyDescent="0.35">
      <c r="A484" s="110" t="str">
        <f ca="1">(SUMPRODUCT(MID(0&amp;(LEFT(A483,SUM(LEN(A483)-LEN(SUBSTITUTE(A483,{"0","1","2"},""))))), LARGE(INDEX(ISNUMBER(--MID((LEFT(A483,SUM(LEN(A483)-LEN(SUBSTITUTE(A483,{"0","1","2"},""))))), ROW(INDIRECT("1:"&amp;LEN((LEFT(A483,SUM(LEN(A483)-LEN(SUBSTITUTE(A483,{"0","1","2"},"")))))))), 1)) * ROW(INDIRECT("1:"&amp;LEN((LEFT(A483,SUM(LEN(A483)-LEN(SUBSTITUTE(A483,{"0","1","2"},"")))))))), 0), ROW(INDIRECT("1:"&amp;LEN((LEFT(A483,SUM(LEN(A483)-LEN(SUBSTITUTE(A483,{"0","1","2"},"")))))))))+1, 1) * 10^ROW(INDIRECT("1:"&amp;LEN((LEFT(A483,SUM(LEN(A483)-LEN(SUBSTITUTE(A483,{"0","1","2"},""))))))))/10))*1+1&amp;""&amp;" &amp; "&amp;""&amp;(SUMPRODUCT(MID(0&amp;(--TRIM(RIGHT(SUBSTITUTE(LEFT(A483,_xlfn.AGGREGATE(16,6,FIND({0,1,2,3,4,5,6,7,8,9},A483,ROW(INDIRECT("1:"&amp;LEN(A483)))),1))," ",REPT(" ",LEN(A483))),LEN(A483)))), LARGE(INDEX(ISNUMBER(--MID((--TRIM(RIGHT(SUBSTITUTE(LEFT(A483,_xlfn.AGGREGATE(16,6,FIND({0,1,2,3,4,5,6,7,8,9},A483,ROW(INDIRECT("1:"&amp;LEN(A483)))),1))," ",REPT(" ",LEN(A483))),LEN(A483)))), ROW(INDIRECT("1:"&amp;LEN((--TRIM(RIGHT(SUBSTITUTE(LEFT(A483,_xlfn.AGGREGATE(16,6,FIND({0,1,2,3,4,5,6,7,8,9},A483,ROW(INDIRECT("1:"&amp;LEN(A483)))),1))," ",REPT(" ",LEN(A483))),LEN(A483))))))), 1)) * ROW(INDIRECT("1:"&amp;LEN((--TRIM(RIGHT(SUBSTITUTE(LEFT(A483,_xlfn.AGGREGATE(16,6,FIND({0,1,2,3,4,5,6,7,8,9},A483,ROW(INDIRECT("1:"&amp;LEN(A483)))),1))," ",REPT(" ",LEN(A483))),LEN(A483))))))), 0), ROW(INDIRECT("1:"&amp;LEN((--TRIM(RIGHT(SUBSTITUTE(LEFT(A483,_xlfn.AGGREGATE(16,6,FIND({0,1,2,3,4,5,6,7,8,9},A483,ROW(INDIRECT("1:"&amp;LEN(A483)))),1))," ",REPT(" ",LEN(A483))),LEN(A483))))))))+1, 1) * 10^ROW(INDIRECT("1:"&amp;LEN((--TRIM(RIGHT(SUBSTITUTE(LEFT(A483,_xlfn.AGGREGATE(16,6,FIND({0,1,2,3,4,5,6,7,8,9},A483,ROW(INDIRECT("1:"&amp;LEN(A483)))),1))," ",REPT(" ",LEN(A483))),LEN(A483)))))))/10))*1+1</f>
        <v>202 &amp; 502</v>
      </c>
      <c r="B484" s="111"/>
      <c r="C484" s="39"/>
      <c r="D484" s="39"/>
      <c r="E484" s="39">
        <v>0</v>
      </c>
      <c r="F484" s="39">
        <f>D484+E484</f>
        <v>0</v>
      </c>
      <c r="G484" s="39">
        <v>0</v>
      </c>
      <c r="H484" s="39">
        <f>F484*(($H$232)+1)+(IF(G484&lt;101,G484,IF(G484&lt;201,G484/2,IF(G484&lt;=301,G484/3,G484/4))))</f>
        <v>0</v>
      </c>
      <c r="I484" s="33"/>
    </row>
    <row r="485" spans="1:20" s="34" customFormat="1" ht="15.75" hidden="1" customHeight="1" x14ac:dyDescent="0.35">
      <c r="A485" s="110" t="str">
        <f ca="1">(SUMPRODUCT(MID(0&amp;(LEFT(A484,SUM(LEN(A484)-LEN(SUBSTITUTE(A484,{"0","1","2"},""))))), LARGE(INDEX(ISNUMBER(--MID((LEFT(A484,SUM(LEN(A484)-LEN(SUBSTITUTE(A484,{"0","1","2"},""))))), ROW(INDIRECT("1:"&amp;LEN((LEFT(A484,SUM(LEN(A484)-LEN(SUBSTITUTE(A484,{"0","1","2"},"")))))))), 1)) * ROW(INDIRECT("1:"&amp;LEN((LEFT(A484,SUM(LEN(A484)-LEN(SUBSTITUTE(A484,{"0","1","2"},"")))))))), 0), ROW(INDIRECT("1:"&amp;LEN((LEFT(A484,SUM(LEN(A484)-LEN(SUBSTITUTE(A484,{"0","1","2"},"")))))))))+1, 1) * 10^ROW(INDIRECT("1:"&amp;LEN((LEFT(A484,SUM(LEN(A484)-LEN(SUBSTITUTE(A484,{"0","1","2"},""))))))))/10))*1+1&amp;""&amp;" &amp; "&amp;""&amp;(SUMPRODUCT(MID(0&amp;(--TRIM(RIGHT(SUBSTITUTE(LEFT(A484,_xlfn.AGGREGATE(16,6,FIND({0,1,2,3,4,5,6,7,8,9},A484,ROW(INDIRECT("1:"&amp;LEN(A484)))),1))," ",REPT(" ",LEN(A484))),LEN(A484)))), LARGE(INDEX(ISNUMBER(--MID((--TRIM(RIGHT(SUBSTITUTE(LEFT(A484,_xlfn.AGGREGATE(16,6,FIND({0,1,2,3,4,5,6,7,8,9},A484,ROW(INDIRECT("1:"&amp;LEN(A484)))),1))," ",REPT(" ",LEN(A484))),LEN(A484)))), ROW(INDIRECT("1:"&amp;LEN((--TRIM(RIGHT(SUBSTITUTE(LEFT(A484,_xlfn.AGGREGATE(16,6,FIND({0,1,2,3,4,5,6,7,8,9},A484,ROW(INDIRECT("1:"&amp;LEN(A484)))),1))," ",REPT(" ",LEN(A484))),LEN(A484))))))), 1)) * ROW(INDIRECT("1:"&amp;LEN((--TRIM(RIGHT(SUBSTITUTE(LEFT(A484,_xlfn.AGGREGATE(16,6,FIND({0,1,2,3,4,5,6,7,8,9},A484,ROW(INDIRECT("1:"&amp;LEN(A484)))),1))," ",REPT(" ",LEN(A484))),LEN(A484))))))), 0), ROW(INDIRECT("1:"&amp;LEN((--TRIM(RIGHT(SUBSTITUTE(LEFT(A484,_xlfn.AGGREGATE(16,6,FIND({0,1,2,3,4,5,6,7,8,9},A484,ROW(INDIRECT("1:"&amp;LEN(A484)))),1))," ",REPT(" ",LEN(A484))),LEN(A484))))))))+1, 1) * 10^ROW(INDIRECT("1:"&amp;LEN((--TRIM(RIGHT(SUBSTITUTE(LEFT(A484,_xlfn.AGGREGATE(16,6,FIND({0,1,2,3,4,5,6,7,8,9},A484,ROW(INDIRECT("1:"&amp;LEN(A484)))),1))," ",REPT(" ",LEN(A484))),LEN(A484)))))))/10))*1+1</f>
        <v>203 &amp; 503</v>
      </c>
      <c r="B485" s="111"/>
      <c r="C485" s="39"/>
      <c r="D485" s="39"/>
      <c r="E485" s="39">
        <v>0</v>
      </c>
      <c r="F485" s="39">
        <f>D485+E485</f>
        <v>0</v>
      </c>
      <c r="G485" s="39">
        <v>0</v>
      </c>
      <c r="H485" s="39">
        <f>F485*(($H$232)+1)+(IF(G485&lt;101,G485,IF(G485&lt;201,G485/2,IF(G485&lt;=301,G485/3,G485/4))))</f>
        <v>0</v>
      </c>
      <c r="I485" s="33"/>
    </row>
    <row r="486" spans="1:20" s="34" customFormat="1" ht="15.75" hidden="1" customHeight="1" x14ac:dyDescent="0.35">
      <c r="A486" s="110" t="str">
        <f ca="1">(SUMPRODUCT(MID(0&amp;(LEFT(A485,SUM(LEN(A485)-LEN(SUBSTITUTE(A485,{"0","1","2"},""))))), LARGE(INDEX(ISNUMBER(--MID((LEFT(A485,SUM(LEN(A485)-LEN(SUBSTITUTE(A485,{"0","1","2"},""))))), ROW(INDIRECT("1:"&amp;LEN((LEFT(A485,SUM(LEN(A485)-LEN(SUBSTITUTE(A485,{"0","1","2"},"")))))))), 1)) * ROW(INDIRECT("1:"&amp;LEN((LEFT(A485,SUM(LEN(A485)-LEN(SUBSTITUTE(A485,{"0","1","2"},"")))))))), 0), ROW(INDIRECT("1:"&amp;LEN((LEFT(A485,SUM(LEN(A485)-LEN(SUBSTITUTE(A485,{"0","1","2"},"")))))))))+1, 1) * 10^ROW(INDIRECT("1:"&amp;LEN((LEFT(A485,SUM(LEN(A485)-LEN(SUBSTITUTE(A485,{"0","1","2"},""))))))))/10))*1+1&amp;""&amp;" &amp; "&amp;""&amp;(SUMPRODUCT(MID(0&amp;(--TRIM(RIGHT(SUBSTITUTE(LEFT(A485,_xlfn.AGGREGATE(16,6,FIND({0,1,2,3,4,5,6,7,8,9},A485,ROW(INDIRECT("1:"&amp;LEN(A485)))),1))," ",REPT(" ",LEN(A485))),LEN(A485)))), LARGE(INDEX(ISNUMBER(--MID((--TRIM(RIGHT(SUBSTITUTE(LEFT(A485,_xlfn.AGGREGATE(16,6,FIND({0,1,2,3,4,5,6,7,8,9},A485,ROW(INDIRECT("1:"&amp;LEN(A485)))),1))," ",REPT(" ",LEN(A485))),LEN(A485)))), ROW(INDIRECT("1:"&amp;LEN((--TRIM(RIGHT(SUBSTITUTE(LEFT(A485,_xlfn.AGGREGATE(16,6,FIND({0,1,2,3,4,5,6,7,8,9},A485,ROW(INDIRECT("1:"&amp;LEN(A485)))),1))," ",REPT(" ",LEN(A485))),LEN(A485))))))), 1)) * ROW(INDIRECT("1:"&amp;LEN((--TRIM(RIGHT(SUBSTITUTE(LEFT(A485,_xlfn.AGGREGATE(16,6,FIND({0,1,2,3,4,5,6,7,8,9},A485,ROW(INDIRECT("1:"&amp;LEN(A485)))),1))," ",REPT(" ",LEN(A485))),LEN(A485))))))), 0), ROW(INDIRECT("1:"&amp;LEN((--TRIM(RIGHT(SUBSTITUTE(LEFT(A485,_xlfn.AGGREGATE(16,6,FIND({0,1,2,3,4,5,6,7,8,9},A485,ROW(INDIRECT("1:"&amp;LEN(A485)))),1))," ",REPT(" ",LEN(A485))),LEN(A485))))))))+1, 1) * 10^ROW(INDIRECT("1:"&amp;LEN((--TRIM(RIGHT(SUBSTITUTE(LEFT(A485,_xlfn.AGGREGATE(16,6,FIND({0,1,2,3,4,5,6,7,8,9},A485,ROW(INDIRECT("1:"&amp;LEN(A485)))),1))," ",REPT(" ",LEN(A485))),LEN(A485)))))))/10))*1+1</f>
        <v>204 &amp; 504</v>
      </c>
      <c r="B486" s="111"/>
      <c r="C486" s="39"/>
      <c r="D486" s="39"/>
      <c r="E486" s="39">
        <v>0</v>
      </c>
      <c r="F486" s="39">
        <f>D486+E486</f>
        <v>0</v>
      </c>
      <c r="G486" s="39">
        <v>0</v>
      </c>
      <c r="H486" s="39">
        <f>F486*(($H$232)+1)+(IF(G486&lt;101,G486,IF(G486&lt;201,G486/2,IF(G486&lt;=301,G486/3,G486/4))))</f>
        <v>0</v>
      </c>
      <c r="I486" s="33"/>
    </row>
    <row r="487" spans="1:20" s="34" customFormat="1" ht="15.75" hidden="1" customHeight="1" x14ac:dyDescent="0.35">
      <c r="A487" s="110" t="str">
        <f ca="1">(SUMPRODUCT(MID(0&amp;(LEFT(A486,SUM(LEN(A486)-LEN(SUBSTITUTE(A486,{"0","1","2"},""))))), LARGE(INDEX(ISNUMBER(--MID((LEFT(A486,SUM(LEN(A486)-LEN(SUBSTITUTE(A486,{"0","1","2"},""))))), ROW(INDIRECT("1:"&amp;LEN((LEFT(A486,SUM(LEN(A486)-LEN(SUBSTITUTE(A486,{"0","1","2"},"")))))))), 1)) * ROW(INDIRECT("1:"&amp;LEN((LEFT(A486,SUM(LEN(A486)-LEN(SUBSTITUTE(A486,{"0","1","2"},"")))))))), 0), ROW(INDIRECT("1:"&amp;LEN((LEFT(A486,SUM(LEN(A486)-LEN(SUBSTITUTE(A486,{"0","1","2"},"")))))))))+1, 1) * 10^ROW(INDIRECT("1:"&amp;LEN((LEFT(A486,SUM(LEN(A486)-LEN(SUBSTITUTE(A486,{"0","1","2"},""))))))))/10))*1+1&amp;""&amp;" &amp; "&amp;""&amp;(SUMPRODUCT(MID(0&amp;(--TRIM(RIGHT(SUBSTITUTE(LEFT(A486,_xlfn.AGGREGATE(16,6,FIND({0,1,2,3,4,5,6,7,8,9},A486,ROW(INDIRECT("1:"&amp;LEN(A486)))),1))," ",REPT(" ",LEN(A486))),LEN(A486)))), LARGE(INDEX(ISNUMBER(--MID((--TRIM(RIGHT(SUBSTITUTE(LEFT(A486,_xlfn.AGGREGATE(16,6,FIND({0,1,2,3,4,5,6,7,8,9},A486,ROW(INDIRECT("1:"&amp;LEN(A486)))),1))," ",REPT(" ",LEN(A486))),LEN(A486)))), ROW(INDIRECT("1:"&amp;LEN((--TRIM(RIGHT(SUBSTITUTE(LEFT(A486,_xlfn.AGGREGATE(16,6,FIND({0,1,2,3,4,5,6,7,8,9},A486,ROW(INDIRECT("1:"&amp;LEN(A486)))),1))," ",REPT(" ",LEN(A486))),LEN(A486))))))), 1)) * ROW(INDIRECT("1:"&amp;LEN((--TRIM(RIGHT(SUBSTITUTE(LEFT(A486,_xlfn.AGGREGATE(16,6,FIND({0,1,2,3,4,5,6,7,8,9},A486,ROW(INDIRECT("1:"&amp;LEN(A486)))),1))," ",REPT(" ",LEN(A486))),LEN(A486))))))), 0), ROW(INDIRECT("1:"&amp;LEN((--TRIM(RIGHT(SUBSTITUTE(LEFT(A486,_xlfn.AGGREGATE(16,6,FIND({0,1,2,3,4,5,6,7,8,9},A486,ROW(INDIRECT("1:"&amp;LEN(A486)))),1))," ",REPT(" ",LEN(A486))),LEN(A486))))))))+1, 1) * 10^ROW(INDIRECT("1:"&amp;LEN((--TRIM(RIGHT(SUBSTITUTE(LEFT(A486,_xlfn.AGGREGATE(16,6,FIND({0,1,2,3,4,5,6,7,8,9},A486,ROW(INDIRECT("1:"&amp;LEN(A486)))),1))," ",REPT(" ",LEN(A486))),LEN(A486)))))))/10))*1+1</f>
        <v>205 &amp; 505</v>
      </c>
      <c r="B487" s="111"/>
      <c r="C487" s="39"/>
      <c r="D487" s="39"/>
      <c r="E487" s="39">
        <v>0</v>
      </c>
      <c r="F487" s="39">
        <f>D487+E487</f>
        <v>0</v>
      </c>
      <c r="G487" s="39">
        <v>0</v>
      </c>
      <c r="H487" s="39">
        <f>F487*(($H$232)+1)+(IF(G487&lt;101,G487,IF(G487&lt;201,G487/2,IF(G487&lt;=301,G487/3,G487/4))))</f>
        <v>0</v>
      </c>
      <c r="I487" s="33"/>
    </row>
    <row r="488" spans="1:20" s="32" customFormat="1" x14ac:dyDescent="0.35">
      <c r="A488" s="265" t="s">
        <v>64</v>
      </c>
      <c r="B488" s="265"/>
      <c r="C488" s="265"/>
      <c r="D488" s="265"/>
      <c r="E488" s="265"/>
      <c r="F488" s="265"/>
      <c r="G488" s="265"/>
      <c r="H488" s="265"/>
      <c r="T488" s="34"/>
    </row>
    <row r="489" spans="1:20" s="32" customFormat="1" ht="64" customHeight="1" x14ac:dyDescent="0.35">
      <c r="A489" s="41" t="s">
        <v>154</v>
      </c>
      <c r="B489" s="245" t="s">
        <v>464</v>
      </c>
      <c r="C489" s="246"/>
      <c r="D489" s="246"/>
      <c r="E489" s="246"/>
      <c r="F489" s="246"/>
      <c r="G489" s="246"/>
      <c r="H489" s="247"/>
      <c r="T489" s="34"/>
    </row>
    <row r="490" spans="1:20" s="32" customFormat="1" x14ac:dyDescent="0.35">
      <c r="A490" s="41" t="s">
        <v>154</v>
      </c>
      <c r="B490" s="245" t="str">
        <f>(IF(H231="Saleable area Loading :","We have considered Saleable area of Flats as per our Calculation.","We considered Saleable area of Flat as per Builder area Sheet."))</f>
        <v>We have considered Saleable area of Flats as per our Calculation.</v>
      </c>
      <c r="C490" s="246"/>
      <c r="D490" s="246"/>
      <c r="E490" s="246"/>
      <c r="F490" s="246"/>
      <c r="G490" s="246"/>
      <c r="H490" s="247"/>
      <c r="T490" s="34"/>
    </row>
    <row r="491" spans="1:20" s="32" customFormat="1" hidden="1" x14ac:dyDescent="0.35">
      <c r="A491" s="41" t="s">
        <v>154</v>
      </c>
      <c r="B491" s="125" t="str">
        <f>(IF(H223="Saleable area Loading :","We have considered Saleable area of Commercial as per our Calculation.","We considered Saleable area of Commercial as per Builder area Sheet."))</f>
        <v>We have considered Saleable area of Commercial as per our Calculation.</v>
      </c>
      <c r="C491" s="126"/>
      <c r="D491" s="126"/>
      <c r="E491" s="126"/>
      <c r="F491" s="126"/>
      <c r="G491" s="126"/>
      <c r="H491" s="127"/>
      <c r="T491" s="34"/>
    </row>
    <row r="492" spans="1:20" s="32" customFormat="1" x14ac:dyDescent="0.35">
      <c r="A492" s="41" t="s">
        <v>154</v>
      </c>
      <c r="B492" s="102" t="s">
        <v>120</v>
      </c>
      <c r="C492" s="103"/>
      <c r="D492" s="103"/>
      <c r="E492" s="103"/>
      <c r="F492" s="103"/>
      <c r="G492" s="103"/>
      <c r="H492" s="104"/>
      <c r="T492" s="34"/>
    </row>
    <row r="493" spans="1:20" s="32" customFormat="1" x14ac:dyDescent="0.35">
      <c r="A493" s="41" t="s">
        <v>154</v>
      </c>
      <c r="B493" s="245" t="s">
        <v>434</v>
      </c>
      <c r="C493" s="246"/>
      <c r="D493" s="246"/>
      <c r="E493" s="246"/>
      <c r="F493" s="246"/>
      <c r="G493" s="246"/>
      <c r="H493" s="247"/>
      <c r="T493" s="34"/>
    </row>
    <row r="494" spans="1:20" s="32" customFormat="1" x14ac:dyDescent="0.35">
      <c r="A494" s="41" t="s">
        <v>154</v>
      </c>
      <c r="B494" s="102" t="s">
        <v>153</v>
      </c>
      <c r="C494" s="103"/>
      <c r="D494" s="103"/>
      <c r="E494" s="103"/>
      <c r="F494" s="103"/>
      <c r="G494" s="103"/>
      <c r="H494" s="104"/>
    </row>
    <row r="495" spans="1:20" s="32" customFormat="1" x14ac:dyDescent="0.35">
      <c r="A495" s="41" t="s">
        <v>154</v>
      </c>
      <c r="B495" s="102" t="s">
        <v>121</v>
      </c>
      <c r="C495" s="103"/>
      <c r="D495" s="103"/>
      <c r="E495" s="103"/>
      <c r="F495" s="103"/>
      <c r="G495" s="103"/>
      <c r="H495" s="104"/>
    </row>
    <row r="496" spans="1:20" s="32" customFormat="1" ht="34.5" customHeight="1" x14ac:dyDescent="0.35">
      <c r="A496" s="41" t="s">
        <v>154</v>
      </c>
      <c r="B496" s="245" t="s">
        <v>155</v>
      </c>
      <c r="C496" s="246"/>
      <c r="D496" s="246"/>
      <c r="E496" s="246"/>
      <c r="F496" s="246"/>
      <c r="G496" s="246"/>
      <c r="H496" s="247"/>
    </row>
    <row r="497" spans="1:20" s="32" customFormat="1" x14ac:dyDescent="0.35">
      <c r="A497" s="41" t="s">
        <v>154</v>
      </c>
      <c r="B497" s="102" t="s">
        <v>122</v>
      </c>
      <c r="C497" s="103"/>
      <c r="D497" s="103"/>
      <c r="E497" s="103"/>
      <c r="F497" s="103"/>
      <c r="G497" s="103"/>
      <c r="H497" s="104"/>
    </row>
    <row r="498" spans="1:20" s="32" customFormat="1" ht="32.25" hidden="1" customHeight="1" x14ac:dyDescent="0.35">
      <c r="A498" s="41" t="s">
        <v>154</v>
      </c>
      <c r="B498" s="125" t="s">
        <v>178</v>
      </c>
      <c r="C498" s="126"/>
      <c r="D498" s="126"/>
      <c r="E498" s="126"/>
      <c r="F498" s="126"/>
      <c r="G498" s="126"/>
      <c r="H498" s="127"/>
    </row>
    <row r="499" spans="1:20" s="32" customFormat="1" ht="38.25" hidden="1" customHeight="1" x14ac:dyDescent="0.35">
      <c r="A499" s="41" t="s">
        <v>154</v>
      </c>
      <c r="B499" s="125" t="s">
        <v>349</v>
      </c>
      <c r="C499" s="126"/>
      <c r="D499" s="126"/>
      <c r="E499" s="126"/>
      <c r="F499" s="126"/>
      <c r="G499" s="126"/>
      <c r="H499" s="127"/>
    </row>
    <row r="500" spans="1:20" s="32" customFormat="1" hidden="1" x14ac:dyDescent="0.35">
      <c r="A500" s="41" t="s">
        <v>154</v>
      </c>
      <c r="B500" s="125" t="s">
        <v>351</v>
      </c>
      <c r="C500" s="126"/>
      <c r="D500" s="126"/>
      <c r="E500" s="126"/>
      <c r="F500" s="126"/>
      <c r="G500" s="126"/>
      <c r="H500" s="127"/>
    </row>
    <row r="501" spans="1:20" s="32" customFormat="1" hidden="1" x14ac:dyDescent="0.35">
      <c r="A501" s="41" t="s">
        <v>154</v>
      </c>
      <c r="B501" s="125" t="str">
        <f ca="1">IF(G52&gt;EDATE(E3,-48),"NO REMARK FOR CC","REMARK FOR CC")</f>
        <v>NO REMARK FOR CC</v>
      </c>
      <c r="C501" s="126"/>
      <c r="D501" s="126"/>
      <c r="E501" s="126"/>
      <c r="F501" s="126"/>
      <c r="G501" s="126"/>
      <c r="H501" s="127"/>
    </row>
    <row r="502" spans="1:20" s="32" customFormat="1" ht="81.75" hidden="1" customHeight="1" x14ac:dyDescent="0.35">
      <c r="A502" s="41" t="s">
        <v>154</v>
      </c>
      <c r="B502" s="125" t="s">
        <v>352</v>
      </c>
      <c r="C502" s="126"/>
      <c r="D502" s="126"/>
      <c r="E502" s="126"/>
      <c r="F502" s="126"/>
      <c r="G502" s="126"/>
      <c r="H502" s="127"/>
    </row>
    <row r="503" spans="1:20" s="32" customFormat="1" x14ac:dyDescent="0.35">
      <c r="A503" s="95" t="s">
        <v>154</v>
      </c>
      <c r="B503" s="102" t="s">
        <v>462</v>
      </c>
      <c r="C503" s="103"/>
      <c r="D503" s="103"/>
      <c r="E503" s="103"/>
      <c r="F503" s="103"/>
      <c r="G503" s="103"/>
      <c r="H503" s="104"/>
    </row>
    <row r="504" spans="1:20" x14ac:dyDescent="0.35">
      <c r="A504" s="218" t="s">
        <v>57</v>
      </c>
      <c r="B504" s="218"/>
      <c r="C504" s="218"/>
      <c r="D504" s="218"/>
      <c r="E504" s="218"/>
      <c r="F504" s="218"/>
      <c r="G504" s="218"/>
      <c r="H504" s="218"/>
      <c r="T504" s="32"/>
    </row>
    <row r="505" spans="1:20" x14ac:dyDescent="0.35">
      <c r="A505" s="153" t="s">
        <v>58</v>
      </c>
      <c r="B505" s="153"/>
      <c r="C505" s="153"/>
      <c r="D505" s="153"/>
      <c r="E505" s="153"/>
      <c r="F505" s="153"/>
      <c r="G505" s="153"/>
      <c r="H505" s="153"/>
      <c r="T505" s="32"/>
    </row>
    <row r="506" spans="1:20" ht="15.75" customHeight="1" x14ac:dyDescent="0.35">
      <c r="A506" s="249" t="s">
        <v>59</v>
      </c>
      <c r="B506" s="249"/>
      <c r="C506" s="249"/>
      <c r="D506" s="249"/>
      <c r="E506" s="249"/>
      <c r="F506" s="249"/>
      <c r="G506" s="249"/>
      <c r="H506" s="249"/>
      <c r="T506" s="32"/>
    </row>
    <row r="507" spans="1:20" x14ac:dyDescent="0.35">
      <c r="A507" s="153" t="s">
        <v>60</v>
      </c>
      <c r="B507" s="153"/>
      <c r="C507" s="153"/>
      <c r="D507" s="153"/>
      <c r="E507" s="153"/>
      <c r="F507" s="153"/>
      <c r="G507" s="153"/>
      <c r="H507" s="153"/>
      <c r="T507" s="32"/>
    </row>
    <row r="508" spans="1:20" x14ac:dyDescent="0.35">
      <c r="A508" s="153" t="s">
        <v>61</v>
      </c>
      <c r="B508" s="153"/>
      <c r="C508" s="153"/>
      <c r="D508" s="153"/>
      <c r="E508" s="153"/>
      <c r="F508" s="153"/>
      <c r="G508" s="153"/>
      <c r="H508" s="153"/>
      <c r="T508" s="32"/>
    </row>
    <row r="509" spans="1:20" x14ac:dyDescent="0.35">
      <c r="A509" s="153" t="s">
        <v>123</v>
      </c>
      <c r="B509" s="153"/>
      <c r="C509" s="153"/>
      <c r="D509" s="153"/>
      <c r="E509" s="153"/>
      <c r="F509" s="153"/>
      <c r="G509" s="153"/>
      <c r="H509" s="153"/>
      <c r="T509" s="32"/>
    </row>
    <row r="510" spans="1:20" ht="34" customHeight="1" x14ac:dyDescent="0.35">
      <c r="A510" s="179" t="s">
        <v>124</v>
      </c>
      <c r="B510" s="179"/>
      <c r="C510" s="179"/>
      <c r="D510" s="179"/>
      <c r="E510" s="179"/>
      <c r="F510" s="179"/>
      <c r="G510" s="179"/>
      <c r="H510" s="179"/>
    </row>
    <row r="511" spans="1:20" x14ac:dyDescent="0.35">
      <c r="A511" s="239" t="s">
        <v>73</v>
      </c>
      <c r="B511" s="239"/>
      <c r="C511" s="239" t="s">
        <v>427</v>
      </c>
      <c r="D511" s="239"/>
      <c r="E511" s="239" t="s">
        <v>103</v>
      </c>
      <c r="F511" s="239"/>
      <c r="G511" s="239" t="s">
        <v>463</v>
      </c>
      <c r="H511" s="239"/>
    </row>
    <row r="512" spans="1:20" x14ac:dyDescent="0.35">
      <c r="A512" s="238" t="s">
        <v>75</v>
      </c>
      <c r="B512" s="238"/>
      <c r="C512" s="238"/>
      <c r="D512" s="238"/>
      <c r="E512" s="238"/>
      <c r="F512" s="238"/>
      <c r="G512" s="238"/>
      <c r="H512" s="238"/>
    </row>
    <row r="513" spans="1:8" x14ac:dyDescent="0.35">
      <c r="A513" s="238"/>
      <c r="B513" s="238"/>
      <c r="C513" s="238"/>
      <c r="D513" s="238"/>
      <c r="E513" s="238"/>
      <c r="F513" s="238"/>
      <c r="G513" s="238"/>
      <c r="H513" s="238"/>
    </row>
    <row r="514" spans="1:8" x14ac:dyDescent="0.35">
      <c r="A514" s="238"/>
      <c r="B514" s="238"/>
      <c r="C514" s="238"/>
      <c r="D514" s="238"/>
      <c r="E514" s="238"/>
      <c r="F514" s="238"/>
      <c r="G514" s="238"/>
      <c r="H514" s="238"/>
    </row>
    <row r="515" spans="1:8" x14ac:dyDescent="0.35">
      <c r="A515" s="238"/>
      <c r="B515" s="238"/>
      <c r="C515" s="238"/>
      <c r="D515" s="238"/>
      <c r="E515" s="238"/>
      <c r="F515" s="238"/>
      <c r="G515" s="238"/>
      <c r="H515" s="238"/>
    </row>
    <row r="516" spans="1:8" x14ac:dyDescent="0.35">
      <c r="A516" s="35" t="s">
        <v>62</v>
      </c>
      <c r="B516" s="36"/>
      <c r="C516" s="36"/>
      <c r="D516" s="35" t="str">
        <f>E9</f>
        <v>Swaraj Complex</v>
      </c>
      <c r="F516" s="36"/>
      <c r="G516" s="36"/>
      <c r="H516" s="36"/>
    </row>
    <row r="517" spans="1:8" x14ac:dyDescent="0.35">
      <c r="A517" s="36"/>
      <c r="B517" s="36"/>
      <c r="C517" s="36"/>
      <c r="D517" s="36"/>
      <c r="E517" s="36"/>
      <c r="F517" s="36"/>
      <c r="G517" s="36"/>
      <c r="H517" s="36"/>
    </row>
    <row r="518" spans="1:8" x14ac:dyDescent="0.35">
      <c r="A518" s="36"/>
      <c r="B518" s="36"/>
      <c r="C518" s="36"/>
      <c r="D518" s="36"/>
      <c r="E518" s="36"/>
      <c r="F518" s="36"/>
      <c r="G518" s="36"/>
      <c r="H518" s="36"/>
    </row>
    <row r="519" spans="1:8" ht="15" customHeight="1" x14ac:dyDescent="0.35"/>
    <row r="560" spans="1:8" x14ac:dyDescent="0.35">
      <c r="A560" s="36"/>
      <c r="B560" s="36"/>
      <c r="C560" s="36"/>
      <c r="D560" s="36"/>
      <c r="E560" s="36"/>
      <c r="F560" s="36"/>
      <c r="G560" s="36"/>
      <c r="H560" s="36"/>
    </row>
    <row r="561" spans="1:8" x14ac:dyDescent="0.35">
      <c r="A561" s="36"/>
      <c r="B561" s="36"/>
      <c r="C561" s="36"/>
      <c r="D561" s="36"/>
      <c r="E561" s="36"/>
      <c r="F561" s="36"/>
      <c r="G561" s="36"/>
      <c r="H561" s="36"/>
    </row>
    <row r="562" spans="1:8" ht="15" customHeight="1" x14ac:dyDescent="0.35"/>
    <row r="597" spans="1:1" x14ac:dyDescent="0.35">
      <c r="A597" s="38" t="s">
        <v>165</v>
      </c>
    </row>
    <row r="639" spans="1:1" x14ac:dyDescent="0.35">
      <c r="A639" s="38" t="s">
        <v>63</v>
      </c>
    </row>
  </sheetData>
  <mergeCells count="904">
    <mergeCell ref="A173:B173"/>
    <mergeCell ref="C173:H173"/>
    <mergeCell ref="A175:B175"/>
    <mergeCell ref="C175:H175"/>
    <mergeCell ref="A176:B176"/>
    <mergeCell ref="E176:F176"/>
    <mergeCell ref="G176:H176"/>
    <mergeCell ref="A177:B177"/>
    <mergeCell ref="E177:F186"/>
    <mergeCell ref="G177:H186"/>
    <mergeCell ref="A178:B178"/>
    <mergeCell ref="A179:B179"/>
    <mergeCell ref="A180:B180"/>
    <mergeCell ref="A181:B181"/>
    <mergeCell ref="A182:B182"/>
    <mergeCell ref="A183:B183"/>
    <mergeCell ref="A184:B184"/>
    <mergeCell ref="A185:B185"/>
    <mergeCell ref="A186:B186"/>
    <mergeCell ref="A159:B159"/>
    <mergeCell ref="C159:H159"/>
    <mergeCell ref="A161:B161"/>
    <mergeCell ref="C161:H161"/>
    <mergeCell ref="A162:B162"/>
    <mergeCell ref="E162:F162"/>
    <mergeCell ref="G162:H162"/>
    <mergeCell ref="A163:B163"/>
    <mergeCell ref="E163:F172"/>
    <mergeCell ref="G163:H172"/>
    <mergeCell ref="A164:B164"/>
    <mergeCell ref="A165:B165"/>
    <mergeCell ref="A166:B166"/>
    <mergeCell ref="A167:B167"/>
    <mergeCell ref="A168:B168"/>
    <mergeCell ref="A169:B169"/>
    <mergeCell ref="A170:B170"/>
    <mergeCell ref="A171:B171"/>
    <mergeCell ref="A172:B172"/>
    <mergeCell ref="A145:B145"/>
    <mergeCell ref="C145:H145"/>
    <mergeCell ref="A147:B147"/>
    <mergeCell ref="C147:H147"/>
    <mergeCell ref="A148:B148"/>
    <mergeCell ref="E148:F148"/>
    <mergeCell ref="G148:H148"/>
    <mergeCell ref="A149:B149"/>
    <mergeCell ref="E149:F158"/>
    <mergeCell ref="G149:H158"/>
    <mergeCell ref="A150:B150"/>
    <mergeCell ref="A151:B151"/>
    <mergeCell ref="A152:B152"/>
    <mergeCell ref="A153:B153"/>
    <mergeCell ref="A154:B154"/>
    <mergeCell ref="A155:B155"/>
    <mergeCell ref="A156:B156"/>
    <mergeCell ref="A157:B157"/>
    <mergeCell ref="A158:B158"/>
    <mergeCell ref="A131:B131"/>
    <mergeCell ref="C131:H131"/>
    <mergeCell ref="A133:B133"/>
    <mergeCell ref="C133:H133"/>
    <mergeCell ref="A134:B134"/>
    <mergeCell ref="E134:F134"/>
    <mergeCell ref="G134:H134"/>
    <mergeCell ref="A135:B135"/>
    <mergeCell ref="E135:F144"/>
    <mergeCell ref="G135:H144"/>
    <mergeCell ref="A136:B136"/>
    <mergeCell ref="A137:B137"/>
    <mergeCell ref="A138:B138"/>
    <mergeCell ref="A139:B139"/>
    <mergeCell ref="A140:B140"/>
    <mergeCell ref="A141:B141"/>
    <mergeCell ref="A142:B142"/>
    <mergeCell ref="A143:B143"/>
    <mergeCell ref="A144:B144"/>
    <mergeCell ref="A117:B117"/>
    <mergeCell ref="C117:H117"/>
    <mergeCell ref="A119:B119"/>
    <mergeCell ref="C119:H119"/>
    <mergeCell ref="A120:B120"/>
    <mergeCell ref="E120:F120"/>
    <mergeCell ref="G120:H120"/>
    <mergeCell ref="A121:B121"/>
    <mergeCell ref="E121:F130"/>
    <mergeCell ref="G121:H130"/>
    <mergeCell ref="A122:B122"/>
    <mergeCell ref="A123:B123"/>
    <mergeCell ref="A124:B124"/>
    <mergeCell ref="A125:B125"/>
    <mergeCell ref="A126:B126"/>
    <mergeCell ref="A127:B127"/>
    <mergeCell ref="A128:B128"/>
    <mergeCell ref="A129:B129"/>
    <mergeCell ref="A130:B130"/>
    <mergeCell ref="A84:B84"/>
    <mergeCell ref="A50:B50"/>
    <mergeCell ref="A488:H488"/>
    <mergeCell ref="A480:B480"/>
    <mergeCell ref="A481:B481"/>
    <mergeCell ref="A476:H476"/>
    <mergeCell ref="A470:H470"/>
    <mergeCell ref="A485:B485"/>
    <mergeCell ref="A482:H482"/>
    <mergeCell ref="A72:C72"/>
    <mergeCell ref="D73:H73"/>
    <mergeCell ref="A79:B79"/>
    <mergeCell ref="G78:H78"/>
    <mergeCell ref="A87:B87"/>
    <mergeCell ref="A88:B88"/>
    <mergeCell ref="A83:B83"/>
    <mergeCell ref="A82:B82"/>
    <mergeCell ref="E78:F78"/>
    <mergeCell ref="A80:B80"/>
    <mergeCell ref="E206:F206"/>
    <mergeCell ref="A221:H221"/>
    <mergeCell ref="A231:A232"/>
    <mergeCell ref="F231:F232"/>
    <mergeCell ref="A59:B61"/>
    <mergeCell ref="A505:H505"/>
    <mergeCell ref="A193:E193"/>
    <mergeCell ref="A85:B85"/>
    <mergeCell ref="I15:P15"/>
    <mergeCell ref="F197:H197"/>
    <mergeCell ref="F195:H195"/>
    <mergeCell ref="A472:B472"/>
    <mergeCell ref="A222:H222"/>
    <mergeCell ref="G201:H201"/>
    <mergeCell ref="A196:E196"/>
    <mergeCell ref="A227:B227"/>
    <mergeCell ref="A62:B62"/>
    <mergeCell ref="C62:E62"/>
    <mergeCell ref="D64:H64"/>
    <mergeCell ref="F196:H196"/>
    <mergeCell ref="E201:F201"/>
    <mergeCell ref="A201:B201"/>
    <mergeCell ref="A203:B203"/>
    <mergeCell ref="C206:D206"/>
    <mergeCell ref="D72:H72"/>
    <mergeCell ref="D65:H65"/>
    <mergeCell ref="G62:H62"/>
    <mergeCell ref="A55:B56"/>
    <mergeCell ref="A230:H230"/>
    <mergeCell ref="A509:H509"/>
    <mergeCell ref="A506:H506"/>
    <mergeCell ref="A465:B465"/>
    <mergeCell ref="A206:B206"/>
    <mergeCell ref="D231:D232"/>
    <mergeCell ref="E231:E232"/>
    <mergeCell ref="A97:B97"/>
    <mergeCell ref="A99:B99"/>
    <mergeCell ref="F188:H188"/>
    <mergeCell ref="G202:H202"/>
    <mergeCell ref="A102:B102"/>
    <mergeCell ref="F194:H194"/>
    <mergeCell ref="C201:D201"/>
    <mergeCell ref="C219:D219"/>
    <mergeCell ref="A254:H254"/>
    <mergeCell ref="A474:B474"/>
    <mergeCell ref="B493:H493"/>
    <mergeCell ref="A483:B483"/>
    <mergeCell ref="A484:B484"/>
    <mergeCell ref="A487:B487"/>
    <mergeCell ref="B501:H501"/>
    <mergeCell ref="B500:H500"/>
    <mergeCell ref="F190:H190"/>
    <mergeCell ref="A194:E194"/>
    <mergeCell ref="B498:H498"/>
    <mergeCell ref="A220:B220"/>
    <mergeCell ref="A101:B101"/>
    <mergeCell ref="A190:E190"/>
    <mergeCell ref="A187:E187"/>
    <mergeCell ref="F191:H191"/>
    <mergeCell ref="A475:B475"/>
    <mergeCell ref="A191:E191"/>
    <mergeCell ref="A258:B258"/>
    <mergeCell ref="B496:H496"/>
    <mergeCell ref="G223:G224"/>
    <mergeCell ref="A478:B478"/>
    <mergeCell ref="A486:B486"/>
    <mergeCell ref="B489:H489"/>
    <mergeCell ref="B490:H490"/>
    <mergeCell ref="B492:H492"/>
    <mergeCell ref="F187:H187"/>
    <mergeCell ref="F192:H192"/>
    <mergeCell ref="A255:B255"/>
    <mergeCell ref="A229:B229"/>
    <mergeCell ref="A228:B228"/>
    <mergeCell ref="F193:H193"/>
    <mergeCell ref="A195:E195"/>
    <mergeCell ref="A115:B115"/>
    <mergeCell ref="A512:H515"/>
    <mergeCell ref="A511:B511"/>
    <mergeCell ref="E511:F511"/>
    <mergeCell ref="C511:D511"/>
    <mergeCell ref="G511:H511"/>
    <mergeCell ref="A200:H200"/>
    <mergeCell ref="A198:E198"/>
    <mergeCell ref="F198:H198"/>
    <mergeCell ref="A199:E199"/>
    <mergeCell ref="F199:H199"/>
    <mergeCell ref="A464:H464"/>
    <mergeCell ref="A473:B473"/>
    <mergeCell ref="A202:B202"/>
    <mergeCell ref="A507:H507"/>
    <mergeCell ref="A205:H205"/>
    <mergeCell ref="A510:H510"/>
    <mergeCell ref="A508:H508"/>
    <mergeCell ref="A504:H504"/>
    <mergeCell ref="G206:H206"/>
    <mergeCell ref="B494:H494"/>
    <mergeCell ref="A479:B479"/>
    <mergeCell ref="A468:B468"/>
    <mergeCell ref="D223:D224"/>
    <mergeCell ref="C220:D2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C61:H61"/>
    <mergeCell ref="C59:E60"/>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E42:H42"/>
    <mergeCell ref="A75:B75"/>
    <mergeCell ref="C75:H75"/>
    <mergeCell ref="A70:C70"/>
    <mergeCell ref="D70:H70"/>
    <mergeCell ref="C77:H77"/>
    <mergeCell ref="A71:C71"/>
    <mergeCell ref="D71:H71"/>
    <mergeCell ref="A74:C74"/>
    <mergeCell ref="D74:H74"/>
    <mergeCell ref="A73:C73"/>
    <mergeCell ref="A41:H41"/>
    <mergeCell ref="A78:B78"/>
    <mergeCell ref="A46:D46"/>
    <mergeCell ref="A47:D47"/>
    <mergeCell ref="D69:H69"/>
    <mergeCell ref="A44:D44"/>
    <mergeCell ref="E44:H44"/>
    <mergeCell ref="E45:H45"/>
    <mergeCell ref="E46:H46"/>
    <mergeCell ref="E47:H47"/>
    <mergeCell ref="C58:H58"/>
    <mergeCell ref="A48:H48"/>
    <mergeCell ref="D66:H66"/>
    <mergeCell ref="A66:C66"/>
    <mergeCell ref="A45:D45"/>
    <mergeCell ref="A49:B49"/>
    <mergeCell ref="C49:H49"/>
    <mergeCell ref="A67:C67"/>
    <mergeCell ref="D67:H67"/>
    <mergeCell ref="G53:H53"/>
    <mergeCell ref="G52:H52"/>
    <mergeCell ref="A63:H63"/>
    <mergeCell ref="A77:B77"/>
    <mergeCell ref="C54:H54"/>
    <mergeCell ref="A64:C64"/>
    <mergeCell ref="A68:C68"/>
    <mergeCell ref="A69:C69"/>
    <mergeCell ref="D68:H68"/>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A65:C65"/>
    <mergeCell ref="C57:E57"/>
    <mergeCell ref="G55:H55"/>
    <mergeCell ref="A57:B58"/>
    <mergeCell ref="G60:H60"/>
    <mergeCell ref="A38:H38"/>
    <mergeCell ref="L229:M229"/>
    <mergeCell ref="L228:M228"/>
    <mergeCell ref="L227:M227"/>
    <mergeCell ref="L226:M226"/>
    <mergeCell ref="A86:B86"/>
    <mergeCell ref="C211:D211"/>
    <mergeCell ref="E211:F211"/>
    <mergeCell ref="G211:H211"/>
    <mergeCell ref="A188:E188"/>
    <mergeCell ref="A89:B89"/>
    <mergeCell ref="C89:H89"/>
    <mergeCell ref="A225:H225"/>
    <mergeCell ref="E223:E224"/>
    <mergeCell ref="A93:B93"/>
    <mergeCell ref="C91:H91"/>
    <mergeCell ref="A94:B94"/>
    <mergeCell ref="A95:B95"/>
    <mergeCell ref="G93:H102"/>
    <mergeCell ref="A96:B96"/>
    <mergeCell ref="F189:H189"/>
    <mergeCell ref="A189:E189"/>
    <mergeCell ref="E220:F220"/>
    <mergeCell ref="A91:B91"/>
    <mergeCell ref="A226:B226"/>
    <mergeCell ref="L464:M464"/>
    <mergeCell ref="A469:B469"/>
    <mergeCell ref="A466:B466"/>
    <mergeCell ref="A467:B467"/>
    <mergeCell ref="A477:B477"/>
    <mergeCell ref="A40:B40"/>
    <mergeCell ref="C40:H40"/>
    <mergeCell ref="F223:F224"/>
    <mergeCell ref="C202:D202"/>
    <mergeCell ref="E202:F202"/>
    <mergeCell ref="B223:B224"/>
    <mergeCell ref="A223:A224"/>
    <mergeCell ref="C231:C232"/>
    <mergeCell ref="G231:G232"/>
    <mergeCell ref="L258:M258"/>
    <mergeCell ref="L255:M255"/>
    <mergeCell ref="A256:B256"/>
    <mergeCell ref="G220:H220"/>
    <mergeCell ref="L256:M256"/>
    <mergeCell ref="A257:B257"/>
    <mergeCell ref="L257:M257"/>
    <mergeCell ref="A111:B111"/>
    <mergeCell ref="A114:B114"/>
    <mergeCell ref="A113:B113"/>
    <mergeCell ref="A81:B81"/>
    <mergeCell ref="E79:F88"/>
    <mergeCell ref="G79:H88"/>
    <mergeCell ref="B499:H499"/>
    <mergeCell ref="A192:E192"/>
    <mergeCell ref="A219:B219"/>
    <mergeCell ref="E219:F219"/>
    <mergeCell ref="A197:E197"/>
    <mergeCell ref="G219:H219"/>
    <mergeCell ref="C203:D203"/>
    <mergeCell ref="E203:F203"/>
    <mergeCell ref="G203:H203"/>
    <mergeCell ref="A204:B204"/>
    <mergeCell ref="C204:D204"/>
    <mergeCell ref="E204:F204"/>
    <mergeCell ref="G204:H204"/>
    <mergeCell ref="C212:D212"/>
    <mergeCell ref="E212:F212"/>
    <mergeCell ref="A98:B98"/>
    <mergeCell ref="G92:H92"/>
    <mergeCell ref="B497:H497"/>
    <mergeCell ref="B495:H495"/>
    <mergeCell ref="A100:B100"/>
    <mergeCell ref="A471:B471"/>
    <mergeCell ref="B502:H502"/>
    <mergeCell ref="A116:B116"/>
    <mergeCell ref="C223:C224"/>
    <mergeCell ref="B231:B232"/>
    <mergeCell ref="B491:H491"/>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2:B112"/>
    <mergeCell ref="A253:H253"/>
    <mergeCell ref="A259:B259"/>
    <mergeCell ref="L259:M259"/>
    <mergeCell ref="A260:B260"/>
    <mergeCell ref="L260:M260"/>
    <mergeCell ref="A261:B261"/>
    <mergeCell ref="L261:M261"/>
    <mergeCell ref="A262:B262"/>
    <mergeCell ref="L262:M262"/>
    <mergeCell ref="A263:H263"/>
    <mergeCell ref="A264:B264"/>
    <mergeCell ref="L264:M264"/>
    <mergeCell ref="A265:B265"/>
    <mergeCell ref="L265:M265"/>
    <mergeCell ref="A266:B266"/>
    <mergeCell ref="L266:M266"/>
    <mergeCell ref="A267:B267"/>
    <mergeCell ref="L267:M267"/>
    <mergeCell ref="A271:B271"/>
    <mergeCell ref="L271:M271"/>
    <mergeCell ref="A348:H348"/>
    <mergeCell ref="A274:B274"/>
    <mergeCell ref="L274:M274"/>
    <mergeCell ref="A275:B275"/>
    <mergeCell ref="L275:M275"/>
    <mergeCell ref="A276:B276"/>
    <mergeCell ref="L276:M276"/>
    <mergeCell ref="A277:B277"/>
    <mergeCell ref="L277:M277"/>
    <mergeCell ref="A278:B278"/>
    <mergeCell ref="L278:M278"/>
    <mergeCell ref="A279:B279"/>
    <mergeCell ref="L279:M279"/>
    <mergeCell ref="A280:B280"/>
    <mergeCell ref="L280:M280"/>
    <mergeCell ref="A281:B281"/>
    <mergeCell ref="A349:H349"/>
    <mergeCell ref="A350:H350"/>
    <mergeCell ref="A351:B351"/>
    <mergeCell ref="L351:M351"/>
    <mergeCell ref="A352:B352"/>
    <mergeCell ref="L352:M352"/>
    <mergeCell ref="A353:B353"/>
    <mergeCell ref="L353:M353"/>
    <mergeCell ref="A354:B354"/>
    <mergeCell ref="L354:M354"/>
    <mergeCell ref="A355:B355"/>
    <mergeCell ref="L355:M355"/>
    <mergeCell ref="A356:B356"/>
    <mergeCell ref="L356:M356"/>
    <mergeCell ref="A357:B357"/>
    <mergeCell ref="L357:M357"/>
    <mergeCell ref="A358:B358"/>
    <mergeCell ref="L358:M358"/>
    <mergeCell ref="A359:H359"/>
    <mergeCell ref="A377:B377"/>
    <mergeCell ref="L377:M377"/>
    <mergeCell ref="A378:H378"/>
    <mergeCell ref="A379:B379"/>
    <mergeCell ref="L379:M379"/>
    <mergeCell ref="A360:B360"/>
    <mergeCell ref="L360:M360"/>
    <mergeCell ref="A361:B361"/>
    <mergeCell ref="L361:M361"/>
    <mergeCell ref="A362:B362"/>
    <mergeCell ref="L362:M362"/>
    <mergeCell ref="A363:B363"/>
    <mergeCell ref="L363:M363"/>
    <mergeCell ref="A364:B364"/>
    <mergeCell ref="L364:M364"/>
    <mergeCell ref="A372:B372"/>
    <mergeCell ref="L372:M372"/>
    <mergeCell ref="A373:B373"/>
    <mergeCell ref="L373:M373"/>
    <mergeCell ref="A374:B374"/>
    <mergeCell ref="L374:M374"/>
    <mergeCell ref="A375:B375"/>
    <mergeCell ref="L375:M375"/>
    <mergeCell ref="A376:B376"/>
    <mergeCell ref="L376:M376"/>
    <mergeCell ref="A415:B415"/>
    <mergeCell ref="L415:M415"/>
    <mergeCell ref="A416:B416"/>
    <mergeCell ref="L416:M416"/>
    <mergeCell ref="A408:H408"/>
    <mergeCell ref="A406:H406"/>
    <mergeCell ref="A407:H407"/>
    <mergeCell ref="A417:H417"/>
    <mergeCell ref="A409:B409"/>
    <mergeCell ref="L409:M409"/>
    <mergeCell ref="A380:B380"/>
    <mergeCell ref="L380:M380"/>
    <mergeCell ref="A381:B381"/>
    <mergeCell ref="L381:M381"/>
    <mergeCell ref="A382:B382"/>
    <mergeCell ref="L382:M382"/>
    <mergeCell ref="A383:B383"/>
    <mergeCell ref="L383:M383"/>
    <mergeCell ref="A384:B384"/>
    <mergeCell ref="L384:M384"/>
    <mergeCell ref="A387:H387"/>
    <mergeCell ref="A388:H388"/>
    <mergeCell ref="A389:B389"/>
    <mergeCell ref="A418:B418"/>
    <mergeCell ref="L418:M418"/>
    <mergeCell ref="A410:B410"/>
    <mergeCell ref="L410:M410"/>
    <mergeCell ref="A411:B411"/>
    <mergeCell ref="L411:M411"/>
    <mergeCell ref="A412:B412"/>
    <mergeCell ref="L412:M412"/>
    <mergeCell ref="A413:B413"/>
    <mergeCell ref="L413:M413"/>
    <mergeCell ref="A414:B414"/>
    <mergeCell ref="L414:M414"/>
    <mergeCell ref="A419:B419"/>
    <mergeCell ref="L419:M419"/>
    <mergeCell ref="A420:B420"/>
    <mergeCell ref="L420:M420"/>
    <mergeCell ref="A421:B421"/>
    <mergeCell ref="L421:M421"/>
    <mergeCell ref="A422:B422"/>
    <mergeCell ref="L422:M422"/>
    <mergeCell ref="A423:B423"/>
    <mergeCell ref="L423:M423"/>
    <mergeCell ref="A424:B424"/>
    <mergeCell ref="L424:M424"/>
    <mergeCell ref="A425:B425"/>
    <mergeCell ref="L425:M425"/>
    <mergeCell ref="A233:H233"/>
    <mergeCell ref="A234:H234"/>
    <mergeCell ref="A235:H235"/>
    <mergeCell ref="A236:B236"/>
    <mergeCell ref="L236:M236"/>
    <mergeCell ref="A237:B237"/>
    <mergeCell ref="L237:M237"/>
    <mergeCell ref="A238:B238"/>
    <mergeCell ref="L238:M238"/>
    <mergeCell ref="A239:B239"/>
    <mergeCell ref="L239:M239"/>
    <mergeCell ref="A240:B240"/>
    <mergeCell ref="L240:M240"/>
    <mergeCell ref="A241:B241"/>
    <mergeCell ref="L241:M241"/>
    <mergeCell ref="A242:B242"/>
    <mergeCell ref="L242:M242"/>
    <mergeCell ref="A243:B243"/>
    <mergeCell ref="L243:M243"/>
    <mergeCell ref="A244:H244"/>
    <mergeCell ref="A250:B250"/>
    <mergeCell ref="L250:M250"/>
    <mergeCell ref="A251:B251"/>
    <mergeCell ref="L251:M251"/>
    <mergeCell ref="A252:B252"/>
    <mergeCell ref="L252:M252"/>
    <mergeCell ref="A272:H272"/>
    <mergeCell ref="A273:H273"/>
    <mergeCell ref="A245:B245"/>
    <mergeCell ref="L245:M245"/>
    <mergeCell ref="A246:B246"/>
    <mergeCell ref="L246:M246"/>
    <mergeCell ref="A247:B247"/>
    <mergeCell ref="L247:M247"/>
    <mergeCell ref="A248:B248"/>
    <mergeCell ref="L248:M248"/>
    <mergeCell ref="A249:B249"/>
    <mergeCell ref="L249:M249"/>
    <mergeCell ref="A268:B268"/>
    <mergeCell ref="L268:M268"/>
    <mergeCell ref="A269:B269"/>
    <mergeCell ref="L269:M269"/>
    <mergeCell ref="A270:B270"/>
    <mergeCell ref="L270:M270"/>
    <mergeCell ref="A287:B287"/>
    <mergeCell ref="L287:M287"/>
    <mergeCell ref="A288:B288"/>
    <mergeCell ref="L288:M288"/>
    <mergeCell ref="A289:B289"/>
    <mergeCell ref="L289:M289"/>
    <mergeCell ref="A290:B290"/>
    <mergeCell ref="L290:M290"/>
    <mergeCell ref="L281:M281"/>
    <mergeCell ref="A282:H282"/>
    <mergeCell ref="A283:B283"/>
    <mergeCell ref="L283:M283"/>
    <mergeCell ref="A284:B284"/>
    <mergeCell ref="L284:M284"/>
    <mergeCell ref="A285:B285"/>
    <mergeCell ref="L285:M285"/>
    <mergeCell ref="A286:B286"/>
    <mergeCell ref="L286:M286"/>
    <mergeCell ref="A291:H291"/>
    <mergeCell ref="A292:H292"/>
    <mergeCell ref="A293:B293"/>
    <mergeCell ref="L293:M293"/>
    <mergeCell ref="A294:B294"/>
    <mergeCell ref="L294:M294"/>
    <mergeCell ref="A295:B295"/>
    <mergeCell ref="L295:M295"/>
    <mergeCell ref="A296:B296"/>
    <mergeCell ref="L296:M296"/>
    <mergeCell ref="A297:B297"/>
    <mergeCell ref="L297:M297"/>
    <mergeCell ref="A298:B298"/>
    <mergeCell ref="L298:M298"/>
    <mergeCell ref="A299:B299"/>
    <mergeCell ref="L299:M299"/>
    <mergeCell ref="A300:B300"/>
    <mergeCell ref="L300:M300"/>
    <mergeCell ref="A301:H301"/>
    <mergeCell ref="A307:B307"/>
    <mergeCell ref="L307:M307"/>
    <mergeCell ref="A308:B308"/>
    <mergeCell ref="L308:M308"/>
    <mergeCell ref="A309:B309"/>
    <mergeCell ref="L309:M309"/>
    <mergeCell ref="A310:H310"/>
    <mergeCell ref="A311:H311"/>
    <mergeCell ref="A302:B302"/>
    <mergeCell ref="L302:M302"/>
    <mergeCell ref="A303:B303"/>
    <mergeCell ref="L303:M303"/>
    <mergeCell ref="A304:B304"/>
    <mergeCell ref="L304:M304"/>
    <mergeCell ref="A305:B305"/>
    <mergeCell ref="L305:M305"/>
    <mergeCell ref="A306:B306"/>
    <mergeCell ref="L306:M306"/>
    <mergeCell ref="A312:B312"/>
    <mergeCell ref="L312:M312"/>
    <mergeCell ref="A313:B313"/>
    <mergeCell ref="L313:M313"/>
    <mergeCell ref="A314:B314"/>
    <mergeCell ref="L314:M314"/>
    <mergeCell ref="A315:B315"/>
    <mergeCell ref="L315:M315"/>
    <mergeCell ref="A316:B316"/>
    <mergeCell ref="L316:M316"/>
    <mergeCell ref="A317:B317"/>
    <mergeCell ref="L317:M317"/>
    <mergeCell ref="A318:B318"/>
    <mergeCell ref="L318:M318"/>
    <mergeCell ref="A319:B319"/>
    <mergeCell ref="L319:M319"/>
    <mergeCell ref="A320:H320"/>
    <mergeCell ref="A321:B321"/>
    <mergeCell ref="L321:M321"/>
    <mergeCell ref="A327:B327"/>
    <mergeCell ref="L327:M327"/>
    <mergeCell ref="A328:B328"/>
    <mergeCell ref="L328:M328"/>
    <mergeCell ref="A329:H329"/>
    <mergeCell ref="A330:H330"/>
    <mergeCell ref="A331:B331"/>
    <mergeCell ref="L331:M331"/>
    <mergeCell ref="A322:B322"/>
    <mergeCell ref="L322:M322"/>
    <mergeCell ref="A323:B323"/>
    <mergeCell ref="L323:M323"/>
    <mergeCell ref="A324:B324"/>
    <mergeCell ref="L324:M324"/>
    <mergeCell ref="A325:B325"/>
    <mergeCell ref="L325:M325"/>
    <mergeCell ref="A326:B326"/>
    <mergeCell ref="L326:M326"/>
    <mergeCell ref="A332:B332"/>
    <mergeCell ref="L332:M332"/>
    <mergeCell ref="A333:B333"/>
    <mergeCell ref="L333:M333"/>
    <mergeCell ref="A334:B334"/>
    <mergeCell ref="L334:M334"/>
    <mergeCell ref="A335:B335"/>
    <mergeCell ref="L335:M335"/>
    <mergeCell ref="A336:B336"/>
    <mergeCell ref="L336:M336"/>
    <mergeCell ref="A337:B337"/>
    <mergeCell ref="L337:M337"/>
    <mergeCell ref="A338:B338"/>
    <mergeCell ref="L338:M338"/>
    <mergeCell ref="A339:H339"/>
    <mergeCell ref="A340:B340"/>
    <mergeCell ref="L340:M340"/>
    <mergeCell ref="A341:B341"/>
    <mergeCell ref="L341:M341"/>
    <mergeCell ref="A347:B347"/>
    <mergeCell ref="L347:M347"/>
    <mergeCell ref="A368:H368"/>
    <mergeCell ref="A369:H369"/>
    <mergeCell ref="A370:B370"/>
    <mergeCell ref="L370:M370"/>
    <mergeCell ref="A371:B371"/>
    <mergeCell ref="L371:M371"/>
    <mergeCell ref="A342:B342"/>
    <mergeCell ref="L342:M342"/>
    <mergeCell ref="A343:B343"/>
    <mergeCell ref="L343:M343"/>
    <mergeCell ref="A344:B344"/>
    <mergeCell ref="L344:M344"/>
    <mergeCell ref="A345:B345"/>
    <mergeCell ref="L345:M345"/>
    <mergeCell ref="A346:B346"/>
    <mergeCell ref="L346:M346"/>
    <mergeCell ref="A365:B365"/>
    <mergeCell ref="L365:M365"/>
    <mergeCell ref="A366:B366"/>
    <mergeCell ref="L366:M366"/>
    <mergeCell ref="A367:B367"/>
    <mergeCell ref="L367:M367"/>
    <mergeCell ref="L389:M389"/>
    <mergeCell ref="A390:B390"/>
    <mergeCell ref="L390:M390"/>
    <mergeCell ref="A391:B391"/>
    <mergeCell ref="L391:M391"/>
    <mergeCell ref="A385:B385"/>
    <mergeCell ref="L385:M385"/>
    <mergeCell ref="A386:B386"/>
    <mergeCell ref="L386:M386"/>
    <mergeCell ref="A392:B392"/>
    <mergeCell ref="L392:M392"/>
    <mergeCell ref="A393:B393"/>
    <mergeCell ref="L393:M393"/>
    <mergeCell ref="A394:B394"/>
    <mergeCell ref="L394:M394"/>
    <mergeCell ref="A395:B395"/>
    <mergeCell ref="L395:M395"/>
    <mergeCell ref="A396:B396"/>
    <mergeCell ref="L396:M396"/>
    <mergeCell ref="A402:B402"/>
    <mergeCell ref="L402:M402"/>
    <mergeCell ref="A403:B403"/>
    <mergeCell ref="L403:M403"/>
    <mergeCell ref="A404:B404"/>
    <mergeCell ref="L404:M404"/>
    <mergeCell ref="A405:B405"/>
    <mergeCell ref="L405:M405"/>
    <mergeCell ref="A397:H397"/>
    <mergeCell ref="A398:B398"/>
    <mergeCell ref="L398:M398"/>
    <mergeCell ref="A399:B399"/>
    <mergeCell ref="L399:M399"/>
    <mergeCell ref="A400:B400"/>
    <mergeCell ref="L400:M400"/>
    <mergeCell ref="A401:B401"/>
    <mergeCell ref="L401:M401"/>
    <mergeCell ref="A426:H426"/>
    <mergeCell ref="A427:H427"/>
    <mergeCell ref="A428:B428"/>
    <mergeCell ref="L428:M428"/>
    <mergeCell ref="A429:B429"/>
    <mergeCell ref="L429:M429"/>
    <mergeCell ref="A430:B430"/>
    <mergeCell ref="L430:M430"/>
    <mergeCell ref="A431:B431"/>
    <mergeCell ref="L431:M431"/>
    <mergeCell ref="A432:B432"/>
    <mergeCell ref="L432:M432"/>
    <mergeCell ref="A433:B433"/>
    <mergeCell ref="L433:M433"/>
    <mergeCell ref="A434:B434"/>
    <mergeCell ref="L434:M434"/>
    <mergeCell ref="A435:B435"/>
    <mergeCell ref="L435:M435"/>
    <mergeCell ref="A436:H436"/>
    <mergeCell ref="A442:B442"/>
    <mergeCell ref="L442:M442"/>
    <mergeCell ref="A443:B443"/>
    <mergeCell ref="L443:M443"/>
    <mergeCell ref="A444:B444"/>
    <mergeCell ref="L444:M444"/>
    <mergeCell ref="A445:H445"/>
    <mergeCell ref="A446:H446"/>
    <mergeCell ref="A437:B437"/>
    <mergeCell ref="L437:M437"/>
    <mergeCell ref="A438:B438"/>
    <mergeCell ref="L438:M438"/>
    <mergeCell ref="A439:B439"/>
    <mergeCell ref="L439:M439"/>
    <mergeCell ref="A440:B440"/>
    <mergeCell ref="L440:M440"/>
    <mergeCell ref="A441:B441"/>
    <mergeCell ref="L441:M441"/>
    <mergeCell ref="A447:B447"/>
    <mergeCell ref="L447:M447"/>
    <mergeCell ref="A448:B448"/>
    <mergeCell ref="L448:M448"/>
    <mergeCell ref="A449:B449"/>
    <mergeCell ref="L449:M449"/>
    <mergeCell ref="A450:B450"/>
    <mergeCell ref="L450:M450"/>
    <mergeCell ref="A451:B451"/>
    <mergeCell ref="L451:M451"/>
    <mergeCell ref="L461:M461"/>
    <mergeCell ref="A452:B452"/>
    <mergeCell ref="L452:M452"/>
    <mergeCell ref="A453:B453"/>
    <mergeCell ref="L453:M453"/>
    <mergeCell ref="A454:B454"/>
    <mergeCell ref="L454:M454"/>
    <mergeCell ref="A455:H455"/>
    <mergeCell ref="A456:B456"/>
    <mergeCell ref="L456:M456"/>
    <mergeCell ref="L462:M462"/>
    <mergeCell ref="A463:B463"/>
    <mergeCell ref="L463:M463"/>
    <mergeCell ref="C213:D213"/>
    <mergeCell ref="E213:F213"/>
    <mergeCell ref="G213:H213"/>
    <mergeCell ref="C214:D214"/>
    <mergeCell ref="E214:F214"/>
    <mergeCell ref="G214:H214"/>
    <mergeCell ref="C218:D218"/>
    <mergeCell ref="E218:F218"/>
    <mergeCell ref="G218:H218"/>
    <mergeCell ref="C217:D217"/>
    <mergeCell ref="E217:F217"/>
    <mergeCell ref="G217:H217"/>
    <mergeCell ref="A457:B457"/>
    <mergeCell ref="L457:M457"/>
    <mergeCell ref="A458:B458"/>
    <mergeCell ref="L458:M458"/>
    <mergeCell ref="A459:B459"/>
    <mergeCell ref="L459:M459"/>
    <mergeCell ref="A460:B460"/>
    <mergeCell ref="L460:M460"/>
    <mergeCell ref="A461:B461"/>
    <mergeCell ref="B503:H503"/>
    <mergeCell ref="A207:A212"/>
    <mergeCell ref="A213:A215"/>
    <mergeCell ref="A216:A218"/>
    <mergeCell ref="C207:D207"/>
    <mergeCell ref="E207:F207"/>
    <mergeCell ref="G207:H207"/>
    <mergeCell ref="C208:D208"/>
    <mergeCell ref="E208:F208"/>
    <mergeCell ref="G208:H208"/>
    <mergeCell ref="C209:D209"/>
    <mergeCell ref="E209:F209"/>
    <mergeCell ref="G209:H209"/>
    <mergeCell ref="G212:H212"/>
    <mergeCell ref="C210:D210"/>
    <mergeCell ref="E210:F210"/>
    <mergeCell ref="G210:H210"/>
    <mergeCell ref="C215:D215"/>
    <mergeCell ref="E215:F215"/>
    <mergeCell ref="G215:H215"/>
    <mergeCell ref="C216:D216"/>
    <mergeCell ref="E216:F216"/>
    <mergeCell ref="G216:H216"/>
    <mergeCell ref="A462:B462"/>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223:E224">
      <formula1>"Attached Loft area,Attached Otla area,Attached Mezzanine area"</formula1>
    </dataValidation>
    <dataValidation type="list" allowBlank="1" showInputMessage="1" showErrorMessage="1" sqref="G511:H511">
      <formula1>"Kunal Kadam,Pranita Mhatre,Shruti Fule,Pooja Kawale,Gaurav Panchal,Shruti Tathare, Diptee Gotawade,Saurav Panse, Sachin Sawant"</formula1>
    </dataValidation>
    <dataValidation type="list" allowBlank="1" showInputMessage="1" showErrorMessage="1" sqref="F187:H187">
      <formula1>"On Saleable Area,On Builtup Area,On Carpet Area,On Plot Area"</formula1>
    </dataValidation>
    <dataValidation type="list" allowBlank="1" showInputMessage="1" showErrorMessage="1" sqref="F198:H198">
      <formula1>OFFSET($S$187,1,MATCH($G20,$S$187:$W$187,0)-1,15,1)</formula1>
    </dataValidation>
    <dataValidation type="list" allowBlank="1" showInputMessage="1" showErrorMessage="1" sqref="B223:B224">
      <formula1>"Shop No. (Sale Plan),Sale / Rehab,Sale / Mhada"</formula1>
    </dataValidation>
    <dataValidation type="list" allowBlank="1" showInputMessage="1" showErrorMessage="1" sqref="B231:B23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31:E232">
      <formula1>"Fungible area,Balcony Area,Chajja Area,Cornice Area,AP Area,WS Area"</formula1>
    </dataValidation>
    <dataValidation type="list" allowBlank="1" showInputMessage="1" showErrorMessage="1" sqref="H224 H23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223 H231">
      <formula1>"Saleable area Loading :,Builder Saleable Area"</formula1>
    </dataValidation>
    <dataValidation type="list" allowBlank="1" showInputMessage="1" showErrorMessage="1" sqref="D223:D224">
      <formula1>"Carpet area,RERA Carpet area"</formula1>
    </dataValidation>
    <dataValidation type="list" allowBlank="1" showInputMessage="1" showErrorMessage="1" sqref="D231:D232">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&amp;F&amp;R&amp;"Times New Roman,Bold"&amp;12&amp;P</oddFooter>
  </headerFooter>
  <rowBreaks count="5" manualBreakCount="5">
    <brk id="74" max="16383" man="1"/>
    <brk id="515" max="16383" man="1"/>
    <brk id="553" max="7" man="1"/>
    <brk id="596" max="16383" man="1"/>
    <brk id="63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77" t="s">
        <v>104</v>
      </c>
      <c r="C3" s="277"/>
      <c r="D3" s="277"/>
      <c r="E3" s="277"/>
      <c r="F3" s="277"/>
      <c r="G3" s="277"/>
      <c r="H3" s="277"/>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179</v>
      </c>
      <c r="E4" s="48" t="s">
        <v>189</v>
      </c>
      <c r="F4" s="48" t="s">
        <v>173</v>
      </c>
      <c r="G4" s="48" t="s">
        <v>194</v>
      </c>
      <c r="H4" s="48" t="s">
        <v>212</v>
      </c>
      <c r="J4" t="s">
        <v>194</v>
      </c>
      <c r="K4" t="s">
        <v>210</v>
      </c>
    </row>
    <row r="5" spans="2:11" x14ac:dyDescent="0.35">
      <c r="B5" s="47"/>
      <c r="C5" s="47"/>
      <c r="D5" s="48" t="s">
        <v>180</v>
      </c>
      <c r="E5" s="48" t="s">
        <v>187</v>
      </c>
      <c r="F5" s="48" t="s">
        <v>209</v>
      </c>
      <c r="G5" s="48" t="s">
        <v>195</v>
      </c>
      <c r="H5" s="48" t="s">
        <v>213</v>
      </c>
    </row>
    <row r="6" spans="2:11" x14ac:dyDescent="0.35">
      <c r="B6" s="47"/>
      <c r="C6" s="47"/>
      <c r="D6" s="48" t="s">
        <v>181</v>
      </c>
      <c r="E6" s="48" t="s">
        <v>188</v>
      </c>
      <c r="F6" s="48" t="s">
        <v>210</v>
      </c>
      <c r="G6" s="48" t="s">
        <v>196</v>
      </c>
      <c r="H6" s="48" t="s">
        <v>226</v>
      </c>
    </row>
    <row r="7" spans="2:11" x14ac:dyDescent="0.35">
      <c r="B7" s="47"/>
      <c r="C7" s="47"/>
      <c r="D7" s="48" t="s">
        <v>182</v>
      </c>
      <c r="E7" s="48" t="s">
        <v>190</v>
      </c>
      <c r="F7" s="48" t="s">
        <v>211</v>
      </c>
      <c r="G7" s="48" t="s">
        <v>197</v>
      </c>
      <c r="H7" s="48" t="s">
        <v>214</v>
      </c>
    </row>
    <row r="8" spans="2:11" x14ac:dyDescent="0.35">
      <c r="B8" s="47"/>
      <c r="C8" s="47"/>
      <c r="D8" s="48" t="s">
        <v>183</v>
      </c>
      <c r="E8" s="48" t="s">
        <v>191</v>
      </c>
      <c r="F8" s="48"/>
      <c r="G8" s="48" t="s">
        <v>198</v>
      </c>
      <c r="H8" s="48" t="s">
        <v>215</v>
      </c>
    </row>
    <row r="9" spans="2:11" x14ac:dyDescent="0.35">
      <c r="B9" s="47"/>
      <c r="C9" s="47"/>
      <c r="D9" s="48" t="s">
        <v>184</v>
      </c>
      <c r="E9" s="48" t="s">
        <v>189</v>
      </c>
      <c r="F9" s="48"/>
      <c r="G9" s="48" t="s">
        <v>199</v>
      </c>
      <c r="H9" s="48" t="s">
        <v>216</v>
      </c>
    </row>
    <row r="10" spans="2:11" x14ac:dyDescent="0.35">
      <c r="B10" s="47"/>
      <c r="C10" s="47"/>
      <c r="D10" s="48" t="s">
        <v>185</v>
      </c>
      <c r="E10" s="48" t="s">
        <v>192</v>
      </c>
      <c r="F10" s="48"/>
      <c r="G10" s="48" t="s">
        <v>200</v>
      </c>
      <c r="H10" s="48" t="s">
        <v>217</v>
      </c>
    </row>
    <row r="11" spans="2:11" x14ac:dyDescent="0.35">
      <c r="B11" s="47"/>
      <c r="C11" s="47"/>
      <c r="D11" s="48" t="s">
        <v>186</v>
      </c>
      <c r="E11" s="48" t="s">
        <v>193</v>
      </c>
      <c r="F11" s="48"/>
      <c r="G11" s="48" t="s">
        <v>201</v>
      </c>
      <c r="H11" s="48" t="s">
        <v>218</v>
      </c>
    </row>
    <row r="12" spans="2:11" x14ac:dyDescent="0.35">
      <c r="B12" s="47"/>
      <c r="C12" s="47"/>
      <c r="D12" s="48"/>
      <c r="E12" s="48"/>
      <c r="F12" s="48"/>
      <c r="G12" s="48" t="s">
        <v>202</v>
      </c>
      <c r="H12" s="48" t="s">
        <v>219</v>
      </c>
    </row>
    <row r="13" spans="2:11" x14ac:dyDescent="0.35">
      <c r="B13" s="47"/>
      <c r="C13" s="47"/>
      <c r="D13" s="48"/>
      <c r="E13" s="48"/>
      <c r="F13" s="48"/>
      <c r="G13" s="48" t="s">
        <v>203</v>
      </c>
      <c r="H13" s="48" t="s">
        <v>220</v>
      </c>
    </row>
    <row r="14" spans="2:11" x14ac:dyDescent="0.35">
      <c r="B14" s="47"/>
      <c r="C14" s="47"/>
      <c r="D14" s="48"/>
      <c r="E14" s="48"/>
      <c r="F14" s="48"/>
      <c r="G14" s="48" t="s">
        <v>204</v>
      </c>
      <c r="H14" s="48" t="s">
        <v>221</v>
      </c>
    </row>
    <row r="15" spans="2:11" x14ac:dyDescent="0.35">
      <c r="B15" s="47"/>
      <c r="C15" s="47"/>
      <c r="D15" s="48"/>
      <c r="E15" s="48"/>
      <c r="F15" s="48"/>
      <c r="G15" s="48" t="s">
        <v>205</v>
      </c>
      <c r="H15" s="48" t="s">
        <v>222</v>
      </c>
    </row>
    <row r="16" spans="2:11" x14ac:dyDescent="0.35">
      <c r="B16" s="47"/>
      <c r="C16" s="47"/>
      <c r="D16" s="48"/>
      <c r="E16" s="48"/>
      <c r="F16" s="48"/>
      <c r="G16" s="48" t="s">
        <v>206</v>
      </c>
      <c r="H16" s="48" t="s">
        <v>223</v>
      </c>
    </row>
    <row r="17" spans="2:8" x14ac:dyDescent="0.35">
      <c r="B17" s="47"/>
      <c r="C17" s="47"/>
      <c r="D17" s="48"/>
      <c r="E17" s="48"/>
      <c r="F17" s="48"/>
      <c r="G17" s="48" t="s">
        <v>207</v>
      </c>
      <c r="H17" s="48" t="s">
        <v>224</v>
      </c>
    </row>
    <row r="18" spans="2:8" x14ac:dyDescent="0.35">
      <c r="B18" s="47"/>
      <c r="C18" s="47"/>
      <c r="D18" s="48"/>
      <c r="E18" s="48"/>
      <c r="F18" s="48"/>
      <c r="G18" s="48" t="s">
        <v>208</v>
      </c>
      <c r="H18" s="48"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49" t="s">
        <v>236</v>
      </c>
      <c r="D34" s="48" t="s">
        <v>234</v>
      </c>
      <c r="E34" s="48" t="s">
        <v>239</v>
      </c>
      <c r="F34" s="48" t="s">
        <v>237</v>
      </c>
      <c r="G34" s="48" t="s">
        <v>238</v>
      </c>
      <c r="H34" s="48" t="s">
        <v>240</v>
      </c>
      <c r="J34" t="s">
        <v>194</v>
      </c>
      <c r="K34" t="s">
        <v>210</v>
      </c>
    </row>
    <row r="35" spans="3:11" x14ac:dyDescent="0.35">
      <c r="C35" s="47" t="s">
        <v>235</v>
      </c>
      <c r="D35" s="48" t="s">
        <v>171</v>
      </c>
      <c r="E35" s="48" t="s">
        <v>244</v>
      </c>
      <c r="F35" s="48" t="s">
        <v>246</v>
      </c>
      <c r="G35" s="48" t="s">
        <v>248</v>
      </c>
      <c r="H35" s="48"/>
    </row>
    <row r="36" spans="3:11" x14ac:dyDescent="0.35">
      <c r="C36" s="47"/>
      <c r="D36" s="48" t="s">
        <v>241</v>
      </c>
      <c r="E36" s="48" t="s">
        <v>245</v>
      </c>
      <c r="F36" s="48" t="s">
        <v>247</v>
      </c>
      <c r="G36" s="48" t="s">
        <v>249</v>
      </c>
      <c r="H36" s="48"/>
    </row>
    <row r="37" spans="3:11" x14ac:dyDescent="0.35">
      <c r="C37" s="47"/>
      <c r="D37" s="48" t="s">
        <v>242</v>
      </c>
      <c r="E37" s="48"/>
      <c r="F37" s="48"/>
      <c r="G37" s="48" t="s">
        <v>250</v>
      </c>
      <c r="H37" s="48"/>
    </row>
    <row r="38" spans="3:11" x14ac:dyDescent="0.35">
      <c r="C38" s="47"/>
      <c r="D38" s="48" t="s">
        <v>243</v>
      </c>
      <c r="E38" s="48"/>
      <c r="F38" s="48"/>
      <c r="G38" s="48" t="s">
        <v>250</v>
      </c>
      <c r="H38" s="48"/>
    </row>
    <row r="39" spans="3:11" x14ac:dyDescent="0.35">
      <c r="C39" s="47"/>
      <c r="D39" s="48"/>
      <c r="E39" s="48"/>
      <c r="F39" s="48"/>
      <c r="G39" s="48" t="s">
        <v>251</v>
      </c>
      <c r="H39" s="48"/>
    </row>
    <row r="40" spans="3:11" x14ac:dyDescent="0.35">
      <c r="C40" s="47"/>
      <c r="D40" s="48"/>
      <c r="E40" s="48"/>
      <c r="F40" s="48"/>
      <c r="G40" s="48" t="s">
        <v>252</v>
      </c>
      <c r="H40" s="48"/>
    </row>
    <row r="41" spans="3:11" x14ac:dyDescent="0.35">
      <c r="C41" s="47"/>
      <c r="D41" s="48"/>
      <c r="E41" s="48"/>
      <c r="F41" s="48"/>
      <c r="G41" s="48"/>
      <c r="H41" s="48"/>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179</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194</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189</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3"/>
  <sheetViews>
    <sheetView topLeftCell="A8" zoomScale="85" zoomScaleNormal="85" workbookViewId="0">
      <selection activeCell="C20" sqref="C20"/>
    </sheetView>
  </sheetViews>
  <sheetFormatPr defaultRowHeight="14.5" x14ac:dyDescent="0.35"/>
  <cols>
    <col min="2" max="2" width="3" bestFit="1" customWidth="1"/>
    <col min="3" max="3" width="155.26953125" customWidth="1"/>
  </cols>
  <sheetData>
    <row r="2" spans="2:3" ht="15" customHeight="1" x14ac:dyDescent="0.35">
      <c r="B2" s="50">
        <v>1</v>
      </c>
      <c r="C2" s="52" t="s">
        <v>283</v>
      </c>
    </row>
    <row r="3" spans="2:3" x14ac:dyDescent="0.35">
      <c r="B3" s="50">
        <v>2</v>
      </c>
      <c r="C3" s="51" t="s">
        <v>284</v>
      </c>
    </row>
    <row r="4" spans="2:3" x14ac:dyDescent="0.35">
      <c r="B4" s="50">
        <v>3</v>
      </c>
      <c r="C4" s="50" t="s">
        <v>285</v>
      </c>
    </row>
    <row r="5" spans="2:3" x14ac:dyDescent="0.35">
      <c r="B5" s="50">
        <v>4</v>
      </c>
      <c r="C5" s="51" t="s">
        <v>286</v>
      </c>
    </row>
    <row r="6" spans="2:3" x14ac:dyDescent="0.35">
      <c r="B6" s="50">
        <v>5</v>
      </c>
      <c r="C6" s="50" t="s">
        <v>287</v>
      </c>
    </row>
    <row r="7" spans="2:3" ht="29" x14ac:dyDescent="0.35">
      <c r="B7" s="50">
        <v>6</v>
      </c>
      <c r="C7" s="51" t="s">
        <v>288</v>
      </c>
    </row>
    <row r="8" spans="2:3" ht="72.5" x14ac:dyDescent="0.35">
      <c r="B8" s="50">
        <v>7</v>
      </c>
      <c r="C8" s="51" t="s">
        <v>289</v>
      </c>
    </row>
    <row r="9" spans="2:3" x14ac:dyDescent="0.35">
      <c r="B9" s="50">
        <v>8</v>
      </c>
      <c r="C9" s="50" t="s">
        <v>290</v>
      </c>
    </row>
    <row r="10" spans="2:3" x14ac:dyDescent="0.35">
      <c r="B10" s="50">
        <v>9</v>
      </c>
      <c r="C10" s="50" t="s">
        <v>291</v>
      </c>
    </row>
    <row r="11" spans="2:3" x14ac:dyDescent="0.35">
      <c r="B11" s="50">
        <v>10</v>
      </c>
      <c r="C11" s="50" t="s">
        <v>292</v>
      </c>
    </row>
    <row r="12" spans="2:3" x14ac:dyDescent="0.35">
      <c r="B12" s="50">
        <v>11</v>
      </c>
      <c r="C12" s="50" t="s">
        <v>293</v>
      </c>
    </row>
    <row r="13" spans="2:3" x14ac:dyDescent="0.35">
      <c r="B13" s="50">
        <v>12</v>
      </c>
      <c r="C13" s="50" t="s">
        <v>294</v>
      </c>
    </row>
    <row r="14" spans="2:3" x14ac:dyDescent="0.35">
      <c r="B14" s="50">
        <v>13</v>
      </c>
      <c r="C14" s="50" t="s">
        <v>295</v>
      </c>
    </row>
    <row r="15" spans="2:3" x14ac:dyDescent="0.35">
      <c r="B15" s="50">
        <v>14</v>
      </c>
      <c r="C15" s="50" t="s">
        <v>285</v>
      </c>
    </row>
    <row r="16" spans="2:3" x14ac:dyDescent="0.35">
      <c r="B16" s="50">
        <v>15</v>
      </c>
      <c r="C16" s="50" t="s">
        <v>297</v>
      </c>
    </row>
    <row r="17" spans="2:3" x14ac:dyDescent="0.35">
      <c r="B17" s="68">
        <v>16</v>
      </c>
      <c r="C17" s="55" t="s">
        <v>298</v>
      </c>
    </row>
    <row r="18" spans="2:3" x14ac:dyDescent="0.35">
      <c r="B18" s="54">
        <v>17</v>
      </c>
      <c r="C18" s="55" t="s">
        <v>299</v>
      </c>
    </row>
    <row r="19" spans="2:3" x14ac:dyDescent="0.35">
      <c r="B19" s="53">
        <v>18</v>
      </c>
      <c r="C19" s="50" t="s">
        <v>300</v>
      </c>
    </row>
    <row r="20" spans="2:3" x14ac:dyDescent="0.35">
      <c r="B20" s="54">
        <v>19</v>
      </c>
      <c r="C20" s="50" t="s">
        <v>336</v>
      </c>
    </row>
    <row r="21" spans="2:3" x14ac:dyDescent="0.35">
      <c r="B21" s="50">
        <v>20</v>
      </c>
      <c r="C21" s="50" t="s">
        <v>301</v>
      </c>
    </row>
    <row r="22" spans="2:3" x14ac:dyDescent="0.35">
      <c r="B22" s="54">
        <v>21</v>
      </c>
      <c r="C22" s="50" t="s">
        <v>300</v>
      </c>
    </row>
    <row r="23" spans="2:3" s="63" customFormat="1" ht="29.25" customHeight="1" x14ac:dyDescent="0.35">
      <c r="B23" s="62">
        <v>22</v>
      </c>
      <c r="C23" s="52" t="s">
        <v>328</v>
      </c>
    </row>
    <row r="24" spans="2:3" s="63" customFormat="1" ht="30.75" customHeight="1" x14ac:dyDescent="0.35">
      <c r="B24" s="64">
        <v>23</v>
      </c>
      <c r="C24" s="52" t="s">
        <v>329</v>
      </c>
    </row>
    <row r="25" spans="2:3" x14ac:dyDescent="0.35">
      <c r="B25" s="50">
        <v>24</v>
      </c>
      <c r="C25" s="50" t="s">
        <v>332</v>
      </c>
    </row>
    <row r="26" spans="2:3" x14ac:dyDescent="0.35">
      <c r="B26" s="54">
        <v>25</v>
      </c>
      <c r="C26" s="50" t="s">
        <v>330</v>
      </c>
    </row>
    <row r="27" spans="2:3" x14ac:dyDescent="0.35">
      <c r="B27" s="64">
        <v>26</v>
      </c>
      <c r="C27" s="50" t="s">
        <v>331</v>
      </c>
    </row>
    <row r="28" spans="2:3" x14ac:dyDescent="0.35">
      <c r="B28" s="54">
        <v>27</v>
      </c>
      <c r="C28" s="50" t="s">
        <v>333</v>
      </c>
    </row>
    <row r="29" spans="2:3" ht="43.5" x14ac:dyDescent="0.35">
      <c r="B29" s="67">
        <v>28</v>
      </c>
      <c r="C29" s="51" t="s">
        <v>334</v>
      </c>
    </row>
    <row r="30" spans="2:3" x14ac:dyDescent="0.35">
      <c r="B30" s="64">
        <v>29</v>
      </c>
      <c r="C30" s="50" t="s">
        <v>335</v>
      </c>
    </row>
    <row r="31" spans="2:3" ht="29" x14ac:dyDescent="0.35">
      <c r="B31" s="64">
        <v>30</v>
      </c>
      <c r="C31" s="51" t="s">
        <v>337</v>
      </c>
    </row>
    <row r="32" spans="2:3" x14ac:dyDescent="0.35">
      <c r="B32" s="64">
        <v>31</v>
      </c>
      <c r="C32" s="50" t="s">
        <v>338</v>
      </c>
    </row>
    <row r="33" spans="2:4" x14ac:dyDescent="0.35">
      <c r="B33" s="64">
        <v>32</v>
      </c>
      <c r="C33" s="50" t="s">
        <v>339</v>
      </c>
    </row>
    <row r="34" spans="2:4" ht="36.75" customHeight="1" x14ac:dyDescent="0.35">
      <c r="B34" s="64">
        <v>33</v>
      </c>
      <c r="C34" s="55" t="s">
        <v>340</v>
      </c>
    </row>
    <row r="35" spans="2:4" x14ac:dyDescent="0.35">
      <c r="B35" s="62">
        <v>34</v>
      </c>
      <c r="C35" s="50" t="s">
        <v>348</v>
      </c>
    </row>
    <row r="36" spans="2:4" ht="58" x14ac:dyDescent="0.35">
      <c r="B36" s="62">
        <v>35</v>
      </c>
      <c r="C36" s="51" t="s">
        <v>352</v>
      </c>
    </row>
    <row r="37" spans="2:4" x14ac:dyDescent="0.35">
      <c r="B37" s="50">
        <v>36</v>
      </c>
      <c r="C37" s="51" t="s">
        <v>363</v>
      </c>
    </row>
    <row r="38" spans="2:4" x14ac:dyDescent="0.35">
      <c r="B38" s="50">
        <f t="shared" ref="B38:B44" si="0">B37+1</f>
        <v>37</v>
      </c>
      <c r="C38" s="50" t="s">
        <v>359</v>
      </c>
    </row>
    <row r="39" spans="2:4" x14ac:dyDescent="0.35">
      <c r="B39" s="50">
        <f t="shared" si="0"/>
        <v>38</v>
      </c>
      <c r="C39" s="50" t="s">
        <v>360</v>
      </c>
    </row>
    <row r="40" spans="2:4" x14ac:dyDescent="0.35">
      <c r="B40" s="50">
        <f t="shared" si="0"/>
        <v>39</v>
      </c>
      <c r="C40" s="50" t="s">
        <v>361</v>
      </c>
    </row>
    <row r="41" spans="2:4" x14ac:dyDescent="0.35">
      <c r="B41" s="50">
        <f t="shared" si="0"/>
        <v>40</v>
      </c>
      <c r="C41" s="50" t="s">
        <v>362</v>
      </c>
    </row>
    <row r="42" spans="2:4" ht="29.5" thickBot="1" x14ac:dyDescent="0.4">
      <c r="B42" s="71">
        <f t="shared" si="0"/>
        <v>41</v>
      </c>
      <c r="C42" s="72" t="s">
        <v>364</v>
      </c>
    </row>
    <row r="43" spans="2:4" ht="29" x14ac:dyDescent="0.35">
      <c r="B43" s="75">
        <f t="shared" si="0"/>
        <v>42</v>
      </c>
      <c r="C43" s="80" t="s">
        <v>369</v>
      </c>
      <c r="D43" t="s">
        <v>370</v>
      </c>
    </row>
    <row r="44" spans="2:4" ht="15" thickBot="1" x14ac:dyDescent="0.4">
      <c r="B44" s="77">
        <f t="shared" si="0"/>
        <v>43</v>
      </c>
      <c r="C44" s="79" t="s">
        <v>365</v>
      </c>
    </row>
    <row r="45" spans="2:4" ht="15" thickBot="1" x14ac:dyDescent="0.4">
      <c r="B45" s="73">
        <f t="shared" ref="B45:B53" si="1">B44+1</f>
        <v>44</v>
      </c>
      <c r="C45" s="74" t="s">
        <v>366</v>
      </c>
    </row>
    <row r="46" spans="2:4" ht="29" x14ac:dyDescent="0.35">
      <c r="B46" s="75">
        <f t="shared" si="1"/>
        <v>45</v>
      </c>
      <c r="C46" s="76" t="s">
        <v>367</v>
      </c>
    </row>
    <row r="47" spans="2:4" ht="15" thickBot="1" x14ac:dyDescent="0.4">
      <c r="B47" s="77">
        <f t="shared" si="1"/>
        <v>46</v>
      </c>
      <c r="C47" s="78" t="s">
        <v>368</v>
      </c>
    </row>
    <row r="48" spans="2:4" x14ac:dyDescent="0.35">
      <c r="B48" s="81">
        <f t="shared" si="1"/>
        <v>47</v>
      </c>
      <c r="C48" s="82" t="s">
        <v>371</v>
      </c>
    </row>
    <row r="49" spans="2:4" x14ac:dyDescent="0.35">
      <c r="B49" s="81">
        <f t="shared" si="1"/>
        <v>48</v>
      </c>
      <c r="C49" s="82" t="s">
        <v>372</v>
      </c>
    </row>
    <row r="50" spans="2:4" x14ac:dyDescent="0.35">
      <c r="B50" s="81">
        <f t="shared" si="1"/>
        <v>49</v>
      </c>
      <c r="C50" s="82" t="s">
        <v>374</v>
      </c>
      <c r="D50" t="s">
        <v>373</v>
      </c>
    </row>
    <row r="51" spans="2:4" ht="29" x14ac:dyDescent="0.35">
      <c r="B51" s="83">
        <f t="shared" si="1"/>
        <v>50</v>
      </c>
      <c r="C51" s="84" t="s">
        <v>375</v>
      </c>
    </row>
    <row r="52" spans="2:4" x14ac:dyDescent="0.35">
      <c r="B52" s="83">
        <f t="shared" si="1"/>
        <v>51</v>
      </c>
      <c r="C52" s="85" t="s">
        <v>377</v>
      </c>
      <c r="D52" t="s">
        <v>378</v>
      </c>
    </row>
    <row r="53" spans="2:4" x14ac:dyDescent="0.35">
      <c r="B53" s="83">
        <f t="shared" si="1"/>
        <v>52</v>
      </c>
      <c r="C53" s="85" t="s">
        <v>380</v>
      </c>
      <c r="D53" t="s">
        <v>381</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7"/>
    <col min="2" max="2" width="12.26953125" style="47" customWidth="1"/>
    <col min="3" max="16384" width="9.1796875" style="47"/>
  </cols>
  <sheetData>
    <row r="2" spans="1:12" x14ac:dyDescent="0.35">
      <c r="B2" s="56" t="s">
        <v>302</v>
      </c>
      <c r="C2" s="278"/>
      <c r="D2" s="278"/>
    </row>
    <row r="3" spans="1:12" x14ac:dyDescent="0.35">
      <c r="D3" s="57"/>
      <c r="E3" s="57"/>
      <c r="F3" s="57"/>
      <c r="G3" s="57"/>
      <c r="H3" s="57"/>
      <c r="I3" s="57"/>
    </row>
    <row r="4" spans="1:12" x14ac:dyDescent="0.35">
      <c r="A4" s="56" t="s">
        <v>65</v>
      </c>
      <c r="B4" s="58" t="s">
        <v>303</v>
      </c>
      <c r="C4" s="279" t="s">
        <v>304</v>
      </c>
      <c r="D4" s="279"/>
      <c r="E4" s="279"/>
      <c r="F4" s="58"/>
      <c r="G4" s="280" t="s">
        <v>305</v>
      </c>
      <c r="H4" s="280"/>
      <c r="I4" s="280"/>
      <c r="J4" s="281" t="s">
        <v>306</v>
      </c>
      <c r="K4" s="281"/>
      <c r="L4" s="281"/>
    </row>
    <row r="5" spans="1:12" x14ac:dyDescent="0.35">
      <c r="A5" s="56"/>
      <c r="B5" s="58"/>
      <c r="C5" s="58" t="s">
        <v>307</v>
      </c>
      <c r="D5" s="58" t="s">
        <v>308</v>
      </c>
      <c r="E5" s="58" t="s">
        <v>309</v>
      </c>
      <c r="F5" s="58"/>
      <c r="G5" s="58" t="s">
        <v>307</v>
      </c>
      <c r="H5" s="58" t="s">
        <v>308</v>
      </c>
      <c r="I5" s="58" t="s">
        <v>309</v>
      </c>
      <c r="J5" s="58" t="s">
        <v>307</v>
      </c>
      <c r="K5" s="58" t="s">
        <v>308</v>
      </c>
      <c r="L5" s="58" t="s">
        <v>309</v>
      </c>
    </row>
    <row r="6" spans="1:12" x14ac:dyDescent="0.35">
      <c r="B6" s="48" t="s">
        <v>310</v>
      </c>
      <c r="C6" s="48"/>
      <c r="D6" s="48"/>
      <c r="E6" s="48">
        <f>C6*D6</f>
        <v>0</v>
      </c>
      <c r="F6" s="48" t="s">
        <v>327</v>
      </c>
      <c r="G6" s="48"/>
      <c r="H6" s="48"/>
      <c r="I6" s="48">
        <f>G6*H6</f>
        <v>0</v>
      </c>
      <c r="J6" s="48"/>
      <c r="K6" s="48"/>
      <c r="L6" s="48">
        <f>J6*K6</f>
        <v>0</v>
      </c>
    </row>
    <row r="7" spans="1:12" x14ac:dyDescent="0.35">
      <c r="B7" s="48"/>
      <c r="C7" s="48"/>
      <c r="D7" s="48"/>
      <c r="E7" s="48">
        <f t="shared" ref="E7:E41" si="0">C7*D7</f>
        <v>0</v>
      </c>
      <c r="F7" s="48" t="s">
        <v>327</v>
      </c>
      <c r="G7" s="48"/>
      <c r="H7" s="48"/>
      <c r="I7" s="48">
        <f t="shared" ref="I7:I35" si="1">G7*H7</f>
        <v>0</v>
      </c>
      <c r="J7" s="48"/>
      <c r="K7" s="48"/>
      <c r="L7" s="48">
        <f t="shared" ref="L7:L35" si="2">J7*K7</f>
        <v>0</v>
      </c>
    </row>
    <row r="8" spans="1:12" x14ac:dyDescent="0.35">
      <c r="B8" s="48"/>
      <c r="C8" s="48"/>
      <c r="D8" s="48"/>
      <c r="E8" s="48">
        <f t="shared" si="0"/>
        <v>0</v>
      </c>
      <c r="F8" s="48"/>
      <c r="G8" s="48"/>
      <c r="H8" s="48"/>
      <c r="I8" s="48">
        <f t="shared" si="1"/>
        <v>0</v>
      </c>
      <c r="J8" s="48"/>
      <c r="K8" s="48"/>
      <c r="L8" s="48">
        <f t="shared" si="2"/>
        <v>0</v>
      </c>
    </row>
    <row r="9" spans="1:12" x14ac:dyDescent="0.35">
      <c r="B9" s="48"/>
      <c r="C9" s="48"/>
      <c r="D9" s="48"/>
      <c r="E9" s="48">
        <f t="shared" si="0"/>
        <v>0</v>
      </c>
      <c r="F9" s="48" t="s">
        <v>311</v>
      </c>
      <c r="G9" s="48"/>
      <c r="H9" s="48"/>
      <c r="I9" s="48">
        <f t="shared" si="1"/>
        <v>0</v>
      </c>
      <c r="J9" s="48"/>
      <c r="K9" s="48"/>
      <c r="L9" s="48">
        <f t="shared" si="2"/>
        <v>0</v>
      </c>
    </row>
    <row r="10" spans="1:12" x14ac:dyDescent="0.35">
      <c r="B10" s="48" t="s">
        <v>312</v>
      </c>
      <c r="C10" s="48"/>
      <c r="D10" s="48"/>
      <c r="E10" s="48">
        <f t="shared" si="0"/>
        <v>0</v>
      </c>
      <c r="F10" s="48" t="s">
        <v>311</v>
      </c>
      <c r="G10" s="48"/>
      <c r="H10" s="48"/>
      <c r="I10" s="48">
        <f t="shared" si="1"/>
        <v>0</v>
      </c>
      <c r="J10" s="48"/>
      <c r="K10" s="48"/>
      <c r="L10" s="48">
        <f t="shared" si="2"/>
        <v>0</v>
      </c>
    </row>
    <row r="11" spans="1:12" x14ac:dyDescent="0.35">
      <c r="B11" s="48"/>
      <c r="C11" s="48"/>
      <c r="D11" s="48"/>
      <c r="E11" s="48">
        <f t="shared" si="0"/>
        <v>0</v>
      </c>
      <c r="F11" s="48" t="s">
        <v>313</v>
      </c>
      <c r="G11" s="48"/>
      <c r="H11" s="48"/>
      <c r="I11" s="48">
        <f t="shared" si="1"/>
        <v>0</v>
      </c>
      <c r="J11" s="48"/>
      <c r="K11" s="48"/>
      <c r="L11" s="48">
        <f t="shared" si="2"/>
        <v>0</v>
      </c>
    </row>
    <row r="12" spans="1:12" x14ac:dyDescent="0.35">
      <c r="B12" s="48"/>
      <c r="C12" s="48"/>
      <c r="D12" s="48"/>
      <c r="E12" s="48">
        <f t="shared" si="0"/>
        <v>0</v>
      </c>
      <c r="F12" s="48"/>
      <c r="G12" s="48"/>
      <c r="H12" s="48"/>
      <c r="I12" s="48">
        <f t="shared" si="1"/>
        <v>0</v>
      </c>
      <c r="J12" s="48"/>
      <c r="K12" s="48"/>
      <c r="L12" s="48">
        <f t="shared" si="2"/>
        <v>0</v>
      </c>
    </row>
    <row r="13" spans="1:12" x14ac:dyDescent="0.35">
      <c r="B13" s="48"/>
      <c r="C13" s="48"/>
      <c r="D13" s="48"/>
      <c r="E13" s="48">
        <f t="shared" si="0"/>
        <v>0</v>
      </c>
      <c r="F13" s="48"/>
      <c r="G13" s="48"/>
      <c r="H13" s="48"/>
      <c r="I13" s="48">
        <f t="shared" si="1"/>
        <v>0</v>
      </c>
      <c r="J13" s="48"/>
      <c r="K13" s="48"/>
      <c r="L13" s="48">
        <f t="shared" si="2"/>
        <v>0</v>
      </c>
    </row>
    <row r="14" spans="1:12" x14ac:dyDescent="0.35">
      <c r="B14" s="48" t="s">
        <v>314</v>
      </c>
      <c r="C14" s="48"/>
      <c r="D14" s="48"/>
      <c r="E14" s="48">
        <f t="shared" si="0"/>
        <v>0</v>
      </c>
      <c r="F14" s="48" t="s">
        <v>311</v>
      </c>
      <c r="G14" s="48"/>
      <c r="H14" s="48"/>
      <c r="I14" s="48">
        <f t="shared" si="1"/>
        <v>0</v>
      </c>
      <c r="J14" s="48"/>
      <c r="K14" s="48"/>
      <c r="L14" s="48">
        <f t="shared" si="2"/>
        <v>0</v>
      </c>
    </row>
    <row r="15" spans="1:12" x14ac:dyDescent="0.35">
      <c r="B15" s="48"/>
      <c r="C15" s="48"/>
      <c r="D15" s="48"/>
      <c r="E15" s="48">
        <f t="shared" si="0"/>
        <v>0</v>
      </c>
      <c r="F15" s="48" t="s">
        <v>313</v>
      </c>
      <c r="G15" s="48"/>
      <c r="H15" s="48"/>
      <c r="I15" s="48">
        <f t="shared" si="1"/>
        <v>0</v>
      </c>
      <c r="J15" s="48"/>
      <c r="K15" s="48"/>
      <c r="L15" s="48">
        <f t="shared" si="2"/>
        <v>0</v>
      </c>
    </row>
    <row r="16" spans="1:12" x14ac:dyDescent="0.35">
      <c r="B16" s="48"/>
      <c r="C16" s="48"/>
      <c r="D16" s="48"/>
      <c r="E16" s="48">
        <f t="shared" si="0"/>
        <v>0</v>
      </c>
      <c r="F16" s="48"/>
      <c r="G16" s="48"/>
      <c r="H16" s="48"/>
      <c r="I16" s="48">
        <f t="shared" si="1"/>
        <v>0</v>
      </c>
      <c r="J16" s="48"/>
      <c r="K16" s="48"/>
      <c r="L16" s="48">
        <f t="shared" si="2"/>
        <v>0</v>
      </c>
    </row>
    <row r="17" spans="2:12" x14ac:dyDescent="0.35">
      <c r="B17" s="48"/>
      <c r="C17" s="48"/>
      <c r="D17" s="48"/>
      <c r="E17" s="48">
        <f t="shared" si="0"/>
        <v>0</v>
      </c>
      <c r="F17" s="48"/>
      <c r="G17" s="48"/>
      <c r="H17" s="48"/>
      <c r="I17" s="48">
        <f t="shared" si="1"/>
        <v>0</v>
      </c>
      <c r="J17" s="48"/>
      <c r="K17" s="48"/>
      <c r="L17" s="48">
        <f t="shared" si="2"/>
        <v>0</v>
      </c>
    </row>
    <row r="18" spans="2:12" x14ac:dyDescent="0.35">
      <c r="B18" s="48" t="s">
        <v>315</v>
      </c>
      <c r="C18" s="48"/>
      <c r="D18" s="48"/>
      <c r="E18" s="48">
        <f t="shared" si="0"/>
        <v>0</v>
      </c>
      <c r="F18" s="48" t="s">
        <v>311</v>
      </c>
      <c r="G18" s="48"/>
      <c r="H18" s="48"/>
      <c r="I18" s="48">
        <f t="shared" si="1"/>
        <v>0</v>
      </c>
      <c r="J18" s="48"/>
      <c r="K18" s="48"/>
      <c r="L18" s="48">
        <f t="shared" si="2"/>
        <v>0</v>
      </c>
    </row>
    <row r="19" spans="2:12" x14ac:dyDescent="0.35">
      <c r="B19" s="48"/>
      <c r="C19" s="48"/>
      <c r="D19" s="48"/>
      <c r="E19" s="48">
        <f t="shared" si="0"/>
        <v>0</v>
      </c>
      <c r="F19" s="48" t="s">
        <v>313</v>
      </c>
      <c r="G19" s="48"/>
      <c r="H19" s="48"/>
      <c r="I19" s="48">
        <f t="shared" si="1"/>
        <v>0</v>
      </c>
      <c r="J19" s="48"/>
      <c r="K19" s="48"/>
      <c r="L19" s="48">
        <f t="shared" si="2"/>
        <v>0</v>
      </c>
    </row>
    <row r="20" spans="2:12" x14ac:dyDescent="0.35">
      <c r="B20" s="48"/>
      <c r="C20" s="48"/>
      <c r="D20" s="48"/>
      <c r="E20" s="48">
        <f t="shared" si="0"/>
        <v>0</v>
      </c>
      <c r="F20" s="48"/>
      <c r="G20" s="48"/>
      <c r="H20" s="48"/>
      <c r="I20" s="48">
        <f t="shared" si="1"/>
        <v>0</v>
      </c>
      <c r="J20" s="48"/>
      <c r="K20" s="48"/>
      <c r="L20" s="48">
        <f t="shared" si="2"/>
        <v>0</v>
      </c>
    </row>
    <row r="21" spans="2:12" x14ac:dyDescent="0.35">
      <c r="B21" s="48" t="s">
        <v>316</v>
      </c>
      <c r="C21" s="48"/>
      <c r="D21" s="48"/>
      <c r="E21" s="48">
        <f t="shared" si="0"/>
        <v>0</v>
      </c>
      <c r="F21" s="48" t="s">
        <v>311</v>
      </c>
      <c r="G21" s="48"/>
      <c r="H21" s="48"/>
      <c r="I21" s="48">
        <f t="shared" si="1"/>
        <v>0</v>
      </c>
      <c r="J21" s="48"/>
      <c r="K21" s="48"/>
      <c r="L21" s="48">
        <f t="shared" si="2"/>
        <v>0</v>
      </c>
    </row>
    <row r="22" spans="2:12" x14ac:dyDescent="0.35">
      <c r="B22" s="48"/>
      <c r="C22" s="48"/>
      <c r="D22" s="48"/>
      <c r="E22" s="48">
        <f t="shared" si="0"/>
        <v>0</v>
      </c>
      <c r="F22" s="48" t="s">
        <v>313</v>
      </c>
      <c r="G22" s="48"/>
      <c r="H22" s="48"/>
      <c r="I22" s="48">
        <f t="shared" si="1"/>
        <v>0</v>
      </c>
      <c r="J22" s="48"/>
      <c r="K22" s="48"/>
      <c r="L22" s="48">
        <f t="shared" si="2"/>
        <v>0</v>
      </c>
    </row>
    <row r="23" spans="2:12" x14ac:dyDescent="0.35">
      <c r="B23" s="48"/>
      <c r="C23" s="48"/>
      <c r="D23" s="48"/>
      <c r="E23" s="48">
        <f t="shared" si="0"/>
        <v>0</v>
      </c>
      <c r="F23" s="48"/>
      <c r="G23" s="48"/>
      <c r="H23" s="48"/>
      <c r="I23" s="48">
        <f t="shared" si="1"/>
        <v>0</v>
      </c>
      <c r="J23" s="48"/>
      <c r="K23" s="48"/>
      <c r="L23" s="48">
        <f t="shared" si="2"/>
        <v>0</v>
      </c>
    </row>
    <row r="24" spans="2:12" x14ac:dyDescent="0.35">
      <c r="B24" s="48" t="s">
        <v>317</v>
      </c>
      <c r="C24" s="48"/>
      <c r="D24" s="48"/>
      <c r="E24" s="48">
        <f t="shared" si="0"/>
        <v>0</v>
      </c>
      <c r="F24" s="48" t="s">
        <v>318</v>
      </c>
      <c r="G24" s="48"/>
      <c r="H24" s="48"/>
      <c r="I24" s="48">
        <f t="shared" si="1"/>
        <v>0</v>
      </c>
      <c r="J24" s="48"/>
      <c r="K24" s="48"/>
      <c r="L24" s="48">
        <f t="shared" si="2"/>
        <v>0</v>
      </c>
    </row>
    <row r="25" spans="2:12" x14ac:dyDescent="0.35">
      <c r="B25" s="48"/>
      <c r="C25" s="48"/>
      <c r="D25" s="48"/>
      <c r="E25" s="48">
        <f>C25*D25</f>
        <v>0</v>
      </c>
      <c r="F25" s="48" t="s">
        <v>318</v>
      </c>
      <c r="G25" s="48"/>
      <c r="H25" s="48"/>
      <c r="I25" s="48">
        <f>G25*H25</f>
        <v>0</v>
      </c>
      <c r="J25" s="48"/>
      <c r="K25" s="48"/>
      <c r="L25" s="48">
        <f>J25*K25</f>
        <v>0</v>
      </c>
    </row>
    <row r="26" spans="2:12" x14ac:dyDescent="0.35">
      <c r="B26" s="48"/>
      <c r="C26" s="48"/>
      <c r="D26" s="48"/>
      <c r="E26" s="48">
        <f>C26*D26</f>
        <v>0</v>
      </c>
      <c r="F26" s="48" t="s">
        <v>318</v>
      </c>
      <c r="G26" s="48"/>
      <c r="H26" s="48"/>
      <c r="I26" s="48">
        <f>G26*H26</f>
        <v>0</v>
      </c>
      <c r="J26" s="48"/>
      <c r="K26" s="48"/>
      <c r="L26" s="48">
        <f>J26*K26</f>
        <v>0</v>
      </c>
    </row>
    <row r="27" spans="2:12" x14ac:dyDescent="0.35">
      <c r="B27" s="48"/>
      <c r="C27" s="48"/>
      <c r="D27" s="48"/>
      <c r="E27" s="48">
        <f>C27*D27</f>
        <v>0</v>
      </c>
      <c r="F27" s="48" t="s">
        <v>318</v>
      </c>
      <c r="G27" s="48"/>
      <c r="H27" s="48"/>
      <c r="I27" s="48">
        <f>G27*H27</f>
        <v>0</v>
      </c>
      <c r="J27" s="48"/>
      <c r="K27" s="48"/>
      <c r="L27" s="48">
        <f>J27*K27</f>
        <v>0</v>
      </c>
    </row>
    <row r="28" spans="2:12" x14ac:dyDescent="0.35">
      <c r="B28" s="48" t="s">
        <v>319</v>
      </c>
      <c r="C28" s="48"/>
      <c r="D28" s="48"/>
      <c r="E28" s="48">
        <f t="shared" si="0"/>
        <v>0</v>
      </c>
      <c r="F28" s="48" t="s">
        <v>318</v>
      </c>
      <c r="G28" s="48"/>
      <c r="H28" s="48"/>
      <c r="I28" s="48">
        <f t="shared" si="1"/>
        <v>0</v>
      </c>
      <c r="J28" s="48"/>
      <c r="K28" s="48"/>
      <c r="L28" s="48">
        <f t="shared" si="2"/>
        <v>0</v>
      </c>
    </row>
    <row r="29" spans="2:12" x14ac:dyDescent="0.35">
      <c r="B29" s="48" t="s">
        <v>320</v>
      </c>
      <c r="C29" s="48"/>
      <c r="D29" s="48"/>
      <c r="E29" s="48">
        <f t="shared" si="0"/>
        <v>0</v>
      </c>
      <c r="F29" s="48" t="s">
        <v>318</v>
      </c>
      <c r="G29" s="48"/>
      <c r="H29" s="48"/>
      <c r="I29" s="48">
        <f t="shared" si="1"/>
        <v>0</v>
      </c>
      <c r="J29" s="48"/>
      <c r="K29" s="48"/>
      <c r="L29" s="48">
        <f t="shared" si="2"/>
        <v>0</v>
      </c>
    </row>
    <row r="30" spans="2:12" x14ac:dyDescent="0.35">
      <c r="B30" s="48" t="s">
        <v>324</v>
      </c>
      <c r="C30" s="48"/>
      <c r="D30" s="48"/>
      <c r="E30" s="48">
        <f t="shared" si="0"/>
        <v>0</v>
      </c>
      <c r="F30" s="48"/>
      <c r="G30" s="48"/>
      <c r="H30" s="48"/>
      <c r="I30" s="48">
        <f t="shared" si="1"/>
        <v>0</v>
      </c>
      <c r="J30" s="48"/>
      <c r="K30" s="48"/>
      <c r="L30" s="48">
        <f t="shared" si="2"/>
        <v>0</v>
      </c>
    </row>
    <row r="31" spans="2:12" x14ac:dyDescent="0.35">
      <c r="B31" s="48"/>
      <c r="C31" s="48"/>
      <c r="D31" s="48"/>
      <c r="E31" s="48">
        <f>C31*D31</f>
        <v>0</v>
      </c>
      <c r="F31" s="48"/>
      <c r="G31" s="48"/>
      <c r="H31" s="48"/>
      <c r="I31" s="48">
        <f>G31*H31</f>
        <v>0</v>
      </c>
      <c r="J31" s="48"/>
      <c r="K31" s="48"/>
      <c r="L31" s="48">
        <f>J31*K31</f>
        <v>0</v>
      </c>
    </row>
    <row r="32" spans="2:12" x14ac:dyDescent="0.35">
      <c r="B32" s="48"/>
      <c r="C32" s="48"/>
      <c r="D32" s="48"/>
      <c r="E32" s="48">
        <f>C32*D32</f>
        <v>0</v>
      </c>
      <c r="F32" s="48"/>
      <c r="G32" s="48"/>
      <c r="H32" s="48"/>
      <c r="I32" s="48">
        <f>G32*H32</f>
        <v>0</v>
      </c>
      <c r="J32" s="48"/>
      <c r="K32" s="48"/>
      <c r="L32" s="48">
        <f>J32*K32</f>
        <v>0</v>
      </c>
    </row>
    <row r="33" spans="2:12" x14ac:dyDescent="0.35">
      <c r="B33" s="48" t="s">
        <v>321</v>
      </c>
      <c r="C33" s="48"/>
      <c r="D33" s="48"/>
      <c r="E33" s="48">
        <f t="shared" si="0"/>
        <v>0</v>
      </c>
      <c r="F33" s="48"/>
      <c r="G33" s="48"/>
      <c r="H33" s="48"/>
      <c r="I33" s="48">
        <f t="shared" si="1"/>
        <v>0</v>
      </c>
      <c r="J33" s="48"/>
      <c r="K33" s="48"/>
      <c r="L33" s="48">
        <f t="shared" si="2"/>
        <v>0</v>
      </c>
    </row>
    <row r="34" spans="2:12" x14ac:dyDescent="0.35">
      <c r="B34" s="48" t="s">
        <v>325</v>
      </c>
      <c r="C34" s="48"/>
      <c r="D34" s="48"/>
      <c r="E34" s="48">
        <f t="shared" si="0"/>
        <v>0</v>
      </c>
      <c r="F34" s="48"/>
      <c r="G34" s="48"/>
      <c r="H34" s="48"/>
      <c r="I34" s="48">
        <f t="shared" si="1"/>
        <v>0</v>
      </c>
      <c r="J34" s="48"/>
      <c r="K34" s="48"/>
      <c r="L34" s="48">
        <f t="shared" si="2"/>
        <v>0</v>
      </c>
    </row>
    <row r="35" spans="2:12" x14ac:dyDescent="0.35">
      <c r="B35" s="48" t="s">
        <v>322</v>
      </c>
      <c r="C35" s="48"/>
      <c r="D35" s="48"/>
      <c r="E35" s="48">
        <f t="shared" si="0"/>
        <v>0</v>
      </c>
      <c r="F35" s="48"/>
      <c r="G35" s="48"/>
      <c r="H35" s="48"/>
      <c r="I35" s="48">
        <f t="shared" si="1"/>
        <v>0</v>
      </c>
      <c r="J35" s="48"/>
      <c r="K35" s="48"/>
      <c r="L35" s="48">
        <f t="shared" si="2"/>
        <v>0</v>
      </c>
    </row>
    <row r="36" spans="2:12" x14ac:dyDescent="0.35">
      <c r="B36" s="48" t="s">
        <v>323</v>
      </c>
      <c r="C36" s="48"/>
      <c r="D36" s="48"/>
      <c r="E36" s="48">
        <f t="shared" si="0"/>
        <v>0</v>
      </c>
      <c r="F36" s="48"/>
      <c r="G36" s="48"/>
      <c r="H36" s="48"/>
      <c r="I36" s="48">
        <f t="shared" ref="I36:I41" si="3">G36*H36</f>
        <v>0</v>
      </c>
      <c r="J36" s="48"/>
      <c r="K36" s="48"/>
      <c r="L36" s="48">
        <f t="shared" ref="L36:L41" si="4">J36*K36</f>
        <v>0</v>
      </c>
    </row>
    <row r="37" spans="2:12" x14ac:dyDescent="0.35">
      <c r="B37" s="48"/>
      <c r="C37" s="48"/>
      <c r="D37" s="48"/>
      <c r="E37" s="48">
        <f>C37*D37</f>
        <v>0</v>
      </c>
      <c r="F37" s="48"/>
      <c r="G37" s="48"/>
      <c r="H37" s="48"/>
      <c r="I37" s="48">
        <f t="shared" si="3"/>
        <v>0</v>
      </c>
      <c r="J37" s="48"/>
      <c r="K37" s="48"/>
      <c r="L37" s="48">
        <f t="shared" si="4"/>
        <v>0</v>
      </c>
    </row>
    <row r="38" spans="2:12" x14ac:dyDescent="0.35">
      <c r="B38" s="48" t="s">
        <v>326</v>
      </c>
      <c r="C38" s="48"/>
      <c r="D38" s="48"/>
      <c r="E38" s="48">
        <f>C38*D38</f>
        <v>0</v>
      </c>
      <c r="F38" s="48"/>
      <c r="G38" s="48"/>
      <c r="H38" s="48"/>
      <c r="I38" s="48">
        <f t="shared" si="3"/>
        <v>0</v>
      </c>
      <c r="J38" s="48"/>
      <c r="K38" s="48"/>
      <c r="L38" s="48">
        <f t="shared" si="4"/>
        <v>0</v>
      </c>
    </row>
    <row r="39" spans="2:12" x14ac:dyDescent="0.35">
      <c r="B39" s="48"/>
      <c r="C39" s="48"/>
      <c r="D39" s="48"/>
      <c r="E39" s="48">
        <f t="shared" si="0"/>
        <v>0</v>
      </c>
      <c r="F39" s="48"/>
      <c r="G39" s="48"/>
      <c r="H39" s="48"/>
      <c r="I39" s="48">
        <f t="shared" si="3"/>
        <v>0</v>
      </c>
      <c r="J39" s="48"/>
      <c r="K39" s="48"/>
      <c r="L39" s="48">
        <f t="shared" si="4"/>
        <v>0</v>
      </c>
    </row>
    <row r="40" spans="2:12" x14ac:dyDescent="0.35">
      <c r="B40" s="48"/>
      <c r="C40" s="48"/>
      <c r="D40" s="48"/>
      <c r="E40" s="48">
        <f t="shared" si="0"/>
        <v>0</v>
      </c>
      <c r="F40" s="48"/>
      <c r="G40" s="48"/>
      <c r="H40" s="48"/>
      <c r="I40" s="48">
        <f t="shared" si="3"/>
        <v>0</v>
      </c>
      <c r="J40" s="48"/>
      <c r="K40" s="48"/>
      <c r="L40" s="48">
        <f t="shared" si="4"/>
        <v>0</v>
      </c>
    </row>
    <row r="41" spans="2:12" x14ac:dyDescent="0.35">
      <c r="B41" s="48"/>
      <c r="C41" s="48"/>
      <c r="D41" s="48"/>
      <c r="E41" s="48">
        <f t="shared" si="0"/>
        <v>0</v>
      </c>
      <c r="F41" s="48"/>
      <c r="G41" s="48"/>
      <c r="H41" s="48"/>
      <c r="I41" s="48">
        <f t="shared" si="3"/>
        <v>0</v>
      </c>
      <c r="J41" s="48"/>
      <c r="K41" s="48"/>
      <c r="L41" s="48">
        <f t="shared" si="4"/>
        <v>0</v>
      </c>
    </row>
    <row r="42" spans="2:12" x14ac:dyDescent="0.35">
      <c r="B42" s="48" t="s">
        <v>150</v>
      </c>
      <c r="C42" s="48"/>
      <c r="D42" s="48">
        <f>E42*10.764</f>
        <v>0</v>
      </c>
      <c r="E42" s="61">
        <f>SUM(E6:E41)</f>
        <v>0</v>
      </c>
      <c r="F42" s="48"/>
      <c r="G42" s="48"/>
      <c r="H42" s="48">
        <f>I42*10.764</f>
        <v>0</v>
      </c>
      <c r="I42" s="60">
        <f>SUM(I6:I41)</f>
        <v>0</v>
      </c>
      <c r="J42" s="48"/>
      <c r="K42" s="48">
        <f>L42*10.764</f>
        <v>0</v>
      </c>
      <c r="L42" s="59">
        <f>SUM(L6:L41)</f>
        <v>0</v>
      </c>
    </row>
    <row r="44" spans="2:12" x14ac:dyDescent="0.3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2025-05-14T06:53:42Z</cp:lastPrinted>
  <dcterms:created xsi:type="dcterms:W3CDTF">2019-07-16T09:29:46Z</dcterms:created>
  <dcterms:modified xsi:type="dcterms:W3CDTF">2025-08-18T07:38:24Z</dcterms:modified>
</cp:coreProperties>
</file>