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23-07-2025\"/>
    </mc:Choice>
  </mc:AlternateContent>
  <bookViews>
    <workbookView xWindow="0" yWindow="0" windowWidth="19200" windowHeight="6640"/>
  </bookViews>
  <sheets>
    <sheet name="Report (2)" sheetId="6" r:id="rId1"/>
    <sheet name="Report" sheetId="1" r:id="rId2"/>
    <sheet name="Flat detail" sheetId="3" r:id="rId3"/>
    <sheet name="Note" sheetId="4" r:id="rId4"/>
    <sheet name="valuation" sheetId="5" r:id="rId5"/>
  </sheets>
  <definedNames>
    <definedName name="_xlnm.Print_Area" localSheetId="1">Report!$A$1:$H$276</definedName>
    <definedName name="_xlnm.Print_Area" localSheetId="0">'Report (2)'!$A$1:$H$487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9" i="6" l="1"/>
  <c r="G228" i="6"/>
  <c r="G224" i="6"/>
  <c r="G223" i="6"/>
  <c r="D53" i="6"/>
  <c r="D344" i="6"/>
  <c r="F344" i="6" s="1"/>
  <c r="H344" i="6" s="1"/>
  <c r="D343" i="6"/>
  <c r="F343" i="6" s="1"/>
  <c r="H343" i="6" s="1"/>
  <c r="A343" i="6"/>
  <c r="A344" i="6" s="1"/>
  <c r="E342" i="6"/>
  <c r="D342" i="6"/>
  <c r="D340" i="6"/>
  <c r="F340" i="6" s="1"/>
  <c r="H340" i="6" s="1"/>
  <c r="D339" i="6"/>
  <c r="F339" i="6" s="1"/>
  <c r="H339" i="6" s="1"/>
  <c r="A339" i="6"/>
  <c r="A340" i="6" s="1"/>
  <c r="E338" i="6"/>
  <c r="D338" i="6"/>
  <c r="J335" i="6"/>
  <c r="D335" i="6"/>
  <c r="F335" i="6" s="1"/>
  <c r="H335" i="6" s="1"/>
  <c r="A335" i="6"/>
  <c r="A331" i="6"/>
  <c r="A332" i="6" s="1"/>
  <c r="A327" i="6"/>
  <c r="A328" i="6" s="1"/>
  <c r="A323" i="6"/>
  <c r="A324" i="6" s="1"/>
  <c r="A319" i="6"/>
  <c r="A320" i="6" s="1"/>
  <c r="E334" i="6"/>
  <c r="D334" i="6"/>
  <c r="D332" i="6"/>
  <c r="F332" i="6" s="1"/>
  <c r="H332" i="6" s="1"/>
  <c r="D331" i="6"/>
  <c r="F331" i="6" s="1"/>
  <c r="H331" i="6" s="1"/>
  <c r="E330" i="6"/>
  <c r="D330" i="6"/>
  <c r="D328" i="6"/>
  <c r="F328" i="6" s="1"/>
  <c r="H328" i="6" s="1"/>
  <c r="D327" i="6"/>
  <c r="F327" i="6" s="1"/>
  <c r="H327" i="6" s="1"/>
  <c r="E326" i="6"/>
  <c r="D326" i="6"/>
  <c r="J323" i="6"/>
  <c r="D324" i="6"/>
  <c r="F324" i="6" s="1"/>
  <c r="H324" i="6" s="1"/>
  <c r="D323" i="6"/>
  <c r="F323" i="6" s="1"/>
  <c r="H323" i="6" s="1"/>
  <c r="E322" i="6"/>
  <c r="D322" i="6"/>
  <c r="D320" i="6"/>
  <c r="F320" i="6" s="1"/>
  <c r="H320" i="6" s="1"/>
  <c r="D319" i="6"/>
  <c r="F319" i="6" s="1"/>
  <c r="H319" i="6" s="1"/>
  <c r="E318" i="6"/>
  <c r="D318" i="6"/>
  <c r="F318" i="6" s="1"/>
  <c r="H318" i="6" s="1"/>
  <c r="J315" i="6"/>
  <c r="E314" i="6"/>
  <c r="J314" i="6"/>
  <c r="D316" i="6"/>
  <c r="F316" i="6" s="1"/>
  <c r="H316" i="6" s="1"/>
  <c r="D315" i="6"/>
  <c r="F315" i="6" s="1"/>
  <c r="H315" i="6" s="1"/>
  <c r="D314" i="6"/>
  <c r="C92" i="6"/>
  <c r="C64" i="6"/>
  <c r="J103" i="6"/>
  <c r="J102" i="6"/>
  <c r="J101" i="6"/>
  <c r="J100" i="6"/>
  <c r="D306" i="6"/>
  <c r="F306" i="6" s="1"/>
  <c r="H306" i="6" s="1"/>
  <c r="D305" i="6"/>
  <c r="F305" i="6" s="1"/>
  <c r="H305" i="6" s="1"/>
  <c r="D304" i="6"/>
  <c r="F304" i="6" s="1"/>
  <c r="H304" i="6" s="1"/>
  <c r="D303" i="6"/>
  <c r="F303" i="6" s="1"/>
  <c r="H303" i="6" s="1"/>
  <c r="D302" i="6"/>
  <c r="F302" i="6" s="1"/>
  <c r="H302" i="6" s="1"/>
  <c r="D301" i="6"/>
  <c r="F301" i="6" s="1"/>
  <c r="H301" i="6" s="1"/>
  <c r="D300" i="6"/>
  <c r="F300" i="6" s="1"/>
  <c r="H300" i="6" s="1"/>
  <c r="A300" i="6"/>
  <c r="A301" i="6" s="1"/>
  <c r="A302" i="6" s="1"/>
  <c r="A303" i="6" s="1"/>
  <c r="A304" i="6" s="1"/>
  <c r="A305" i="6" s="1"/>
  <c r="A306" i="6" s="1"/>
  <c r="D299" i="6"/>
  <c r="F299" i="6" s="1"/>
  <c r="H299" i="6" s="1"/>
  <c r="D297" i="6"/>
  <c r="F297" i="6" s="1"/>
  <c r="H297" i="6" s="1"/>
  <c r="D296" i="6"/>
  <c r="F296" i="6" s="1"/>
  <c r="H296" i="6" s="1"/>
  <c r="D295" i="6"/>
  <c r="F295" i="6" s="1"/>
  <c r="H295" i="6" s="1"/>
  <c r="D294" i="6"/>
  <c r="F294" i="6" s="1"/>
  <c r="H294" i="6" s="1"/>
  <c r="D293" i="6"/>
  <c r="F293" i="6" s="1"/>
  <c r="H293" i="6" s="1"/>
  <c r="D292" i="6"/>
  <c r="F292" i="6" s="1"/>
  <c r="H292" i="6" s="1"/>
  <c r="D291" i="6"/>
  <c r="F291" i="6" s="1"/>
  <c r="H291" i="6" s="1"/>
  <c r="A291" i="6"/>
  <c r="A292" i="6" s="1"/>
  <c r="A293" i="6" s="1"/>
  <c r="A294" i="6" s="1"/>
  <c r="A295" i="6" s="1"/>
  <c r="A296" i="6" s="1"/>
  <c r="A297" i="6" s="1"/>
  <c r="D290" i="6"/>
  <c r="F290" i="6" s="1"/>
  <c r="H290" i="6" s="1"/>
  <c r="D286" i="6"/>
  <c r="F286" i="6" s="1"/>
  <c r="H286" i="6" s="1"/>
  <c r="D285" i="6"/>
  <c r="F285" i="6" s="1"/>
  <c r="H285" i="6" s="1"/>
  <c r="D284" i="6"/>
  <c r="F284" i="6" s="1"/>
  <c r="H284" i="6" s="1"/>
  <c r="D283" i="6"/>
  <c r="F283" i="6" s="1"/>
  <c r="H283" i="6" s="1"/>
  <c r="D282" i="6"/>
  <c r="F282" i="6" s="1"/>
  <c r="H282" i="6" s="1"/>
  <c r="A282" i="6"/>
  <c r="A283" i="6" s="1"/>
  <c r="A284" i="6" s="1"/>
  <c r="A285" i="6" s="1"/>
  <c r="A286" i="6" s="1"/>
  <c r="A287" i="6" s="1"/>
  <c r="A288" i="6" s="1"/>
  <c r="D281" i="6"/>
  <c r="F281" i="6" s="1"/>
  <c r="H281" i="6" s="1"/>
  <c r="D279" i="6"/>
  <c r="F279" i="6" s="1"/>
  <c r="H279" i="6" s="1"/>
  <c r="D278" i="6"/>
  <c r="F278" i="6" s="1"/>
  <c r="H278" i="6" s="1"/>
  <c r="D277" i="6"/>
  <c r="F277" i="6" s="1"/>
  <c r="H277" i="6" s="1"/>
  <c r="D276" i="6"/>
  <c r="F276" i="6" s="1"/>
  <c r="H276" i="6" s="1"/>
  <c r="D275" i="6"/>
  <c r="F275" i="6" s="1"/>
  <c r="H275" i="6" s="1"/>
  <c r="D274" i="6"/>
  <c r="F274" i="6" s="1"/>
  <c r="H274" i="6" s="1"/>
  <c r="D273" i="6"/>
  <c r="F273" i="6" s="1"/>
  <c r="H273" i="6" s="1"/>
  <c r="D272" i="6"/>
  <c r="F272" i="6" s="1"/>
  <c r="H272" i="6" s="1"/>
  <c r="D270" i="6"/>
  <c r="F270" i="6" s="1"/>
  <c r="H270" i="6" s="1"/>
  <c r="D269" i="6"/>
  <c r="F269" i="6" s="1"/>
  <c r="H269" i="6" s="1"/>
  <c r="D268" i="6"/>
  <c r="F268" i="6" s="1"/>
  <c r="H268" i="6" s="1"/>
  <c r="D267" i="6"/>
  <c r="F267" i="6" s="1"/>
  <c r="H267" i="6" s="1"/>
  <c r="D266" i="6"/>
  <c r="F266" i="6" s="1"/>
  <c r="H266" i="6" s="1"/>
  <c r="D265" i="6"/>
  <c r="F265" i="6" s="1"/>
  <c r="H265" i="6" s="1"/>
  <c r="D264" i="6"/>
  <c r="F264" i="6" s="1"/>
  <c r="H264" i="6" s="1"/>
  <c r="D263" i="6"/>
  <c r="F263" i="6" s="1"/>
  <c r="H263" i="6" s="1"/>
  <c r="D261" i="6"/>
  <c r="F261" i="6" s="1"/>
  <c r="H261" i="6" s="1"/>
  <c r="D260" i="6"/>
  <c r="F260" i="6" s="1"/>
  <c r="H260" i="6" s="1"/>
  <c r="D259" i="6"/>
  <c r="F259" i="6" s="1"/>
  <c r="H259" i="6" s="1"/>
  <c r="D258" i="6"/>
  <c r="F258" i="6" s="1"/>
  <c r="H258" i="6" s="1"/>
  <c r="D257" i="6"/>
  <c r="F257" i="6" s="1"/>
  <c r="H257" i="6" s="1"/>
  <c r="D256" i="6"/>
  <c r="F256" i="6" s="1"/>
  <c r="H256" i="6" s="1"/>
  <c r="D255" i="6"/>
  <c r="F255" i="6" s="1"/>
  <c r="H255" i="6" s="1"/>
  <c r="D254" i="6"/>
  <c r="F254" i="6" s="1"/>
  <c r="H254" i="6" s="1"/>
  <c r="D252" i="6"/>
  <c r="F252" i="6" s="1"/>
  <c r="H252" i="6" s="1"/>
  <c r="D251" i="6"/>
  <c r="F251" i="6" s="1"/>
  <c r="H251" i="6" s="1"/>
  <c r="D250" i="6"/>
  <c r="F250" i="6" s="1"/>
  <c r="H250" i="6" s="1"/>
  <c r="D249" i="6"/>
  <c r="F249" i="6" s="1"/>
  <c r="H249" i="6" s="1"/>
  <c r="D248" i="6"/>
  <c r="F248" i="6" s="1"/>
  <c r="H248" i="6" s="1"/>
  <c r="D247" i="6"/>
  <c r="F247" i="6" s="1"/>
  <c r="H247" i="6" s="1"/>
  <c r="D246" i="6"/>
  <c r="F246" i="6" s="1"/>
  <c r="H246" i="6" s="1"/>
  <c r="D245" i="6"/>
  <c r="F245" i="6" s="1"/>
  <c r="A273" i="6"/>
  <c r="A274" i="6" s="1"/>
  <c r="A275" i="6" s="1"/>
  <c r="A276" i="6" s="1"/>
  <c r="A277" i="6" s="1"/>
  <c r="A278" i="6" s="1"/>
  <c r="A279" i="6" s="1"/>
  <c r="A264" i="6"/>
  <c r="A265" i="6" s="1"/>
  <c r="A266" i="6" s="1"/>
  <c r="A267" i="6" s="1"/>
  <c r="A268" i="6" s="1"/>
  <c r="A269" i="6" s="1"/>
  <c r="A270" i="6" s="1"/>
  <c r="A255" i="6"/>
  <c r="A256" i="6" s="1"/>
  <c r="A257" i="6" s="1"/>
  <c r="A258" i="6" s="1"/>
  <c r="A259" i="6" s="1"/>
  <c r="A260" i="6" s="1"/>
  <c r="A261" i="6" s="1"/>
  <c r="J249" i="6"/>
  <c r="J245" i="6"/>
  <c r="A246" i="6"/>
  <c r="A247" i="6" s="1"/>
  <c r="A248" i="6" s="1"/>
  <c r="A249" i="6" s="1"/>
  <c r="A250" i="6" s="1"/>
  <c r="A251" i="6" s="1"/>
  <c r="A252" i="6" s="1"/>
  <c r="A241" i="6"/>
  <c r="A242" i="6" s="1"/>
  <c r="D238" i="6"/>
  <c r="F238" i="6" s="1"/>
  <c r="H238" i="6" s="1"/>
  <c r="D237" i="6"/>
  <c r="F237" i="6" s="1"/>
  <c r="H237" i="6" s="1"/>
  <c r="D236" i="6"/>
  <c r="F236" i="6" s="1"/>
  <c r="A315" i="6"/>
  <c r="A316" i="6" s="1"/>
  <c r="A237" i="6"/>
  <c r="A238" i="6" s="1"/>
  <c r="H93" i="6"/>
  <c r="F342" i="6" l="1"/>
  <c r="H342" i="6" s="1"/>
  <c r="E223" i="6"/>
  <c r="C228" i="6"/>
  <c r="E224" i="6"/>
  <c r="C223" i="6"/>
  <c r="C224" i="6"/>
  <c r="H236" i="6"/>
  <c r="H245" i="6"/>
  <c r="F326" i="6"/>
  <c r="H326" i="6" s="1"/>
  <c r="F334" i="6"/>
  <c r="H334" i="6" s="1"/>
  <c r="F338" i="6"/>
  <c r="H338" i="6" s="1"/>
  <c r="F330" i="6"/>
  <c r="H330" i="6" s="1"/>
  <c r="F322" i="6"/>
  <c r="H322" i="6" s="1"/>
  <c r="F314" i="6"/>
  <c r="J97" i="6"/>
  <c r="C96" i="6" s="1"/>
  <c r="D96" i="6" s="1"/>
  <c r="J95" i="6"/>
  <c r="D105" i="6"/>
  <c r="D101" i="6"/>
  <c r="D104" i="6"/>
  <c r="D100" i="6"/>
  <c r="J96" i="6"/>
  <c r="D99" i="6"/>
  <c r="D103" i="6"/>
  <c r="J98" i="6"/>
  <c r="J99" i="6" s="1"/>
  <c r="J104" i="6" s="1"/>
  <c r="J105" i="6" s="1"/>
  <c r="C97" i="6" s="1"/>
  <c r="D102" i="6"/>
  <c r="D98" i="6"/>
  <c r="D135" i="6"/>
  <c r="F135" i="6" s="1"/>
  <c r="D134" i="6"/>
  <c r="D133" i="6"/>
  <c r="F133" i="6" s="1"/>
  <c r="E40" i="6"/>
  <c r="C47" i="6"/>
  <c r="E225" i="6" l="1"/>
  <c r="G225" i="6"/>
  <c r="E228" i="6"/>
  <c r="H314" i="6"/>
  <c r="C225" i="6"/>
  <c r="C229" i="6" s="1"/>
  <c r="E96" i="6"/>
  <c r="I92" i="6" s="1"/>
  <c r="C94" i="6" s="1"/>
  <c r="D97" i="6"/>
  <c r="G96" i="6"/>
  <c r="E3" i="6"/>
  <c r="E229" i="6" l="1"/>
  <c r="C78" i="6"/>
  <c r="J89" i="6"/>
  <c r="J88" i="6"/>
  <c r="J87" i="6"/>
  <c r="J86" i="6"/>
  <c r="J75" i="6" l="1"/>
  <c r="J74" i="6"/>
  <c r="J73" i="6"/>
  <c r="J72" i="6"/>
  <c r="H65" i="6"/>
  <c r="J70" i="6" l="1"/>
  <c r="J71" i="6" s="1"/>
  <c r="J76" i="6" s="1"/>
  <c r="J77" i="6" s="1"/>
  <c r="C69" i="6" s="1"/>
  <c r="D70" i="6"/>
  <c r="J68" i="6"/>
  <c r="D77" i="6"/>
  <c r="D76" i="6"/>
  <c r="D75" i="6"/>
  <c r="D74" i="6"/>
  <c r="D73" i="6"/>
  <c r="D72" i="6"/>
  <c r="D71" i="6"/>
  <c r="J69" i="6"/>
  <c r="C68" i="6" s="1"/>
  <c r="J67" i="6"/>
  <c r="H79" i="6"/>
  <c r="J84" i="6" l="1"/>
  <c r="J85" i="6" s="1"/>
  <c r="J90" i="6" s="1"/>
  <c r="J91" i="6" s="1"/>
  <c r="C83" i="6" s="1"/>
  <c r="J83" i="6"/>
  <c r="C82" i="6" s="1"/>
  <c r="D82" i="6" s="1"/>
  <c r="J81" i="6"/>
  <c r="D91" i="6"/>
  <c r="D90" i="6"/>
  <c r="D89" i="6"/>
  <c r="D88" i="6"/>
  <c r="D87" i="6"/>
  <c r="D86" i="6"/>
  <c r="D85" i="6"/>
  <c r="D84" i="6"/>
  <c r="J82" i="6"/>
  <c r="E68" i="6"/>
  <c r="D69" i="6"/>
  <c r="G68" i="6"/>
  <c r="D63" i="6" s="1"/>
  <c r="D68" i="6"/>
  <c r="E82" i="6" l="1"/>
  <c r="D83" i="6"/>
  <c r="G82" i="6"/>
  <c r="D61" i="6" s="1"/>
  <c r="I64" i="6"/>
  <c r="C66" i="6" s="1"/>
  <c r="I78" i="6" l="1"/>
  <c r="C80" i="6" s="1"/>
  <c r="D220" i="6" l="1"/>
  <c r="F220" i="6" s="1"/>
  <c r="U219" i="6"/>
  <c r="U220" i="6" s="1"/>
  <c r="D219" i="6"/>
  <c r="F219" i="6" s="1"/>
  <c r="G218" i="6"/>
  <c r="D218" i="6"/>
  <c r="F218" i="6" s="1"/>
  <c r="V217" i="6"/>
  <c r="G133" i="6"/>
  <c r="D190" i="6"/>
  <c r="F190" i="6" s="1"/>
  <c r="D189" i="6"/>
  <c r="F189" i="6" s="1"/>
  <c r="D188" i="6"/>
  <c r="F188" i="6" s="1"/>
  <c r="D187" i="6"/>
  <c r="F187" i="6" s="1"/>
  <c r="D186" i="6"/>
  <c r="F186" i="6" s="1"/>
  <c r="D185" i="6"/>
  <c r="F185" i="6" s="1"/>
  <c r="U184" i="6"/>
  <c r="U185" i="6" s="1"/>
  <c r="U186" i="6" s="1"/>
  <c r="U187" i="6" s="1"/>
  <c r="U188" i="6" s="1"/>
  <c r="U189" i="6" s="1"/>
  <c r="U190" i="6" s="1"/>
  <c r="U191" i="6" s="1"/>
  <c r="D184" i="6"/>
  <c r="F184" i="6" s="1"/>
  <c r="G183" i="6"/>
  <c r="D183" i="6"/>
  <c r="F183" i="6" s="1"/>
  <c r="V182" i="6"/>
  <c r="D181" i="6"/>
  <c r="F181" i="6" s="1"/>
  <c r="D180" i="6"/>
  <c r="F180" i="6" s="1"/>
  <c r="D179" i="6"/>
  <c r="F179" i="6" s="1"/>
  <c r="D178" i="6"/>
  <c r="F178" i="6" s="1"/>
  <c r="D177" i="6"/>
  <c r="F177" i="6" s="1"/>
  <c r="D176" i="6"/>
  <c r="F176" i="6" s="1"/>
  <c r="D175" i="6"/>
  <c r="F175" i="6" s="1"/>
  <c r="D174" i="6"/>
  <c r="F174" i="6" s="1"/>
  <c r="D172" i="6"/>
  <c r="F172" i="6" s="1"/>
  <c r="D171" i="6"/>
  <c r="F171" i="6" s="1"/>
  <c r="D170" i="6"/>
  <c r="F170" i="6" s="1"/>
  <c r="D169" i="6"/>
  <c r="F169" i="6" s="1"/>
  <c r="D168" i="6"/>
  <c r="F168" i="6" s="1"/>
  <c r="D167" i="6"/>
  <c r="F167" i="6" s="1"/>
  <c r="D166" i="6"/>
  <c r="F166" i="6" s="1"/>
  <c r="D165" i="6"/>
  <c r="F165" i="6" s="1"/>
  <c r="D163" i="6"/>
  <c r="F163" i="6" s="1"/>
  <c r="D162" i="6"/>
  <c r="F162" i="6" s="1"/>
  <c r="D161" i="6"/>
  <c r="F161" i="6" s="1"/>
  <c r="D160" i="6"/>
  <c r="F160" i="6" s="1"/>
  <c r="D159" i="6"/>
  <c r="F159" i="6" s="1"/>
  <c r="D158" i="6"/>
  <c r="F158" i="6" s="1"/>
  <c r="D157" i="6"/>
  <c r="F157" i="6" s="1"/>
  <c r="D156" i="6"/>
  <c r="F156" i="6" s="1"/>
  <c r="D154" i="6"/>
  <c r="F154" i="6" s="1"/>
  <c r="D153" i="6"/>
  <c r="F153" i="6" s="1"/>
  <c r="D152" i="6"/>
  <c r="F152" i="6" s="1"/>
  <c r="D151" i="6"/>
  <c r="F151" i="6" s="1"/>
  <c r="D150" i="6"/>
  <c r="F150" i="6" s="1"/>
  <c r="D149" i="6"/>
  <c r="F149" i="6" s="1"/>
  <c r="D148" i="6"/>
  <c r="F148" i="6" s="1"/>
  <c r="D147" i="6"/>
  <c r="F147" i="6" s="1"/>
  <c r="D145" i="6"/>
  <c r="F145" i="6" s="1"/>
  <c r="D144" i="6"/>
  <c r="F144" i="6" s="1"/>
  <c r="F134" i="6"/>
  <c r="V218" i="6"/>
  <c r="V183" i="6"/>
  <c r="V219" i="6" l="1"/>
  <c r="S218" i="6"/>
  <c r="A218" i="6" s="1"/>
  <c r="V184" i="6"/>
  <c r="S183" i="6"/>
  <c r="A183" i="6" s="1"/>
  <c r="U215" i="6"/>
  <c r="U216" i="6" s="1"/>
  <c r="D215" i="6"/>
  <c r="F215" i="6" s="1"/>
  <c r="G214" i="6"/>
  <c r="D214" i="6"/>
  <c r="F214" i="6" s="1"/>
  <c r="V213" i="6"/>
  <c r="D212" i="6"/>
  <c r="F212" i="6" s="1"/>
  <c r="U211" i="6"/>
  <c r="U212" i="6" s="1"/>
  <c r="D211" i="6"/>
  <c r="F211" i="6" s="1"/>
  <c r="G210" i="6"/>
  <c r="D210" i="6"/>
  <c r="F210" i="6" s="1"/>
  <c r="V209" i="6"/>
  <c r="D208" i="6"/>
  <c r="F208" i="6" s="1"/>
  <c r="U207" i="6"/>
  <c r="U208" i="6" s="1"/>
  <c r="D207" i="6"/>
  <c r="F207" i="6" s="1"/>
  <c r="G206" i="6"/>
  <c r="D206" i="6"/>
  <c r="F206" i="6" s="1"/>
  <c r="V205" i="6"/>
  <c r="D204" i="6"/>
  <c r="F204" i="6" s="1"/>
  <c r="U203" i="6"/>
  <c r="U204" i="6" s="1"/>
  <c r="D203" i="6"/>
  <c r="F203" i="6" s="1"/>
  <c r="G202" i="6"/>
  <c r="D202" i="6"/>
  <c r="F202" i="6" s="1"/>
  <c r="V201" i="6"/>
  <c r="E200" i="6"/>
  <c r="D200" i="6"/>
  <c r="U199" i="6"/>
  <c r="U200" i="6" s="1"/>
  <c r="E199" i="6"/>
  <c r="D199" i="6"/>
  <c r="G198" i="6"/>
  <c r="D198" i="6"/>
  <c r="V197" i="6"/>
  <c r="U175" i="6"/>
  <c r="U176" i="6" s="1"/>
  <c r="U177" i="6" s="1"/>
  <c r="U178" i="6" s="1"/>
  <c r="U179" i="6" s="1"/>
  <c r="U180" i="6" s="1"/>
  <c r="U181" i="6" s="1"/>
  <c r="G174" i="6"/>
  <c r="V173" i="6"/>
  <c r="U166" i="6"/>
  <c r="U167" i="6" s="1"/>
  <c r="U168" i="6" s="1"/>
  <c r="U169" i="6" s="1"/>
  <c r="U170" i="6" s="1"/>
  <c r="U171" i="6" s="1"/>
  <c r="U172" i="6" s="1"/>
  <c r="G165" i="6"/>
  <c r="V164" i="6"/>
  <c r="U157" i="6"/>
  <c r="U158" i="6" s="1"/>
  <c r="U159" i="6" s="1"/>
  <c r="U160" i="6" s="1"/>
  <c r="U161" i="6" s="1"/>
  <c r="U162" i="6" s="1"/>
  <c r="U163" i="6" s="1"/>
  <c r="G156" i="6"/>
  <c r="V155" i="6"/>
  <c r="U148" i="6"/>
  <c r="U149" i="6" s="1"/>
  <c r="U150" i="6" s="1"/>
  <c r="U151" i="6" s="1"/>
  <c r="U152" i="6" s="1"/>
  <c r="U153" i="6" s="1"/>
  <c r="U154" i="6" s="1"/>
  <c r="G147" i="6"/>
  <c r="V146" i="6"/>
  <c r="D143" i="6"/>
  <c r="F143" i="6" s="1"/>
  <c r="D142" i="6"/>
  <c r="F142" i="6" s="1"/>
  <c r="U141" i="6"/>
  <c r="U142" i="6" s="1"/>
  <c r="U143" i="6" s="1"/>
  <c r="U144" i="6" s="1"/>
  <c r="U145" i="6" s="1"/>
  <c r="D141" i="6"/>
  <c r="F141" i="6" s="1"/>
  <c r="G140" i="6"/>
  <c r="D140" i="6"/>
  <c r="F140" i="6" s="1"/>
  <c r="V139" i="6"/>
  <c r="D138" i="6"/>
  <c r="F138" i="6" s="1"/>
  <c r="A138" i="6"/>
  <c r="G137" i="6"/>
  <c r="D137" i="6"/>
  <c r="F137" i="6" s="1"/>
  <c r="A134" i="6"/>
  <c r="A135" i="6" s="1"/>
  <c r="F119" i="6"/>
  <c r="G47" i="6"/>
  <c r="E41" i="6"/>
  <c r="E42" i="6" s="1"/>
  <c r="E25" i="6"/>
  <c r="E23" i="6"/>
  <c r="E7" i="6"/>
  <c r="V210" i="6"/>
  <c r="V165" i="6"/>
  <c r="V206" i="6"/>
  <c r="V156" i="6"/>
  <c r="V147" i="6"/>
  <c r="V140" i="6"/>
  <c r="V214" i="6"/>
  <c r="V202" i="6"/>
  <c r="W155" i="6"/>
  <c r="V174" i="6"/>
  <c r="V198" i="6"/>
  <c r="W205" i="6"/>
  <c r="F200" i="6" l="1"/>
  <c r="E122" i="6"/>
  <c r="G122" i="6"/>
  <c r="C122" i="6"/>
  <c r="C123" i="6"/>
  <c r="E123" i="6"/>
  <c r="C126" i="6"/>
  <c r="E126" i="6"/>
  <c r="V220" i="6"/>
  <c r="S220" i="6" s="1"/>
  <c r="A220" i="6" s="1"/>
  <c r="S219" i="6"/>
  <c r="A219" i="6" s="1"/>
  <c r="V185" i="6"/>
  <c r="S184" i="6"/>
  <c r="A184" i="6" s="1"/>
  <c r="F199" i="6"/>
  <c r="S174" i="6"/>
  <c r="A174" i="6" s="1"/>
  <c r="V175" i="6"/>
  <c r="V211" i="6"/>
  <c r="S210" i="6"/>
  <c r="A210" i="6" s="1"/>
  <c r="S198" i="6"/>
  <c r="A198" i="6" s="1"/>
  <c r="V199" i="6"/>
  <c r="V207" i="6"/>
  <c r="V141" i="6"/>
  <c r="S140" i="6"/>
  <c r="A140" i="6" s="1"/>
  <c r="V157" i="6"/>
  <c r="S165" i="6"/>
  <c r="A165" i="6" s="1"/>
  <c r="V166" i="6"/>
  <c r="S202" i="6"/>
  <c r="A202" i="6" s="1"/>
  <c r="V203" i="6"/>
  <c r="S214" i="6"/>
  <c r="A214" i="6" s="1"/>
  <c r="V215" i="6"/>
  <c r="S147" i="6"/>
  <c r="A147" i="6" s="1"/>
  <c r="V148" i="6"/>
  <c r="G123" i="6"/>
  <c r="F198" i="6"/>
  <c r="D173" i="1"/>
  <c r="F173" i="1" s="1"/>
  <c r="D170" i="1"/>
  <c r="F170" i="1" s="1"/>
  <c r="D169" i="1"/>
  <c r="F169" i="1" s="1"/>
  <c r="D168" i="1"/>
  <c r="F168" i="1" s="1"/>
  <c r="D166" i="1"/>
  <c r="F166" i="1" s="1"/>
  <c r="D165" i="1"/>
  <c r="F165" i="1" s="1"/>
  <c r="I165" i="1" s="1"/>
  <c r="D149" i="1"/>
  <c r="F149" i="1" s="1"/>
  <c r="D148" i="1"/>
  <c r="F148" i="1" s="1"/>
  <c r="D147" i="1"/>
  <c r="F147" i="1" s="1"/>
  <c r="D146" i="1"/>
  <c r="F146" i="1" s="1"/>
  <c r="D145" i="1"/>
  <c r="F145" i="1" s="1"/>
  <c r="D144" i="1"/>
  <c r="F144" i="1" s="1"/>
  <c r="U143" i="1"/>
  <c r="U144" i="1" s="1"/>
  <c r="U145" i="1" s="1"/>
  <c r="U146" i="1" s="1"/>
  <c r="U147" i="1" s="1"/>
  <c r="U148" i="1" s="1"/>
  <c r="U149" i="1" s="1"/>
  <c r="D143" i="1"/>
  <c r="F143" i="1" s="1"/>
  <c r="G142" i="1"/>
  <c r="D142" i="1"/>
  <c r="F142" i="1" s="1"/>
  <c r="V141" i="1"/>
  <c r="U173" i="1"/>
  <c r="U174" i="1" s="1"/>
  <c r="G172" i="1"/>
  <c r="D172" i="1"/>
  <c r="F172" i="1" s="1"/>
  <c r="V171" i="1"/>
  <c r="U169" i="1"/>
  <c r="U170" i="1" s="1"/>
  <c r="G168" i="1"/>
  <c r="G169" i="1" s="1"/>
  <c r="G170" i="1" s="1"/>
  <c r="V167" i="1"/>
  <c r="D140" i="1"/>
  <c r="F140" i="1" s="1"/>
  <c r="D139" i="1"/>
  <c r="F139" i="1" s="1"/>
  <c r="D138" i="1"/>
  <c r="F138" i="1" s="1"/>
  <c r="D137" i="1"/>
  <c r="F137" i="1" s="1"/>
  <c r="D136" i="1"/>
  <c r="F136" i="1" s="1"/>
  <c r="D135" i="1"/>
  <c r="F135" i="1" s="1"/>
  <c r="U134" i="1"/>
  <c r="U135" i="1" s="1"/>
  <c r="U136" i="1" s="1"/>
  <c r="U137" i="1" s="1"/>
  <c r="U138" i="1" s="1"/>
  <c r="U139" i="1" s="1"/>
  <c r="U140" i="1" s="1"/>
  <c r="D134" i="1"/>
  <c r="F134" i="1" s="1"/>
  <c r="G133" i="1"/>
  <c r="G134" i="1" s="1"/>
  <c r="G135" i="1" s="1"/>
  <c r="G136" i="1" s="1"/>
  <c r="G137" i="1" s="1"/>
  <c r="G138" i="1" s="1"/>
  <c r="G139" i="1" s="1"/>
  <c r="G140" i="1" s="1"/>
  <c r="D133" i="1"/>
  <c r="F133" i="1" s="1"/>
  <c r="V132" i="1"/>
  <c r="D164" i="1"/>
  <c r="F164" i="1" s="1"/>
  <c r="D131" i="1"/>
  <c r="F131" i="1" s="1"/>
  <c r="D130" i="1"/>
  <c r="F130" i="1" s="1"/>
  <c r="D129" i="1"/>
  <c r="F129" i="1" s="1"/>
  <c r="D128" i="1"/>
  <c r="F128" i="1" s="1"/>
  <c r="D127" i="1"/>
  <c r="F127" i="1" s="1"/>
  <c r="D126" i="1"/>
  <c r="F126" i="1" s="1"/>
  <c r="D125" i="1"/>
  <c r="F125" i="1" s="1"/>
  <c r="D124" i="1"/>
  <c r="F124" i="1" s="1"/>
  <c r="U125" i="1"/>
  <c r="U126" i="1" s="1"/>
  <c r="U127" i="1" s="1"/>
  <c r="U128" i="1" s="1"/>
  <c r="U129" i="1" s="1"/>
  <c r="U130" i="1" s="1"/>
  <c r="U131" i="1" s="1"/>
  <c r="G124" i="1"/>
  <c r="G125" i="1" s="1"/>
  <c r="G126" i="1" s="1"/>
  <c r="G127" i="1" s="1"/>
  <c r="G128" i="1" s="1"/>
  <c r="G129" i="1" s="1"/>
  <c r="G130" i="1" s="1"/>
  <c r="G131" i="1" s="1"/>
  <c r="V123" i="1"/>
  <c r="V142" i="1"/>
  <c r="V124" i="1"/>
  <c r="V172" i="1"/>
  <c r="W156" i="6"/>
  <c r="V168" i="1"/>
  <c r="W123" i="1"/>
  <c r="V133" i="1"/>
  <c r="W206" i="6"/>
  <c r="G126" i="6" l="1"/>
  <c r="J165" i="1"/>
  <c r="V186" i="6"/>
  <c r="S185" i="6"/>
  <c r="A185" i="6" s="1"/>
  <c r="W207" i="6"/>
  <c r="W208" i="6" s="1"/>
  <c r="S206" i="6"/>
  <c r="A206" i="6" s="1"/>
  <c r="W157" i="6"/>
  <c r="W158" i="6" s="1"/>
  <c r="W159" i="6" s="1"/>
  <c r="W160" i="6" s="1"/>
  <c r="W161" i="6" s="1"/>
  <c r="W162" i="6" s="1"/>
  <c r="W163" i="6" s="1"/>
  <c r="S156" i="6"/>
  <c r="A156" i="6" s="1"/>
  <c r="S211" i="6"/>
  <c r="A211" i="6" s="1"/>
  <c r="V212" i="6"/>
  <c r="S212" i="6" s="1"/>
  <c r="A212" i="6" s="1"/>
  <c r="S166" i="6"/>
  <c r="A166" i="6" s="1"/>
  <c r="V167" i="6"/>
  <c r="S175" i="6"/>
  <c r="A175" i="6" s="1"/>
  <c r="V176" i="6"/>
  <c r="V158" i="6"/>
  <c r="S148" i="6"/>
  <c r="A148" i="6" s="1"/>
  <c r="V149" i="6"/>
  <c r="V142" i="6"/>
  <c r="S141" i="6"/>
  <c r="A141" i="6" s="1"/>
  <c r="V208" i="6"/>
  <c r="V204" i="6"/>
  <c r="S204" i="6" s="1"/>
  <c r="A204" i="6" s="1"/>
  <c r="S203" i="6"/>
  <c r="A203" i="6" s="1"/>
  <c r="V216" i="6"/>
  <c r="S216" i="6" s="1"/>
  <c r="A216" i="6" s="1"/>
  <c r="S215" i="6"/>
  <c r="A215" i="6" s="1"/>
  <c r="S199" i="6"/>
  <c r="A199" i="6" s="1"/>
  <c r="V200" i="6"/>
  <c r="S200" i="6" s="1"/>
  <c r="A200" i="6" s="1"/>
  <c r="V143" i="1"/>
  <c r="S142" i="1"/>
  <c r="A142" i="1" s="1"/>
  <c r="V173" i="1"/>
  <c r="S172" i="1"/>
  <c r="A172" i="1" s="1"/>
  <c r="V169" i="1"/>
  <c r="S168" i="1"/>
  <c r="A168" i="1" s="1"/>
  <c r="V134" i="1"/>
  <c r="S133" i="1"/>
  <c r="A133" i="1" s="1"/>
  <c r="V125" i="1"/>
  <c r="D122" i="1"/>
  <c r="F122" i="1" s="1"/>
  <c r="D121" i="1"/>
  <c r="F121" i="1" s="1"/>
  <c r="D120" i="1"/>
  <c r="F120" i="1" s="1"/>
  <c r="D119" i="1"/>
  <c r="F119" i="1" s="1"/>
  <c r="D118" i="1"/>
  <c r="F118" i="1" s="1"/>
  <c r="D117" i="1"/>
  <c r="F117" i="1" s="1"/>
  <c r="U116" i="1"/>
  <c r="U117" i="1" s="1"/>
  <c r="U118" i="1" s="1"/>
  <c r="U119" i="1" s="1"/>
  <c r="U120" i="1" s="1"/>
  <c r="U121" i="1" s="1"/>
  <c r="U122" i="1" s="1"/>
  <c r="D116" i="1"/>
  <c r="F116" i="1" s="1"/>
  <c r="G115" i="1"/>
  <c r="G116" i="1" s="1"/>
  <c r="G117" i="1" s="1"/>
  <c r="G118" i="1" s="1"/>
  <c r="G119" i="1" s="1"/>
  <c r="G120" i="1" s="1"/>
  <c r="G121" i="1" s="1"/>
  <c r="G122" i="1" s="1"/>
  <c r="D115" i="1"/>
  <c r="F115" i="1" s="1"/>
  <c r="V114" i="1"/>
  <c r="D162" i="1"/>
  <c r="F162" i="1" s="1"/>
  <c r="U161" i="1"/>
  <c r="U162" i="1" s="1"/>
  <c r="D161" i="1"/>
  <c r="F161" i="1" s="1"/>
  <c r="G160" i="1"/>
  <c r="G161" i="1" s="1"/>
  <c r="G162" i="1" s="1"/>
  <c r="D160" i="1"/>
  <c r="F160" i="1" s="1"/>
  <c r="V159" i="1"/>
  <c r="D113" i="1"/>
  <c r="F113" i="1" s="1"/>
  <c r="D112" i="1"/>
  <c r="F112" i="1" s="1"/>
  <c r="E158" i="1"/>
  <c r="E157" i="1"/>
  <c r="D158" i="1"/>
  <c r="D157" i="1"/>
  <c r="D156" i="1"/>
  <c r="D111" i="1"/>
  <c r="F111" i="1" s="1"/>
  <c r="D110" i="1"/>
  <c r="F110" i="1" s="1"/>
  <c r="D109" i="1"/>
  <c r="F109" i="1" s="1"/>
  <c r="D108" i="1"/>
  <c r="U109" i="1"/>
  <c r="U110" i="1" s="1"/>
  <c r="U111" i="1" s="1"/>
  <c r="U112" i="1" s="1"/>
  <c r="U113" i="1" s="1"/>
  <c r="G108" i="1"/>
  <c r="G109" i="1" s="1"/>
  <c r="G110" i="1" s="1"/>
  <c r="G111" i="1" s="1"/>
  <c r="G112" i="1" s="1"/>
  <c r="G113" i="1" s="1"/>
  <c r="V107" i="1"/>
  <c r="D106" i="1"/>
  <c r="D105" i="1"/>
  <c r="D103" i="1"/>
  <c r="F103" i="1" s="1"/>
  <c r="D102" i="1"/>
  <c r="A103" i="1"/>
  <c r="G102" i="1"/>
  <c r="G103" i="1" s="1"/>
  <c r="V115" i="1"/>
  <c r="W124" i="1"/>
  <c r="V108" i="1"/>
  <c r="V160" i="1"/>
  <c r="C95" i="1" l="1"/>
  <c r="V187" i="6"/>
  <c r="S186" i="6"/>
  <c r="A186" i="6" s="1"/>
  <c r="S157" i="6"/>
  <c r="A157" i="6" s="1"/>
  <c r="V159" i="6"/>
  <c r="S158" i="6"/>
  <c r="A158" i="6" s="1"/>
  <c r="S142" i="6"/>
  <c r="A142" i="6" s="1"/>
  <c r="V143" i="6"/>
  <c r="S167" i="6"/>
  <c r="A167" i="6" s="1"/>
  <c r="V168" i="6"/>
  <c r="S208" i="6"/>
  <c r="A208" i="6" s="1"/>
  <c r="S149" i="6"/>
  <c r="A149" i="6" s="1"/>
  <c r="V150" i="6"/>
  <c r="S176" i="6"/>
  <c r="A176" i="6" s="1"/>
  <c r="V177" i="6"/>
  <c r="S207" i="6"/>
  <c r="A207" i="6" s="1"/>
  <c r="F102" i="1"/>
  <c r="E89" i="1"/>
  <c r="C89" i="1"/>
  <c r="F108" i="1"/>
  <c r="C92" i="1"/>
  <c r="S143" i="1"/>
  <c r="A143" i="1" s="1"/>
  <c r="V144" i="1"/>
  <c r="V174" i="1"/>
  <c r="S174" i="1" s="1"/>
  <c r="A174" i="1" s="1"/>
  <c r="S173" i="1"/>
  <c r="A173" i="1" s="1"/>
  <c r="V170" i="1"/>
  <c r="S170" i="1" s="1"/>
  <c r="A170" i="1" s="1"/>
  <c r="S169" i="1"/>
  <c r="A169" i="1" s="1"/>
  <c r="S134" i="1"/>
  <c r="A134" i="1" s="1"/>
  <c r="V135" i="1"/>
  <c r="W125" i="1"/>
  <c r="W126" i="1" s="1"/>
  <c r="W127" i="1" s="1"/>
  <c r="W128" i="1" s="1"/>
  <c r="W129" i="1" s="1"/>
  <c r="W130" i="1" s="1"/>
  <c r="W131" i="1" s="1"/>
  <c r="S124" i="1"/>
  <c r="A124" i="1" s="1"/>
  <c r="V126" i="1"/>
  <c r="V116" i="1"/>
  <c r="S115" i="1"/>
  <c r="A115" i="1" s="1"/>
  <c r="V161" i="1"/>
  <c r="S160" i="1"/>
  <c r="A160" i="1" s="1"/>
  <c r="S108" i="1"/>
  <c r="A108" i="1" s="1"/>
  <c r="V109" i="1"/>
  <c r="G45" i="1"/>
  <c r="E39" i="1"/>
  <c r="E40" i="1" s="1"/>
  <c r="V188" i="6" l="1"/>
  <c r="S187" i="6"/>
  <c r="A187" i="6" s="1"/>
  <c r="S143" i="6"/>
  <c r="A143" i="6" s="1"/>
  <c r="V144" i="6"/>
  <c r="S159" i="6"/>
  <c r="A159" i="6" s="1"/>
  <c r="V160" i="6"/>
  <c r="S177" i="6"/>
  <c r="A177" i="6" s="1"/>
  <c r="V178" i="6"/>
  <c r="S150" i="6"/>
  <c r="A150" i="6" s="1"/>
  <c r="V151" i="6"/>
  <c r="S168" i="6"/>
  <c r="A168" i="6" s="1"/>
  <c r="V169" i="6"/>
  <c r="V145" i="1"/>
  <c r="S144" i="1"/>
  <c r="A144" i="1" s="1"/>
  <c r="V136" i="1"/>
  <c r="S135" i="1"/>
  <c r="A135" i="1" s="1"/>
  <c r="S125" i="1"/>
  <c r="A125" i="1" s="1"/>
  <c r="V127" i="1"/>
  <c r="S126" i="1"/>
  <c r="A126" i="1" s="1"/>
  <c r="V117" i="1"/>
  <c r="S116" i="1"/>
  <c r="A116" i="1" s="1"/>
  <c r="S161" i="1"/>
  <c r="A161" i="1" s="1"/>
  <c r="V162" i="1"/>
  <c r="S162" i="1" s="1"/>
  <c r="A162" i="1" s="1"/>
  <c r="V110" i="1"/>
  <c r="S109" i="1"/>
  <c r="A109" i="1" s="1"/>
  <c r="F157" i="1"/>
  <c r="F158" i="1"/>
  <c r="F156" i="1"/>
  <c r="F105" i="1"/>
  <c r="G105" i="1"/>
  <c r="G106" i="1" s="1"/>
  <c r="A106" i="1"/>
  <c r="F106" i="1"/>
  <c r="E3" i="1"/>
  <c r="V163" i="1"/>
  <c r="W163" i="1"/>
  <c r="V164" i="1"/>
  <c r="V189" i="6" l="1"/>
  <c r="S188" i="6"/>
  <c r="A188" i="6" s="1"/>
  <c r="V152" i="6"/>
  <c r="S151" i="6"/>
  <c r="A151" i="6" s="1"/>
  <c r="V161" i="6"/>
  <c r="S160" i="6"/>
  <c r="A160" i="6" s="1"/>
  <c r="S144" i="6"/>
  <c r="A144" i="6" s="1"/>
  <c r="V145" i="6"/>
  <c r="S145" i="6" s="1"/>
  <c r="A145" i="6" s="1"/>
  <c r="V170" i="6"/>
  <c r="S169" i="6"/>
  <c r="A169" i="6" s="1"/>
  <c r="S178" i="6"/>
  <c r="A178" i="6" s="1"/>
  <c r="V179" i="6"/>
  <c r="G89" i="1"/>
  <c r="V146" i="1"/>
  <c r="S145" i="1"/>
  <c r="A145" i="1" s="1"/>
  <c r="V137" i="1"/>
  <c r="S136" i="1"/>
  <c r="A136" i="1" s="1"/>
  <c r="V128" i="1"/>
  <c r="S127" i="1"/>
  <c r="A127" i="1" s="1"/>
  <c r="V118" i="1"/>
  <c r="S117" i="1"/>
  <c r="A117" i="1" s="1"/>
  <c r="V111" i="1"/>
  <c r="S110" i="1"/>
  <c r="A110" i="1" s="1"/>
  <c r="U165" i="1"/>
  <c r="U166" i="1" s="1"/>
  <c r="V165" i="1"/>
  <c r="W164" i="1"/>
  <c r="V190" i="6" l="1"/>
  <c r="S189" i="6"/>
  <c r="A189" i="6" s="1"/>
  <c r="S161" i="6"/>
  <c r="A161" i="6" s="1"/>
  <c r="V162" i="6"/>
  <c r="S152" i="6"/>
  <c r="A152" i="6" s="1"/>
  <c r="V153" i="6"/>
  <c r="S170" i="6"/>
  <c r="A170" i="6" s="1"/>
  <c r="V171" i="6"/>
  <c r="S179" i="6"/>
  <c r="A179" i="6" s="1"/>
  <c r="V180" i="6"/>
  <c r="V147" i="1"/>
  <c r="S146" i="1"/>
  <c r="A146" i="1" s="1"/>
  <c r="S137" i="1"/>
  <c r="A137" i="1" s="1"/>
  <c r="V138" i="1"/>
  <c r="S128" i="1"/>
  <c r="A128" i="1" s="1"/>
  <c r="V129" i="1"/>
  <c r="S118" i="1"/>
  <c r="A118" i="1" s="1"/>
  <c r="V119" i="1"/>
  <c r="V112" i="1"/>
  <c r="S111" i="1"/>
  <c r="A111" i="1" s="1"/>
  <c r="W165" i="1"/>
  <c r="W166" i="1" s="1"/>
  <c r="S164" i="1"/>
  <c r="A164" i="1" s="1"/>
  <c r="V166" i="1"/>
  <c r="U157" i="1"/>
  <c r="U158" i="1" s="1"/>
  <c r="G164" i="1"/>
  <c r="V155" i="1"/>
  <c r="G156" i="1"/>
  <c r="G157" i="1" s="1"/>
  <c r="G158" i="1" s="1"/>
  <c r="E24" i="1"/>
  <c r="E22" i="1"/>
  <c r="V156" i="1"/>
  <c r="S190" i="6" l="1"/>
  <c r="A190" i="6" s="1"/>
  <c r="V191" i="6"/>
  <c r="S191" i="6" s="1"/>
  <c r="S171" i="6"/>
  <c r="A171" i="6" s="1"/>
  <c r="V172" i="6"/>
  <c r="S172" i="6" s="1"/>
  <c r="A172" i="6" s="1"/>
  <c r="S162" i="6"/>
  <c r="A162" i="6" s="1"/>
  <c r="V163" i="6"/>
  <c r="S163" i="6" s="1"/>
  <c r="A163" i="6" s="1"/>
  <c r="S180" i="6"/>
  <c r="A180" i="6" s="1"/>
  <c r="V181" i="6"/>
  <c r="S181" i="6" s="1"/>
  <c r="A181" i="6" s="1"/>
  <c r="V154" i="6"/>
  <c r="S154" i="6" s="1"/>
  <c r="A154" i="6" s="1"/>
  <c r="S153" i="6"/>
  <c r="A153" i="6" s="1"/>
  <c r="S147" i="1"/>
  <c r="A147" i="1" s="1"/>
  <c r="V148" i="1"/>
  <c r="S138" i="1"/>
  <c r="A138" i="1" s="1"/>
  <c r="V139" i="1"/>
  <c r="V130" i="1"/>
  <c r="S129" i="1"/>
  <c r="A129" i="1" s="1"/>
  <c r="V120" i="1"/>
  <c r="S119" i="1"/>
  <c r="A119" i="1" s="1"/>
  <c r="V113" i="1"/>
  <c r="S112" i="1"/>
  <c r="A112" i="1" s="1"/>
  <c r="S166" i="1"/>
  <c r="A166" i="1" s="1"/>
  <c r="S165" i="1"/>
  <c r="A165" i="1" s="1"/>
  <c r="S156" i="1"/>
  <c r="A156" i="1" s="1"/>
  <c r="V157" i="1"/>
  <c r="S157" i="1" s="1"/>
  <c r="A157" i="1" s="1"/>
  <c r="F6" i="5"/>
  <c r="G6" i="5" s="1"/>
  <c r="F7" i="5"/>
  <c r="G7" i="5" s="1"/>
  <c r="F8" i="5"/>
  <c r="G8" i="5" s="1"/>
  <c r="F9" i="5"/>
  <c r="G9" i="5" s="1"/>
  <c r="F10" i="5"/>
  <c r="G10" i="5" s="1"/>
  <c r="F11" i="5"/>
  <c r="G11" i="5" s="1"/>
  <c r="F5" i="5"/>
  <c r="G5" i="5" s="1"/>
  <c r="V149" i="1" l="1"/>
  <c r="S149" i="1" s="1"/>
  <c r="A149" i="1" s="1"/>
  <c r="S148" i="1"/>
  <c r="A148" i="1" s="1"/>
  <c r="V140" i="1"/>
  <c r="S140" i="1" s="1"/>
  <c r="A140" i="1" s="1"/>
  <c r="S139" i="1"/>
  <c r="A139" i="1" s="1"/>
  <c r="V131" i="1"/>
  <c r="S131" i="1" s="1"/>
  <c r="A131" i="1" s="1"/>
  <c r="S130" i="1"/>
  <c r="A130" i="1" s="1"/>
  <c r="S120" i="1"/>
  <c r="A120" i="1" s="1"/>
  <c r="V121" i="1"/>
  <c r="S113" i="1"/>
  <c r="A113" i="1" s="1"/>
  <c r="V158" i="1"/>
  <c r="S158" i="1" s="1"/>
  <c r="A158" i="1" s="1"/>
  <c r="G12" i="5"/>
  <c r="V122" i="1" l="1"/>
  <c r="S122" i="1" s="1"/>
  <c r="A122" i="1" s="1"/>
  <c r="S121" i="1"/>
  <c r="A121" i="1" s="1"/>
  <c r="I59" i="1"/>
  <c r="C61" i="1" s="1"/>
  <c r="E63" i="1" s="1"/>
  <c r="G63" i="1"/>
  <c r="D58" i="1" l="1"/>
  <c r="F70" i="1"/>
  <c r="D64" i="1"/>
  <c r="D69" i="1"/>
  <c r="D68" i="1"/>
  <c r="D67" i="1"/>
  <c r="D66" i="1"/>
  <c r="D65" i="1"/>
  <c r="D63" i="1"/>
  <c r="E7" i="1" l="1"/>
  <c r="D189" i="1" l="1"/>
  <c r="F86" i="1"/>
  <c r="C45" i="1"/>
  <c r="D5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comments1.xml><?xml version="1.0" encoding="utf-8"?>
<comments xmlns="http://schemas.openxmlformats.org/spreadsheetml/2006/main">
  <authors>
    <author>SACHIN</author>
  </authors>
  <commentList>
    <comment ref="H309" authorId="0" shapeId="0">
      <text>
        <r>
          <rPr>
            <b/>
            <sz val="9"/>
            <color indexed="81"/>
            <rFont val="Tahoma"/>
            <family val="2"/>
          </rPr>
          <t>SACHIN:</t>
        </r>
        <r>
          <rPr>
            <sz val="9"/>
            <color indexed="81"/>
            <rFont val="Tahoma"/>
            <family val="2"/>
          </rPr>
          <t xml:space="preserve">
Give loading of 50% for A Category</t>
        </r>
      </text>
    </comment>
  </commentList>
</comments>
</file>

<file path=xl/sharedStrings.xml><?xml version="1.0" encoding="utf-8"?>
<sst xmlns="http://schemas.openxmlformats.org/spreadsheetml/2006/main" count="901" uniqueCount="347">
  <si>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</si>
  <si>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</si>
  <si>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</si>
  <si>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</si>
  <si>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</si>
  <si>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</si>
  <si>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</si>
  <si>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</si>
  <si>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</si>
  <si>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</si>
  <si>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</si>
  <si>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</si>
  <si>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</si>
  <si>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</si>
  <si>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</si>
  <si>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</si>
  <si>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</si>
  <si>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</si>
  <si>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</si>
  <si>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</si>
  <si>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</si>
  <si>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</si>
  <si>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</si>
  <si>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</si>
  <si>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</si>
  <si>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</si>
  <si>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</si>
  <si>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</si>
  <si>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</si>
  <si>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</si>
  <si>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</si>
  <si>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</si>
  <si>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</si>
  <si>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</si>
  <si>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</si>
  <si>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</si>
  <si>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</si>
  <si>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</si>
  <si>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</si>
  <si>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</si>
  <si>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</si>
  <si>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</si>
  <si>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</si>
  <si>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</si>
  <si>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</si>
  <si>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</si>
  <si>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</si>
  <si>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</si>
  <si>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</si>
  <si>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</si>
  <si>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</si>
  <si>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</si>
  <si>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</si>
  <si>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</si>
  <si>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</si>
  <si>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Brick</t>
  </si>
  <si>
    <t>Plaster</t>
  </si>
  <si>
    <t>Flooring</t>
  </si>
  <si>
    <t>Painting &amp; Wooden Work</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</si>
  <si>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</si>
  <si>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</si>
  <si>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</si>
  <si>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</si>
  <si>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</si>
  <si>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</si>
  <si>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</si>
  <si>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</si>
  <si>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</si>
  <si>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</si>
  <si>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</si>
  <si>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</si>
  <si>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</si>
  <si>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</si>
  <si>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</si>
  <si>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</si>
  <si>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</si>
  <si>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</si>
  <si>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</si>
  <si>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</si>
  <si>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</si>
  <si>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</si>
  <si>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</si>
  <si>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</si>
  <si>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</si>
  <si>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</si>
  <si>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</si>
  <si>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</si>
  <si>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</si>
  <si>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</si>
  <si>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</si>
  <si>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</si>
  <si>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</si>
  <si>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</si>
  <si>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</si>
  <si>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</si>
  <si>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</si>
  <si>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</si>
  <si>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</si>
  <si>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</si>
  <si>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</si>
  <si>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</si>
  <si>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</si>
  <si>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</si>
  <si>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</si>
  <si>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</si>
  <si>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</si>
  <si>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</si>
  <si>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</si>
  <si>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</si>
  <si>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</si>
  <si>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</si>
  <si>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</si>
  <si>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</si>
  <si>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</si>
  <si>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</si>
  <si>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</si>
  <si>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Accessibility to the Project from the City: (Proximity to civic amenities like school, hospital, market, etc.)</t>
  </si>
  <si>
    <t>Inspected By :</t>
  </si>
  <si>
    <t>No. of Units</t>
  </si>
  <si>
    <t>1302-ELLORA FIESTA, PLOT NO. 8, SECTOR 11, OPP. JUINAGAR RAILWAY STATION, SANPADA, NAVI MUMBAI 400 706. TEL: 022-27758396/95. FAX :022-27758394.
E mail : axisbank@vsjadon.com. vsjcvaluer@gmail.com. Web site : www.vsjadon.com</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</si>
  <si>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</si>
  <si>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</si>
  <si>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</si>
  <si>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</si>
  <si>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</si>
  <si>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</si>
  <si>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</si>
  <si>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Completed Slab/Floor</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</si>
  <si>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</si>
  <si>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</si>
  <si>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</si>
  <si>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</si>
  <si>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</si>
  <si>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</si>
  <si>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</si>
  <si>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</si>
  <si>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</si>
  <si>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</si>
  <si>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</si>
  <si>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</si>
  <si>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</si>
  <si>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</si>
  <si>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</si>
  <si>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</si>
  <si>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</si>
  <si>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</si>
  <si>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</si>
  <si>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</si>
  <si>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</si>
  <si>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</si>
  <si>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</si>
  <si>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</si>
  <si>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</si>
  <si>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</si>
  <si>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</si>
  <si>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RCC Slab</t>
  </si>
  <si>
    <t>All work Completed. Wait For OC.</t>
  </si>
  <si>
    <t>All work Completed. OC Received.</t>
  </si>
  <si>
    <t>Approved Plans, CC, Sale Plans, Builder Saleable Area, Cost Sheet</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</si>
  <si>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</si>
  <si>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</si>
  <si>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</si>
  <si>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</si>
  <si>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</si>
  <si>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</si>
  <si>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</si>
  <si>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</si>
  <si>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</si>
  <si>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</si>
  <si>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</si>
  <si>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</si>
  <si>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</si>
  <si>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</si>
  <si>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All work Completed. Provide OC.</t>
  </si>
  <si>
    <t xml:space="preserve">Wheather the construction is as per approved Building plan : </t>
  </si>
  <si>
    <t>Saleable area
Loading :</t>
  </si>
  <si>
    <t>,..,</t>
  </si>
  <si>
    <t>2nd Floor</t>
  </si>
  <si>
    <t>Shop No.
(Sale Plan)</t>
  </si>
  <si>
    <t>Flat No.
(Sale Plan)</t>
  </si>
  <si>
    <t>Contact Details ( Name &amp; Contact No.)</t>
  </si>
  <si>
    <t>01 Building</t>
  </si>
  <si>
    <t>Valid Upto 
Date</t>
  </si>
  <si>
    <t>Nearby Landmark</t>
  </si>
  <si>
    <t>022-61402200/8291076170</t>
  </si>
  <si>
    <t>M/s. Sandu Developers</t>
  </si>
  <si>
    <t>Kurla</t>
  </si>
  <si>
    <t>Mumbai</t>
  </si>
  <si>
    <t>Wing A &amp; B</t>
  </si>
  <si>
    <t>CHE/ES/2553/N/337(NEW) - CC/Amend(1)</t>
  </si>
  <si>
    <t xml:space="preserve">Valid Up to:  Zero FSI C C upto plinth as per approved plans Dt 01.02.2019
</t>
  </si>
  <si>
    <t>02/03/2019.</t>
  </si>
  <si>
    <t>01/03/2020.</t>
  </si>
  <si>
    <t xml:space="preserve">Wing A </t>
  </si>
  <si>
    <t>Basement &amp; Lower Ground Floor for Parking &amp; Amenities</t>
  </si>
  <si>
    <t>Basement &amp; Lower Ground Floor for Commercial &amp; Amenities</t>
  </si>
  <si>
    <t>Wing B</t>
  </si>
  <si>
    <t>Shop</t>
  </si>
  <si>
    <t>Ground Floor for Commercial</t>
  </si>
  <si>
    <t>Ground Floor for Parking</t>
  </si>
  <si>
    <t>1st Floor</t>
  </si>
  <si>
    <t>Office</t>
  </si>
  <si>
    <t>1st Floor for Residential</t>
  </si>
  <si>
    <t>1BHK</t>
  </si>
  <si>
    <t>2BHK</t>
  </si>
  <si>
    <t>3rd, 5th, 6th &amp; 8th Floor</t>
  </si>
  <si>
    <t>4th Floor</t>
  </si>
  <si>
    <t>7th Floor(Part Refuge Floor)</t>
  </si>
  <si>
    <t>Refue Area</t>
  </si>
  <si>
    <t>Commercial Area Details : Shop</t>
  </si>
  <si>
    <t>Commercial Area Details : Office</t>
  </si>
  <si>
    <t>Wing A</t>
  </si>
  <si>
    <t>Harshada</t>
  </si>
  <si>
    <t>Flats - 23, Shops - 06, Offices - 62</t>
  </si>
  <si>
    <t xml:space="preserve">As per RERA - 31/12/2025
</t>
  </si>
  <si>
    <t>Wing A &amp; B = Basement + Lower Gr + Gr + 8th Floor</t>
  </si>
  <si>
    <t xml:space="preserve">1.Construction work is in process at the time of Visit (labour found).
2. We considered  Saleable area  as per our calculation.
3. We considered Carpet area as per Approved Plan.
4. We considered Gross carpet area = Net carpet.
5. We have considered rate by verifying it from market inquire.
6. Car parking is subjected to authentic documentation.
7. On Site, we meet Mr.Monish(Sales)(8291037319).
</t>
  </si>
  <si>
    <t>Central bank of India</t>
  </si>
  <si>
    <t>Sandu Sankar Project</t>
  </si>
  <si>
    <t>Lal Bahadur Shashtri Marg</t>
  </si>
  <si>
    <t>Building</t>
  </si>
  <si>
    <t>Doshi Wadi</t>
  </si>
  <si>
    <t>0.5Km from Ghatkopar Railway Station</t>
  </si>
  <si>
    <t>Ghatkopar</t>
  </si>
  <si>
    <t>Construction details: Wing A &amp; B = Basement + Lower Gr + Gr + 11th Floor</t>
  </si>
  <si>
    <r>
      <t xml:space="preserve">Shop No.
</t>
    </r>
    <r>
      <rPr>
        <b/>
        <sz val="11"/>
        <rFont val="Times New Roman"/>
        <family val="1"/>
      </rPr>
      <t>(Approved Plan)</t>
    </r>
  </si>
  <si>
    <r>
      <t xml:space="preserve">Flat No.
</t>
    </r>
    <r>
      <rPr>
        <b/>
        <sz val="11"/>
        <rFont val="Times New Roman"/>
        <family val="1"/>
      </rPr>
      <t>(Approved Plan)</t>
    </r>
  </si>
  <si>
    <t>Axis Sanpada</t>
  </si>
  <si>
    <t>12/05/2021.</t>
  </si>
  <si>
    <t>CHE/ES/2553/N/337(NEW)</t>
  </si>
  <si>
    <t xml:space="preserve">Nainesh </t>
  </si>
  <si>
    <t xml:space="preserve">W2.O By Sandu Developers - P51800027979
</t>
  </si>
  <si>
    <t>Name &amp; RERA No.</t>
  </si>
  <si>
    <t>Sandu W2.O</t>
  </si>
  <si>
    <t>3209 (old CTS No. 3208 &amp; 3209)</t>
  </si>
  <si>
    <t>New CTS No</t>
  </si>
  <si>
    <r>
      <rPr>
        <sz val="12"/>
        <color rgb="FFFF0000"/>
        <rFont val="Times New Roman"/>
        <family val="1"/>
      </rPr>
      <t>Sandu W2.O</t>
    </r>
    <r>
      <rPr>
        <sz val="12"/>
        <rFont val="Times New Roman"/>
        <family val="1"/>
      </rPr>
      <t>, Proposed Redevelopment On Plot Bearing new C.T.S. No. 3209</t>
    </r>
    <r>
      <rPr>
        <sz val="12"/>
        <color rgb="FFFF0000"/>
        <rFont val="Times New Roman"/>
        <family val="1"/>
      </rPr>
      <t xml:space="preserve"> (old CTS No. 3208 &amp; 3209)</t>
    </r>
    <r>
      <rPr>
        <sz val="12"/>
        <rFont val="Times New Roman"/>
        <family val="1"/>
      </rPr>
      <t xml:space="preserve"> of village Ghatkopar, L.B.S. Marg at Ghatkopar (west), </t>
    </r>
    <r>
      <rPr>
        <sz val="12"/>
        <color rgb="FFFF0000"/>
        <rFont val="Times New Roman"/>
        <family val="1"/>
      </rPr>
      <t>Mumbai.</t>
    </r>
    <r>
      <rPr>
        <sz val="12"/>
        <rFont val="Times New Roman"/>
        <family val="1"/>
      </rPr>
      <t xml:space="preserve">
</t>
    </r>
  </si>
  <si>
    <t xml:space="preserve">Valid Up to: Approved as proposed, CC is revalidated from 02.03.2020 upto 01.03.2021
</t>
  </si>
  <si>
    <t>Commercial wing A = Basement + Ground + 1st &amp; 8th floor
Residential wing B = Basement + Ground / Stilt + 1st to 11th floor</t>
  </si>
  <si>
    <t>01/02/2019.</t>
  </si>
  <si>
    <t>Ghatkopar Kirol</t>
  </si>
  <si>
    <t>6,00,000/-</t>
  </si>
  <si>
    <t>Approved Plans, CC</t>
  </si>
  <si>
    <t>2 Wings</t>
  </si>
  <si>
    <t>3rd, 5th &amp; 6th Floor</t>
  </si>
  <si>
    <t>8th Floor</t>
  </si>
  <si>
    <t xml:space="preserve">A Wing </t>
  </si>
  <si>
    <t xml:space="preserve">B Wing </t>
  </si>
  <si>
    <t>Refuge Area</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</si>
  <si>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</si>
  <si>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</si>
  <si>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</si>
  <si>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</si>
  <si>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</si>
  <si>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</si>
  <si>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</si>
  <si>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</si>
  <si>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</si>
  <si>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</si>
  <si>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</si>
  <si>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</si>
  <si>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</si>
  <si>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</si>
  <si>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</si>
  <si>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</si>
  <si>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</si>
  <si>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</si>
  <si>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Commercial A Wing  = Basement + Ground + 1st &amp; 11th Floor
Residential wing B = Basement + Ground/Stilt + 1st to 11th Floor</t>
  </si>
  <si>
    <t>Residential B wing  = Basement + Ground/Stilt + 1st to 11th Floor</t>
  </si>
  <si>
    <t>Ghatkopar West</t>
  </si>
  <si>
    <t>A Wing Shops</t>
  </si>
  <si>
    <t>A Wing Offices</t>
  </si>
  <si>
    <t xml:space="preserve">Commercial Area Details : </t>
  </si>
  <si>
    <t>B Wing Flats</t>
  </si>
  <si>
    <t>Basement/ Lower Floor for Commercial</t>
  </si>
  <si>
    <t xml:space="preserve">As per RERA - 30/06/2026
</t>
  </si>
  <si>
    <t>Photographs Of property:</t>
  </si>
  <si>
    <t>On Saleable area</t>
  </si>
  <si>
    <t xml:space="preserve">Recommended rate of the flat Per Sq. Ft. </t>
  </si>
  <si>
    <t>Recommended rate of the shop Per Sq. Ft.</t>
  </si>
  <si>
    <t>Recommended rate of the Office Per Sq. Ft.</t>
  </si>
  <si>
    <t>Latitude, Longitude</t>
  </si>
  <si>
    <t>Location Link</t>
  </si>
  <si>
    <t>https://goo.gl/maps/t2q2mvqYi9Mcdf818</t>
  </si>
  <si>
    <t xml:space="preserve">Office No. 1031, Wing J, Akshar Business Park, Plot No. 03 Sector 25, Near APMC Market, 
Vashi, Navi Mumbai, Maharashtra 400703 TEL: 022-46090378/79/80                                                                                                     Email : vsjcapf@gmail.com. Web site : www.vsjadon.com
</t>
  </si>
  <si>
    <t>Name of the Project as per RERA</t>
  </si>
  <si>
    <t>W2.O By Sandu Developers</t>
  </si>
  <si>
    <t>P51800027979</t>
  </si>
  <si>
    <t xml:space="preserve">Sandu W2.O, Proposed Redevelopment On Plot Bearing new C.T.S. No. 3209 (old CTS No. 3208 &amp; 3209) of village Ghatkopar, L.B.S. Marg at Ghatkopar (west), Mumbai - 400086
</t>
  </si>
  <si>
    <t>19.08875023,72.90718733</t>
  </si>
  <si>
    <t>Commencement Certificate No.
Valid Up to:</t>
  </si>
  <si>
    <t>Sandu W2.O By Sandu Developers</t>
  </si>
  <si>
    <t>CHE/ES/2553/N/337(NEW)/337/6/Amend</t>
  </si>
  <si>
    <t>CHE/ES/2553/N/337(NEW)/FCC/3/Amend</t>
  </si>
  <si>
    <t>Re-endorsement of Plinth C.C. for extended portion of Wing "A" in CTS No. 3210 of village Ghatkopar-Kirol and Further C.C. of Wing "A" upto top of LMR/OHWT excluding the extended portion and Further C.C. up to 9th Floor of Wing "B" (restricting the C.C. of 10th &amp; 11th upper floor of Wing "B" for availing installment facility and for plot area not in possession) as per the approved amended plans dated 30.07.2024</t>
  </si>
  <si>
    <t>Commercial Area Details :</t>
  </si>
  <si>
    <t>Grand Total</t>
  </si>
  <si>
    <t>Building Details Floor Wise</t>
  </si>
  <si>
    <t xml:space="preserve">Details of Residential &amp; Commercials in Building   </t>
  </si>
  <si>
    <t>Shop No. (Sale Plan)</t>
  </si>
  <si>
    <t>Carpet area</t>
  </si>
  <si>
    <t>Attached Loft area</t>
  </si>
  <si>
    <t>Saleable area Loading :</t>
  </si>
  <si>
    <t>Flat No. (Sale Plan)</t>
  </si>
  <si>
    <t>Carpet Area</t>
  </si>
  <si>
    <t>Ground Floor For Bank, Entrance Lobby &amp; Parking</t>
  </si>
  <si>
    <t>1st Floor For Bank (Duplex with Ground Floor)</t>
  </si>
  <si>
    <t>2nd Floor For Commercial</t>
  </si>
  <si>
    <t>3rd Floor</t>
  </si>
  <si>
    <t>4th &amp; 6th Floor</t>
  </si>
  <si>
    <t>5th &amp; 8th Floor</t>
  </si>
  <si>
    <t>7th Floor (Part Refuge Area)</t>
  </si>
  <si>
    <t>9th Floor</t>
  </si>
  <si>
    <t>10th Floor</t>
  </si>
  <si>
    <t>Commercial A Wing  = Basement + Ground + 1st &amp; 10th Floor
Residential B wing  = Basement + Ground/Stilt + 1st to 11th Floor</t>
  </si>
  <si>
    <t>Basement &amp; Lower Ground Floor for Puzzle Parking Pit</t>
  </si>
  <si>
    <t>Ground Floor for Entrance Lobby &amp; Parking</t>
  </si>
  <si>
    <t>1st Floor For Residential</t>
  </si>
  <si>
    <t>1.5BHK</t>
  </si>
  <si>
    <t>Balcony Area</t>
  </si>
  <si>
    <t>-</t>
  </si>
  <si>
    <t>10th &amp; 11th Floor</t>
  </si>
  <si>
    <t>Wing A Shops</t>
  </si>
  <si>
    <t xml:space="preserve">Wing A Offices </t>
  </si>
  <si>
    <t>Wing B Flats</t>
  </si>
  <si>
    <t>Bank 1 (Duplex with 1st Floor)</t>
  </si>
  <si>
    <t>Bank 2 (Duplex with 1st Floor)</t>
  </si>
  <si>
    <t>Flats - 32, Shops - 3, Offices - 70, Bank - 02</t>
  </si>
  <si>
    <t>CHE/ES/2553/N/337(NEW)/OCC/1/New
Approved upto : Part occupation comprising of Ground + 1st upper floor
for Bank user i.e. bank Number 1 of wing "A"</t>
  </si>
  <si>
    <t>CHE/ES/2553/N/337(NEW)/OCC/1/New
Approved upto : Part Occupation/BCC for Bank 02 and 03 at Ground +1st
floor of Wing A</t>
  </si>
  <si>
    <t xml:space="preserve">Violations Observed if any : </t>
  </si>
  <si>
    <t>Approved area of Building (Sq.Mt)</t>
  </si>
  <si>
    <t>Wing A, B &amp; C Total</t>
  </si>
  <si>
    <t>Wing A&amp; C BUA combined hence wing A &amp; B BUA not mentioned</t>
  </si>
  <si>
    <t>LBS Marg &amp; Sandu Sarkar</t>
  </si>
  <si>
    <t>LBS Marg</t>
  </si>
  <si>
    <t>Sandu Sarkar</t>
  </si>
  <si>
    <t>30.50 M. Wide Road</t>
  </si>
  <si>
    <t>Other Plot</t>
  </si>
  <si>
    <t>Layout :</t>
  </si>
  <si>
    <t>S</t>
  </si>
  <si>
    <t xml:space="preserve">Part 1 O. Certificate No.: </t>
  </si>
  <si>
    <t xml:space="preserve">Part 2 O. Certificate No.: </t>
  </si>
  <si>
    <t xml:space="preserve">As per carpet area table Office No 4, 5 &amp; Office No. 6, 7, 8 are merged but 
as per floor plan all offices are separate </t>
  </si>
  <si>
    <t>Pooja</t>
  </si>
  <si>
    <t xml:space="preserve">Akash Kadam </t>
  </si>
  <si>
    <t>1. Construction work has incresed as compare to last visited date 24/07/2025 but at the time of visit no labour or no active work found on site (Very slow speed).
As we confirm the construction status with the surrounding locality and agents, and as per them also, the construction work is very slow.
2. We considered Saleable area as per our calculation.
3. We considered Carpet area as per Approved Plan.
4. We considered Gross carpet area = Net carpet + Balcony Area.
5. We have considered rate by verifying it from market inquire.
6. Recommended rate should be considered as all inclusive rate if other charges are not 
    mentioned. (Excluding GST &amp; other government Taxes)
7. Car parking is subjected to authentic documentation.
8. We have updated revised approved floor plan &amp; CC from MCGM (on 25/07/2025).
9. We have updated Part 1 &amp; 2 OC from MCGM (on 25/07/2025).
10. As per the latest approved plans &amp; CC, New CTS No. 3210 &amp; Wing C is added. 
      But CTS No. 3210 &amp; Wing C is not registered on the RERA site.
      Therefore, We have asked to draft only Wing A &amp; B by bank official on mail.
11. On site we met Mr. Narendra : 8291096806.
10. Validity of CC is expired on 01/03/2020. Please verify C.C before Disbursement.
11. Please provide revised latest CC.
8. On Site, we meet Mr.Rohit (Sales) - 7700905333.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</si>
</sst>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00_);_(* \(#,##0.00\);_(* &quot;-&quot;??_);_(@_)"/>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5"/>
      <name val="Times New Roman"/>
      <family val="1"/>
    </font>
    <font>
      <b/>
      <sz val="11"/>
      <name val="Times New Roman"/>
      <family val="1"/>
    </font>
    <font>
      <sz val="11"/>
      <color theme="1"/>
      <name val="Calibri"/>
      <family val="2"/>
    </font>
    <font>
      <u/>
      <sz val="11"/>
      <color theme="10"/>
      <name val="Calibri"/>
      <family val="2"/>
    </font>
    <font>
      <b/>
      <sz val="12"/>
      <color rgb="FFFF0000"/>
      <name val="Times New Roman"/>
      <family val="1"/>
    </font>
    <font>
      <b/>
      <sz val="9"/>
      <color indexed="81"/>
      <name val="Tahoma"/>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0">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7" fillId="0" borderId="0"/>
    <xf numFmtId="9" fontId="18" fillId="0" borderId="0" applyFont="0" applyFill="0" applyBorder="0" applyAlignment="0" applyProtection="0"/>
    <xf numFmtId="0" fontId="22" fillId="0" borderId="0" applyNumberFormat="0" applyFill="0" applyBorder="0" applyAlignment="0" applyProtection="0"/>
  </cellStyleXfs>
  <cellXfs count="277">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3" borderId="1" xfId="0" applyFill="1" applyBorder="1"/>
    <xf numFmtId="0" fontId="0" fillId="0" borderId="2" xfId="0" applyBorder="1"/>
    <xf numFmtId="0" fontId="8" fillId="0" borderId="1" xfId="0" applyFont="1" applyBorder="1"/>
    <xf numFmtId="0" fontId="8" fillId="0" borderId="1" xfId="0" applyFont="1" applyBorder="1" applyAlignment="1">
      <alignment horizontal="center"/>
    </xf>
    <xf numFmtId="0" fontId="0" fillId="0" borderId="1" xfId="0" applyBorder="1"/>
    <xf numFmtId="0" fontId="6" fillId="0" borderId="0" xfId="1" applyFont="1"/>
    <xf numFmtId="0" fontId="5" fillId="0" borderId="0" xfId="2" applyFont="1"/>
    <xf numFmtId="0" fontId="6" fillId="0" borderId="0" xfId="0" applyFont="1"/>
    <xf numFmtId="0" fontId="10" fillId="0" borderId="0" xfId="1" applyFont="1"/>
    <xf numFmtId="0" fontId="13" fillId="0" borderId="0" xfId="1" applyFont="1"/>
    <xf numFmtId="0" fontId="14" fillId="0" borderId="0" xfId="1" applyFont="1"/>
    <xf numFmtId="0" fontId="10" fillId="2" borderId="1" xfId="1" applyFont="1" applyFill="1" applyBorder="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10" fillId="0" borderId="7" xfId="1" applyFont="1" applyBorder="1" applyAlignment="1" applyProtection="1">
      <alignment horizontal="center" vertical="top"/>
      <protection locked="0"/>
    </xf>
    <xf numFmtId="0" fontId="4" fillId="0" borderId="0" xfId="4"/>
    <xf numFmtId="0" fontId="1" fillId="0" borderId="0" xfId="5"/>
    <xf numFmtId="0" fontId="8" fillId="0" borderId="1" xfId="5" applyFont="1" applyBorder="1" applyAlignment="1">
      <alignment horizontal="center" vertical="top" wrapText="1"/>
    </xf>
    <xf numFmtId="0" fontId="16"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5" fillId="0" borderId="1" xfId="5" applyNumberFormat="1" applyFont="1" applyBorder="1" applyAlignment="1">
      <alignment horizontal="center" vertical="center"/>
    </xf>
    <xf numFmtId="0" fontId="4" fillId="0" borderId="1" xfId="4" applyBorder="1" applyAlignment="1">
      <alignment horizontal="center" vertical="center"/>
    </xf>
    <xf numFmtId="1" fontId="6" fillId="0" borderId="0" xfId="1" applyNumberFormat="1" applyFont="1" applyAlignment="1">
      <alignment horizontal="center" vertical="center"/>
    </xf>
    <xf numFmtId="0" fontId="10" fillId="2" borderId="1" xfId="1" applyFont="1" applyFill="1" applyBorder="1" applyAlignment="1" applyProtection="1">
      <alignment vertical="top" wrapText="1"/>
      <protection locked="0"/>
    </xf>
    <xf numFmtId="0" fontId="10" fillId="2" borderId="1" xfId="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0" fontId="11" fillId="2" borderId="1" xfId="1" applyFont="1" applyFill="1" applyBorder="1" applyAlignment="1" applyProtection="1">
      <alignment horizontal="left" vertical="top"/>
      <protection locked="0"/>
    </xf>
    <xf numFmtId="0" fontId="10" fillId="0" borderId="0" xfId="1" applyFont="1" applyProtection="1">
      <protection hidden="1"/>
    </xf>
    <xf numFmtId="0" fontId="10" fillId="0" borderId="14" xfId="1" applyFont="1" applyBorder="1" applyProtection="1">
      <protection hidden="1"/>
    </xf>
    <xf numFmtId="0" fontId="10" fillId="0" borderId="15" xfId="1" applyFont="1" applyBorder="1" applyProtection="1">
      <protection hidden="1"/>
    </xf>
    <xf numFmtId="0" fontId="10" fillId="0" borderId="16" xfId="1" applyFont="1" applyBorder="1" applyProtection="1">
      <protection hidden="1"/>
    </xf>
    <xf numFmtId="0" fontId="10" fillId="0" borderId="8" xfId="1" applyFont="1" applyBorder="1" applyAlignment="1" applyProtection="1">
      <alignment horizontal="center" vertical="top"/>
      <protection locked="0"/>
    </xf>
    <xf numFmtId="0" fontId="10" fillId="0" borderId="17" xfId="1" applyFont="1" applyBorder="1" applyProtection="1">
      <protection hidden="1"/>
    </xf>
    <xf numFmtId="0" fontId="10" fillId="0" borderId="18" xfId="1" applyFont="1" applyBorder="1" applyProtection="1">
      <protection hidden="1"/>
    </xf>
    <xf numFmtId="0" fontId="10" fillId="0" borderId="1" xfId="1" applyFont="1" applyBorder="1" applyAlignment="1" applyProtection="1">
      <alignment horizontal="center" vertical="top" wrapText="1"/>
      <protection locked="0"/>
    </xf>
    <xf numFmtId="0" fontId="10" fillId="0" borderId="18" xfId="1" applyFont="1" applyBorder="1"/>
    <xf numFmtId="0" fontId="10" fillId="0" borderId="1" xfId="1" applyFont="1" applyBorder="1" applyAlignment="1" applyProtection="1">
      <alignment horizontal="center" wrapText="1"/>
      <protection locked="0"/>
    </xf>
    <xf numFmtId="9" fontId="10" fillId="2" borderId="1" xfId="1" applyNumberFormat="1" applyFont="1" applyFill="1" applyBorder="1" applyAlignment="1" applyProtection="1">
      <alignment horizontal="center" vertical="center" wrapText="1"/>
      <protection hidden="1"/>
    </xf>
    <xf numFmtId="0" fontId="10" fillId="0" borderId="17" xfId="1" applyFont="1" applyBorder="1"/>
    <xf numFmtId="1" fontId="10" fillId="0" borderId="1" xfId="1" applyNumberFormat="1" applyFont="1" applyBorder="1" applyAlignment="1" applyProtection="1">
      <alignment horizontal="center" wrapText="1"/>
      <protection locked="0"/>
    </xf>
    <xf numFmtId="0" fontId="12" fillId="0" borderId="17" xfId="0" applyFont="1" applyBorder="1" applyProtection="1">
      <protection hidden="1"/>
    </xf>
    <xf numFmtId="9" fontId="12" fillId="0" borderId="0" xfId="0" applyNumberFormat="1" applyFont="1" applyProtection="1">
      <protection hidden="1"/>
    </xf>
    <xf numFmtId="9" fontId="12" fillId="0" borderId="18" xfId="0" applyNumberFormat="1" applyFont="1" applyBorder="1" applyProtection="1">
      <protection hidden="1"/>
    </xf>
    <xf numFmtId="0" fontId="10" fillId="0" borderId="10" xfId="1" applyFont="1" applyBorder="1" applyAlignment="1" applyProtection="1">
      <alignment horizontal="center" wrapText="1"/>
      <protection locked="0"/>
    </xf>
    <xf numFmtId="9" fontId="10" fillId="2" borderId="10" xfId="1" applyNumberFormat="1" applyFont="1" applyFill="1" applyBorder="1" applyAlignment="1" applyProtection="1">
      <alignment horizontal="center" vertical="center" wrapText="1"/>
      <protection hidden="1"/>
    </xf>
    <xf numFmtId="0" fontId="12" fillId="0" borderId="19" xfId="0" applyFont="1" applyBorder="1" applyProtection="1">
      <protection hidden="1"/>
    </xf>
    <xf numFmtId="9" fontId="12" fillId="0" borderId="20" xfId="0" applyNumberFormat="1" applyFont="1" applyBorder="1" applyProtection="1">
      <protection hidden="1"/>
    </xf>
    <xf numFmtId="9" fontId="12" fillId="0" borderId="21" xfId="0" applyNumberFormat="1" applyFont="1" applyBorder="1" applyProtection="1">
      <protection hidden="1"/>
    </xf>
    <xf numFmtId="0" fontId="12" fillId="0" borderId="0" xfId="1" applyFont="1"/>
    <xf numFmtId="0" fontId="10" fillId="0" borderId="0" xfId="2" applyFont="1"/>
    <xf numFmtId="0" fontId="10" fillId="0" borderId="0" xfId="0" applyFont="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25" xfId="8" applyFont="1" applyFill="1" applyBorder="1" applyAlignment="1" applyProtection="1">
      <alignment horizontal="center" vertical="top" wrapText="1"/>
      <protection locked="0"/>
    </xf>
    <xf numFmtId="0" fontId="10" fillId="0" borderId="0" xfId="1" applyFont="1" applyAlignment="1">
      <alignment horizontal="center" vertical="center"/>
    </xf>
    <xf numFmtId="1" fontId="10" fillId="0" borderId="1" xfId="1" applyNumberFormat="1" applyFont="1" applyBorder="1" applyAlignment="1" applyProtection="1">
      <alignment horizontal="center" vertical="center" wrapText="1"/>
      <protection locked="0"/>
    </xf>
    <xf numFmtId="1" fontId="10" fillId="0" borderId="0" xfId="1" applyNumberFormat="1" applyFont="1" applyAlignment="1">
      <alignment horizontal="center" vertical="center"/>
    </xf>
    <xf numFmtId="0" fontId="10" fillId="0" borderId="0" xfId="0" applyFont="1"/>
    <xf numFmtId="0" fontId="11" fillId="0" borderId="0" xfId="1" applyFont="1" applyAlignment="1" applyProtection="1">
      <alignment vertical="top"/>
      <protection locked="0"/>
    </xf>
    <xf numFmtId="0" fontId="11" fillId="0" borderId="0" xfId="1" applyFont="1" applyAlignment="1" applyProtection="1">
      <alignment vertical="top" wrapText="1"/>
      <protection locked="0"/>
    </xf>
    <xf numFmtId="0" fontId="10" fillId="0" borderId="0" xfId="1" applyFont="1" applyProtection="1">
      <protection locked="0"/>
    </xf>
    <xf numFmtId="0" fontId="6" fillId="0" borderId="15" xfId="1" applyFont="1" applyBorder="1" applyProtection="1">
      <protection hidden="1"/>
    </xf>
    <xf numFmtId="0" fontId="6" fillId="0" borderId="0" xfId="1" applyFont="1" applyProtection="1">
      <protection hidden="1"/>
    </xf>
    <xf numFmtId="0" fontId="6" fillId="0" borderId="8" xfId="1" applyFont="1" applyBorder="1" applyAlignment="1" applyProtection="1">
      <alignment horizontal="center" vertical="top"/>
      <protection locked="0"/>
    </xf>
    <xf numFmtId="0" fontId="14" fillId="0" borderId="0" xfId="0" applyFont="1" applyProtection="1">
      <protection hidden="1"/>
    </xf>
    <xf numFmtId="0" fontId="14" fillId="0" borderId="20" xfId="0" applyFont="1" applyBorder="1" applyProtection="1">
      <protection hidden="1"/>
    </xf>
    <xf numFmtId="0" fontId="10"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10" fillId="0" borderId="1" xfId="1" applyFont="1" applyBorder="1" applyAlignment="1" applyProtection="1">
      <alignment vertical="top"/>
      <protection locked="0"/>
    </xf>
    <xf numFmtId="0" fontId="10" fillId="0" borderId="1" xfId="1" applyFont="1" applyBorder="1" applyAlignment="1" applyProtection="1">
      <alignment vertical="top" wrapText="1"/>
      <protection locked="0"/>
    </xf>
    <xf numFmtId="0" fontId="6" fillId="0" borderId="16" xfId="1" applyFont="1" applyBorder="1" applyProtection="1">
      <protection hidden="1"/>
    </xf>
    <xf numFmtId="0" fontId="6" fillId="0" borderId="18" xfId="1" applyFont="1" applyBorder="1" applyProtection="1">
      <protection hidden="1"/>
    </xf>
    <xf numFmtId="0" fontId="21" fillId="0" borderId="0" xfId="0" applyFont="1"/>
    <xf numFmtId="0" fontId="6" fillId="0" borderId="18" xfId="1" applyFont="1" applyBorder="1"/>
    <xf numFmtId="0" fontId="6" fillId="0" borderId="1" xfId="1" applyFont="1" applyBorder="1" applyAlignment="1" applyProtection="1">
      <alignment horizontal="center" wrapText="1"/>
      <protection locked="0"/>
    </xf>
    <xf numFmtId="9" fontId="6" fillId="0" borderId="1" xfId="1" applyNumberFormat="1" applyFont="1" applyBorder="1" applyAlignment="1" applyProtection="1">
      <alignment horizontal="center" vertical="center" wrapText="1"/>
      <protection hidden="1"/>
    </xf>
    <xf numFmtId="0" fontId="14" fillId="0" borderId="18" xfId="0" applyFont="1" applyBorder="1" applyProtection="1">
      <protection hidden="1"/>
    </xf>
    <xf numFmtId="1" fontId="6" fillId="0" borderId="1" xfId="1" applyNumberFormat="1" applyFont="1" applyBorder="1" applyAlignment="1" applyProtection="1">
      <alignment horizontal="center" wrapText="1"/>
      <protection locked="0"/>
    </xf>
    <xf numFmtId="1" fontId="21" fillId="0" borderId="18" xfId="0" applyNumberFormat="1" applyFont="1" applyBorder="1"/>
    <xf numFmtId="2" fontId="21" fillId="0" borderId="0" xfId="0" applyNumberFormat="1" applyFont="1"/>
    <xf numFmtId="164" fontId="21" fillId="0" borderId="0" xfId="0" applyNumberFormat="1" applyFont="1"/>
    <xf numFmtId="2" fontId="14" fillId="0" borderId="0" xfId="0" applyNumberFormat="1" applyFont="1" applyProtection="1">
      <protection hidden="1"/>
    </xf>
    <xf numFmtId="1" fontId="21" fillId="0" borderId="18" xfId="0" applyNumberFormat="1" applyFont="1" applyBorder="1" applyAlignment="1">
      <alignment horizontal="right"/>
    </xf>
    <xf numFmtId="0" fontId="6" fillId="0" borderId="10" xfId="1" applyFont="1" applyBorder="1" applyAlignment="1" applyProtection="1">
      <alignment horizontal="center" wrapText="1"/>
      <protection locked="0"/>
    </xf>
    <xf numFmtId="9" fontId="6" fillId="0" borderId="10" xfId="1" applyNumberFormat="1" applyFont="1" applyBorder="1" applyAlignment="1" applyProtection="1">
      <alignment horizontal="center" vertical="center" wrapText="1"/>
      <protection hidden="1"/>
    </xf>
    <xf numFmtId="1" fontId="21" fillId="0" borderId="21" xfId="0" applyNumberFormat="1" applyFont="1" applyBorder="1"/>
    <xf numFmtId="0" fontId="11" fillId="0" borderId="0" xfId="1" applyFont="1" applyProtection="1">
      <protection locked="0"/>
    </xf>
    <xf numFmtId="1" fontId="10" fillId="0" borderId="29" xfId="1" applyNumberFormat="1" applyFont="1" applyBorder="1" applyAlignment="1" applyProtection="1">
      <alignment horizontal="center" vertical="center" wrapText="1"/>
      <protection locked="0"/>
    </xf>
    <xf numFmtId="1" fontId="10" fillId="0" borderId="2"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2" fontId="6" fillId="0" borderId="0" xfId="1" applyNumberFormat="1" applyFont="1" applyAlignment="1">
      <alignment horizontal="center" vertical="center"/>
    </xf>
    <xf numFmtId="0" fontId="23" fillId="0" borderId="31" xfId="1" applyFont="1" applyBorder="1" applyAlignment="1">
      <alignment vertical="center" wrapText="1"/>
    </xf>
    <xf numFmtId="0" fontId="23" fillId="0" borderId="0" xfId="1" applyFont="1" applyAlignment="1">
      <alignment vertical="center" wrapText="1"/>
    </xf>
    <xf numFmtId="1" fontId="5" fillId="0" borderId="0" xfId="1" applyNumberFormat="1" applyFont="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1" xfId="1" applyFont="1" applyBorder="1" applyAlignment="1" applyProtection="1">
      <alignment horizontal="center" vertical="top"/>
      <protection locked="0"/>
    </xf>
    <xf numFmtId="0" fontId="10"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33" xfId="1" applyFont="1" applyBorder="1" applyAlignment="1" applyProtection="1">
      <alignment horizontal="left" vertical="top" wrapText="1"/>
      <protection locked="0"/>
    </xf>
    <xf numFmtId="0" fontId="10" fillId="0" borderId="0" xfId="1" applyFont="1" applyAlignment="1">
      <alignment horizontal="center" vertical="center"/>
    </xf>
    <xf numFmtId="1" fontId="10" fillId="0" borderId="12" xfId="1" applyNumberFormat="1" applyFont="1" applyBorder="1" applyAlignment="1" applyProtection="1">
      <alignment horizontal="center" vertical="center" wrapText="1"/>
      <protection locked="0"/>
    </xf>
    <xf numFmtId="1" fontId="10" fillId="0" borderId="30" xfId="1" applyNumberFormat="1" applyFont="1" applyBorder="1" applyAlignment="1" applyProtection="1">
      <alignment horizontal="center" vertical="center" wrapText="1"/>
      <protection locked="0"/>
    </xf>
    <xf numFmtId="1" fontId="10" fillId="0" borderId="13" xfId="1" applyNumberFormat="1" applyFont="1" applyBorder="1" applyAlignment="1" applyProtection="1">
      <alignment horizontal="center" vertical="center" wrapText="1"/>
      <protection locked="0"/>
    </xf>
    <xf numFmtId="0" fontId="19"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67"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center" wrapText="1"/>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0" fillId="0" borderId="1"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1" fillId="0" borderId="12" xfId="1" applyFont="1" applyBorder="1" applyAlignment="1" applyProtection="1">
      <alignment horizontal="left"/>
      <protection locked="0"/>
    </xf>
    <xf numFmtId="0" fontId="11" fillId="0" borderId="30" xfId="1" applyFont="1" applyBorder="1" applyAlignment="1" applyProtection="1">
      <alignment horizontal="left"/>
      <protection locked="0"/>
    </xf>
    <xf numFmtId="0" fontId="11" fillId="0" borderId="13" xfId="1" applyFont="1" applyBorder="1" applyAlignment="1" applyProtection="1">
      <alignment horizontal="left"/>
      <protection locked="0"/>
    </xf>
    <xf numFmtId="0" fontId="22" fillId="0" borderId="12" xfId="9" applyFill="1" applyBorder="1" applyAlignment="1" applyProtection="1">
      <alignment horizontal="left"/>
      <protection locked="0"/>
    </xf>
    <xf numFmtId="0" fontId="10" fillId="0" borderId="30" xfId="1" applyFont="1" applyBorder="1" applyAlignment="1" applyProtection="1">
      <alignment horizontal="left"/>
      <protection locked="0"/>
    </xf>
    <xf numFmtId="0" fontId="10" fillId="0" borderId="13" xfId="1" applyFont="1" applyBorder="1" applyAlignment="1" applyProtection="1">
      <alignment horizontal="left"/>
      <protection locked="0"/>
    </xf>
    <xf numFmtId="164" fontId="10"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wrapText="1"/>
      <protection locked="0"/>
    </xf>
    <xf numFmtId="0" fontId="10" fillId="0" borderId="26" xfId="1" applyFont="1" applyBorder="1" applyAlignment="1" applyProtection="1">
      <alignment horizontal="left" vertical="top" wrapText="1"/>
      <protection locked="0"/>
    </xf>
    <xf numFmtId="0" fontId="10" fillId="0" borderId="27" xfId="1" applyFont="1" applyBorder="1" applyAlignment="1" applyProtection="1">
      <alignment horizontal="left" vertical="top" wrapText="1"/>
      <protection locked="0"/>
    </xf>
    <xf numFmtId="0" fontId="10" fillId="0" borderId="28" xfId="1" applyFont="1" applyBorder="1" applyAlignment="1" applyProtection="1">
      <alignment horizontal="left" vertical="top" wrapText="1"/>
      <protection locked="0"/>
    </xf>
    <xf numFmtId="0" fontId="10" fillId="0" borderId="29" xfId="1" applyFont="1" applyBorder="1" applyAlignment="1" applyProtection="1">
      <alignment horizontal="left" vertical="top" wrapText="1"/>
      <protection locked="0"/>
    </xf>
    <xf numFmtId="0" fontId="10" fillId="0" borderId="31" xfId="1" applyFont="1" applyBorder="1" applyAlignment="1" applyProtection="1">
      <alignment horizontal="left" vertical="top" wrapText="1"/>
      <protection locked="0"/>
    </xf>
    <xf numFmtId="0" fontId="10" fillId="0" borderId="32" xfId="1" applyFont="1" applyBorder="1" applyAlignment="1" applyProtection="1">
      <alignment horizontal="left" vertical="top" wrapText="1"/>
      <protection locked="0"/>
    </xf>
    <xf numFmtId="167" fontId="10"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67" fontId="11"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vertical="top"/>
      <protection locked="0"/>
    </xf>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6" fillId="0" borderId="26" xfId="1" applyNumberFormat="1" applyFont="1" applyBorder="1" applyAlignment="1" applyProtection="1">
      <alignment horizontal="center" vertical="center" wrapText="1"/>
      <protection hidden="1"/>
    </xf>
    <xf numFmtId="9" fontId="6" fillId="0" borderId="27" xfId="1" applyNumberFormat="1" applyFont="1" applyBorder="1" applyAlignment="1" applyProtection="1">
      <alignment horizontal="center" vertical="center" wrapText="1"/>
      <protection hidden="1"/>
    </xf>
    <xf numFmtId="9" fontId="6" fillId="0" borderId="31" xfId="1" applyNumberFormat="1" applyFont="1" applyBorder="1" applyAlignment="1" applyProtection="1">
      <alignment horizontal="center" vertical="center" wrapText="1"/>
      <protection hidden="1"/>
    </xf>
    <xf numFmtId="9" fontId="6" fillId="0" borderId="32" xfId="1" applyNumberFormat="1" applyFont="1" applyBorder="1" applyAlignment="1" applyProtection="1">
      <alignment horizontal="center" vertical="center" wrapText="1"/>
      <protection hidden="1"/>
    </xf>
    <xf numFmtId="9" fontId="6" fillId="0" borderId="38" xfId="1" applyNumberFormat="1" applyFont="1" applyBorder="1" applyAlignment="1" applyProtection="1">
      <alignment horizontal="center" vertical="center" wrapText="1"/>
      <protection hidden="1"/>
    </xf>
    <xf numFmtId="9" fontId="6" fillId="0" borderId="39" xfId="1" applyNumberFormat="1" applyFont="1" applyBorder="1" applyAlignment="1" applyProtection="1">
      <alignment horizontal="center" vertical="center" wrapText="1"/>
      <protection hidden="1"/>
    </xf>
    <xf numFmtId="9" fontId="6" fillId="0" borderId="37" xfId="1" applyNumberFormat="1" applyFont="1" applyBorder="1" applyAlignment="1" applyProtection="1">
      <alignment horizontal="center" vertical="center" wrapText="1"/>
      <protection hidden="1"/>
    </xf>
    <xf numFmtId="9" fontId="6" fillId="0" borderId="18" xfId="1" applyNumberFormat="1" applyFont="1" applyBorder="1" applyAlignment="1" applyProtection="1">
      <alignment horizontal="center" vertical="center" wrapText="1"/>
      <protection hidden="1"/>
    </xf>
    <xf numFmtId="9" fontId="6" fillId="0" borderId="21" xfId="1" applyNumberFormat="1" applyFont="1" applyBorder="1" applyAlignment="1" applyProtection="1">
      <alignment horizontal="center" vertical="center" wrapText="1"/>
      <protection hidden="1"/>
    </xf>
    <xf numFmtId="0" fontId="9" fillId="0" borderId="7"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12" xfId="1" applyFont="1" applyBorder="1" applyAlignment="1" applyProtection="1">
      <alignment horizontal="left" vertical="top" wrapText="1"/>
      <protection locked="0"/>
    </xf>
    <xf numFmtId="0" fontId="9" fillId="0" borderId="30" xfId="1" applyFont="1" applyBorder="1" applyAlignment="1" applyProtection="1">
      <alignment horizontal="left" vertical="top" wrapText="1"/>
      <protection locked="0"/>
    </xf>
    <xf numFmtId="0" fontId="9" fillId="0" borderId="36" xfId="1" applyFont="1" applyBorder="1" applyAlignment="1" applyProtection="1">
      <alignment horizontal="left" vertical="top" wrapText="1"/>
      <protection locked="0"/>
    </xf>
    <xf numFmtId="0" fontId="6" fillId="0" borderId="12" xfId="1" applyFont="1" applyBorder="1" applyAlignment="1" applyProtection="1">
      <alignment horizontal="center" vertical="top" wrapText="1"/>
      <protection locked="0"/>
    </xf>
    <xf numFmtId="0" fontId="6" fillId="0" borderId="13" xfId="1" applyFont="1" applyBorder="1" applyAlignment="1" applyProtection="1">
      <alignment horizontal="center" vertical="top" wrapText="1"/>
      <protection locked="0"/>
    </xf>
    <xf numFmtId="0" fontId="6" fillId="0" borderId="36" xfId="1" applyFont="1" applyBorder="1" applyAlignment="1" applyProtection="1">
      <alignment horizontal="center" vertical="top" wrapText="1"/>
      <protection locked="0"/>
    </xf>
    <xf numFmtId="0" fontId="6" fillId="0" borderId="7"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10" fillId="0" borderId="1" xfId="1" applyFont="1" applyBorder="1" applyAlignment="1" applyProtection="1">
      <alignment horizontal="right" vertical="top"/>
      <protection locked="0"/>
    </xf>
    <xf numFmtId="0" fontId="11" fillId="0" borderId="12" xfId="1" applyFont="1" applyBorder="1" applyAlignment="1" applyProtection="1">
      <alignment horizontal="left" vertical="top"/>
      <protection locked="0"/>
    </xf>
    <xf numFmtId="0" fontId="11" fillId="0" borderId="30" xfId="1" applyFont="1" applyBorder="1" applyAlignment="1" applyProtection="1">
      <alignment horizontal="left" vertical="top"/>
      <protection locked="0"/>
    </xf>
    <xf numFmtId="0" fontId="11" fillId="0" borderId="13" xfId="1" applyFont="1" applyBorder="1" applyAlignment="1" applyProtection="1">
      <alignment horizontal="left" vertical="top"/>
      <protection locked="0"/>
    </xf>
    <xf numFmtId="0" fontId="11" fillId="0" borderId="12" xfId="1" applyFont="1" applyBorder="1" applyAlignment="1" applyProtection="1">
      <alignment horizontal="center" vertical="top"/>
      <protection locked="0"/>
    </xf>
    <xf numFmtId="0" fontId="11" fillId="0" borderId="30" xfId="1" applyFont="1" applyBorder="1" applyAlignment="1" applyProtection="1">
      <alignment horizontal="center" vertical="top"/>
      <protection locked="0"/>
    </xf>
    <xf numFmtId="0" fontId="11" fillId="0" borderId="13" xfId="1" applyFont="1" applyBorder="1" applyAlignment="1" applyProtection="1">
      <alignment horizontal="center" vertical="top"/>
      <protection locked="0"/>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0" fontId="10" fillId="0" borderId="1" xfId="1" applyFont="1" applyBorder="1" applyAlignment="1" applyProtection="1">
      <alignment horizontal="right" vertical="top" wrapText="1"/>
      <protection locked="0"/>
    </xf>
    <xf numFmtId="1" fontId="10"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10" fillId="0" borderId="26" xfId="1" applyNumberFormat="1" applyFont="1" applyBorder="1" applyAlignment="1" applyProtection="1">
      <alignment horizontal="center" vertical="center" wrapText="1"/>
      <protection locked="0"/>
    </xf>
    <xf numFmtId="1" fontId="10" fillId="0" borderId="27" xfId="1" applyNumberFormat="1" applyFont="1" applyBorder="1" applyAlignment="1" applyProtection="1">
      <alignment horizontal="center" vertical="center" wrapText="1"/>
      <protection locked="0"/>
    </xf>
    <xf numFmtId="1" fontId="10" fillId="0" borderId="28" xfId="1" applyNumberFormat="1" applyFont="1" applyBorder="1" applyAlignment="1" applyProtection="1">
      <alignment horizontal="center" vertical="center" wrapText="1"/>
      <protection locked="0"/>
    </xf>
    <xf numFmtId="1" fontId="10" fillId="0" borderId="29" xfId="1" applyNumberFormat="1" applyFont="1" applyBorder="1" applyAlignment="1" applyProtection="1">
      <alignment horizontal="center" vertical="center" wrapText="1"/>
      <protection locked="0"/>
    </xf>
    <xf numFmtId="1" fontId="11" fillId="0" borderId="12" xfId="1" applyNumberFormat="1" applyFont="1" applyBorder="1" applyAlignment="1" applyProtection="1">
      <alignment horizontal="center" vertical="center" wrapText="1"/>
      <protection locked="0"/>
    </xf>
    <xf numFmtId="1" fontId="11" fillId="0" borderId="30" xfId="1" applyNumberFormat="1" applyFont="1" applyBorder="1" applyAlignment="1" applyProtection="1">
      <alignment horizontal="center" vertical="center" wrapText="1"/>
      <protection locked="0"/>
    </xf>
    <xf numFmtId="1" fontId="11" fillId="0" borderId="13" xfId="1" applyNumberFormat="1" applyFont="1" applyBorder="1" applyAlignment="1" applyProtection="1">
      <alignment horizontal="center" vertical="center" wrapText="1"/>
      <protection locked="0"/>
    </xf>
    <xf numFmtId="1" fontId="11" fillId="0" borderId="26" xfId="1" applyNumberFormat="1" applyFont="1" applyBorder="1" applyAlignment="1" applyProtection="1">
      <alignment horizontal="center" vertical="top" wrapText="1"/>
      <protection locked="0"/>
    </xf>
    <xf numFmtId="1" fontId="11" fillId="0" borderId="28" xfId="1" applyNumberFormat="1" applyFont="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1" fontId="11" fillId="0" borderId="25" xfId="1" applyNumberFormat="1" applyFont="1" applyBorder="1" applyAlignment="1" applyProtection="1">
      <alignment horizontal="center" vertical="top" wrapText="1"/>
      <protection locked="0"/>
    </xf>
    <xf numFmtId="1" fontId="20" fillId="0" borderId="3" xfId="1" applyNumberFormat="1" applyFont="1" applyBorder="1" applyAlignment="1" applyProtection="1">
      <alignment horizontal="center" vertical="top" wrapText="1"/>
      <protection locked="0"/>
    </xf>
    <xf numFmtId="1" fontId="20" fillId="0" borderId="25" xfId="1" applyNumberFormat="1" applyFont="1" applyBorder="1" applyAlignment="1" applyProtection="1">
      <alignment horizontal="center" vertical="top" wrapText="1"/>
      <protection locked="0"/>
    </xf>
    <xf numFmtId="1" fontId="11" fillId="0" borderId="27" xfId="1" applyNumberFormat="1" applyFont="1" applyBorder="1" applyAlignment="1" applyProtection="1">
      <alignment horizontal="center" vertical="top" wrapText="1"/>
      <protection locked="0"/>
    </xf>
    <xf numFmtId="1" fontId="11" fillId="0" borderId="29" xfId="1" applyNumberFormat="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31" xfId="1" applyNumberFormat="1" applyFont="1" applyBorder="1" applyAlignment="1" applyProtection="1">
      <alignment horizontal="center" vertical="center" wrapText="1"/>
      <protection locked="0"/>
    </xf>
    <xf numFmtId="1" fontId="10" fillId="0" borderId="32"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6" fillId="0" borderId="9" xfId="1" applyFont="1" applyBorder="1" applyAlignment="1" applyProtection="1">
      <alignment horizontal="center" vertical="top" wrapText="1"/>
      <protection locked="0"/>
    </xf>
    <xf numFmtId="0" fontId="6" fillId="0" borderId="10"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11" fillId="0" borderId="1" xfId="0" applyNumberFormat="1" applyFont="1" applyBorder="1" applyAlignment="1" applyProtection="1">
      <alignment horizontal="left" vertical="top" wrapText="1"/>
      <protection locked="0"/>
    </xf>
    <xf numFmtId="0" fontId="11" fillId="0" borderId="1" xfId="2" applyFont="1" applyBorder="1" applyAlignment="1" applyProtection="1">
      <alignment horizontal="left" vertical="top" wrapText="1"/>
      <protection locked="0"/>
    </xf>
    <xf numFmtId="0" fontId="10" fillId="0" borderId="1" xfId="1" applyFont="1" applyBorder="1" applyAlignment="1" applyProtection="1">
      <alignment vertical="top"/>
      <protection locked="0"/>
    </xf>
    <xf numFmtId="0" fontId="10" fillId="0" borderId="3" xfId="1" applyFont="1" applyBorder="1" applyAlignment="1" applyProtection="1">
      <alignment horizontal="left" vertical="top"/>
      <protection locked="0"/>
    </xf>
    <xf numFmtId="0" fontId="10" fillId="0" borderId="3"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1" fontId="7" fillId="0" borderId="40" xfId="0" applyNumberFormat="1" applyFont="1" applyBorder="1" applyAlignment="1" applyProtection="1">
      <alignment horizontal="center" vertical="center" wrapText="1"/>
      <protection locked="0"/>
    </xf>
    <xf numFmtId="1" fontId="7" fillId="0" borderId="41" xfId="0" applyNumberFormat="1" applyFont="1" applyBorder="1" applyAlignment="1" applyProtection="1">
      <alignment horizontal="center" vertical="center" wrapText="1"/>
      <protection locked="0"/>
    </xf>
    <xf numFmtId="1" fontId="9" fillId="0" borderId="41" xfId="0" applyNumberFormat="1"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7" fillId="0" borderId="25" xfId="1" applyFont="1" applyBorder="1" applyAlignment="1" applyProtection="1">
      <alignment horizontal="center" vertical="top"/>
      <protection locked="0"/>
    </xf>
    <xf numFmtId="1" fontId="5" fillId="0" borderId="12" xfId="1" applyNumberFormat="1" applyFont="1" applyBorder="1" applyAlignment="1" applyProtection="1">
      <alignment horizontal="center" vertical="center" wrapText="1"/>
      <protection locked="0"/>
    </xf>
    <xf numFmtId="1" fontId="5" fillId="0" borderId="30" xfId="1" applyNumberFormat="1" applyFont="1" applyBorder="1" applyAlignment="1" applyProtection="1">
      <alignment horizontal="center" vertical="center" wrapText="1"/>
      <protection locked="0"/>
    </xf>
    <xf numFmtId="1" fontId="5" fillId="0" borderId="13"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7" fillId="0" borderId="12" xfId="1" applyNumberFormat="1" applyFont="1" applyBorder="1" applyAlignment="1" applyProtection="1">
      <alignment horizontal="center" vertical="center" wrapText="1"/>
      <protection locked="0"/>
    </xf>
    <xf numFmtId="1" fontId="7" fillId="0" borderId="30" xfId="1" applyNumberFormat="1" applyFont="1" applyBorder="1" applyAlignment="1" applyProtection="1">
      <alignment horizontal="center" vertical="center" wrapText="1"/>
      <protection locked="0"/>
    </xf>
    <xf numFmtId="1" fontId="7" fillId="0" borderId="13"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10" fillId="0" borderId="33" xfId="1" applyNumberFormat="1" applyFont="1" applyBorder="1" applyAlignment="1" applyProtection="1">
      <alignment horizontal="center" vertical="center" wrapText="1"/>
      <protection locked="0"/>
    </xf>
    <xf numFmtId="1" fontId="10" fillId="0" borderId="2" xfId="1" applyNumberFormat="1" applyFont="1" applyBorder="1" applyAlignment="1" applyProtection="1">
      <alignment horizontal="center" vertical="center" wrapText="1"/>
      <protection locked="0"/>
    </xf>
    <xf numFmtId="0" fontId="23" fillId="0" borderId="31" xfId="1" applyFont="1" applyBorder="1" applyAlignment="1">
      <alignment horizontal="left" vertical="center" wrapText="1"/>
    </xf>
    <xf numFmtId="0" fontId="23" fillId="0" borderId="0" xfId="1" applyFont="1" applyAlignment="1">
      <alignment horizontal="left" vertical="center" wrapText="1"/>
    </xf>
    <xf numFmtId="0" fontId="7" fillId="0" borderId="34" xfId="1" applyFont="1" applyBorder="1" applyAlignment="1" applyProtection="1">
      <alignment horizontal="left" vertical="top" wrapText="1"/>
      <protection locked="0"/>
    </xf>
    <xf numFmtId="0" fontId="7" fillId="0" borderId="24"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7" fillId="0" borderId="35" xfId="1" applyFont="1" applyBorder="1" applyAlignment="1" applyProtection="1">
      <alignment horizontal="left" vertical="top" wrapText="1"/>
      <protection locked="0"/>
    </xf>
    <xf numFmtId="0" fontId="10" fillId="0" borderId="7"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9" fontId="10" fillId="2" borderId="1" xfId="1" applyNumberFormat="1" applyFont="1" applyFill="1" applyBorder="1" applyAlignment="1" applyProtection="1">
      <alignment horizontal="center" vertical="center" wrapText="1"/>
      <protection hidden="1"/>
    </xf>
    <xf numFmtId="9" fontId="10" fillId="2" borderId="8" xfId="1" applyNumberFormat="1" applyFont="1" applyFill="1" applyBorder="1" applyAlignment="1" applyProtection="1">
      <alignment horizontal="center" vertical="center" wrapText="1"/>
      <protection hidden="1"/>
    </xf>
    <xf numFmtId="9" fontId="10" fillId="2" borderId="10" xfId="1" applyNumberFormat="1" applyFont="1" applyFill="1" applyBorder="1" applyAlignment="1" applyProtection="1">
      <alignment horizontal="center" vertical="center" wrapText="1"/>
      <protection hidden="1"/>
    </xf>
    <xf numFmtId="9" fontId="10" fillId="2" borderId="11" xfId="1" applyNumberFormat="1" applyFont="1" applyFill="1" applyBorder="1" applyAlignment="1" applyProtection="1">
      <alignment horizontal="center" vertical="center" wrapText="1"/>
      <protection hidden="1"/>
    </xf>
    <xf numFmtId="0" fontId="10" fillId="2" borderId="1" xfId="1" applyFont="1" applyFill="1" applyBorder="1" applyAlignment="1" applyProtection="1">
      <alignment horizontal="left" vertical="top"/>
      <protection locked="0"/>
    </xf>
    <xf numFmtId="0" fontId="10" fillId="2" borderId="1" xfId="1" applyFont="1" applyFill="1" applyBorder="1" applyAlignment="1" applyProtection="1">
      <alignment horizontal="left" vertical="top" wrapText="1"/>
      <protection locked="0"/>
    </xf>
    <xf numFmtId="0" fontId="10" fillId="0" borderId="9" xfId="1" applyFont="1" applyBorder="1" applyAlignment="1" applyProtection="1">
      <alignment horizontal="center" vertical="top" wrapText="1"/>
      <protection locked="0"/>
    </xf>
    <xf numFmtId="0" fontId="10" fillId="0" borderId="10" xfId="1" applyFont="1" applyBorder="1" applyAlignment="1" applyProtection="1">
      <alignment horizontal="center" vertical="top" wrapText="1"/>
      <protection locked="0"/>
    </xf>
    <xf numFmtId="0" fontId="10" fillId="0" borderId="22" xfId="1" applyFont="1" applyBorder="1" applyAlignment="1" applyProtection="1">
      <alignment horizontal="left" vertical="top"/>
      <protection locked="0"/>
    </xf>
    <xf numFmtId="0" fontId="10" fillId="0" borderId="23" xfId="1" applyFont="1" applyBorder="1" applyAlignment="1" applyProtection="1">
      <alignment horizontal="left" vertical="top"/>
      <protection locked="0"/>
    </xf>
    <xf numFmtId="0" fontId="10" fillId="0" borderId="24" xfId="1" applyFont="1" applyBorder="1" applyAlignment="1" applyProtection="1">
      <alignment horizontal="left" vertical="top"/>
      <protection locked="0"/>
    </xf>
    <xf numFmtId="0" fontId="11" fillId="0" borderId="8" xfId="1" applyFont="1" applyBorder="1" applyAlignment="1" applyProtection="1">
      <alignment horizontal="left" vertical="top" wrapText="1"/>
      <protection locked="0"/>
    </xf>
    <xf numFmtId="0" fontId="10" fillId="0" borderId="1" xfId="1" applyFont="1" applyBorder="1" applyAlignment="1" applyProtection="1">
      <alignment horizontal="center" vertical="center" wrapText="1"/>
      <protection locked="0"/>
    </xf>
    <xf numFmtId="0" fontId="11" fillId="2" borderId="1" xfId="1" applyFont="1" applyFill="1" applyBorder="1" applyAlignment="1" applyProtection="1">
      <alignment horizontal="left" vertical="top" wrapText="1"/>
      <protection locked="0"/>
    </xf>
    <xf numFmtId="0" fontId="11" fillId="2" borderId="1" xfId="1" applyFont="1" applyFill="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67" fontId="13"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1" fillId="0" borderId="4"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11" fillId="0" borderId="6" xfId="1" applyFont="1" applyBorder="1" applyAlignment="1" applyProtection="1">
      <alignment horizontal="left" vertical="top" wrapText="1"/>
      <protection locked="0"/>
    </xf>
    <xf numFmtId="0" fontId="10" fillId="0" borderId="8" xfId="1" applyFont="1" applyBorder="1" applyAlignment="1" applyProtection="1">
      <alignment horizontal="center" vertical="center" wrapText="1"/>
      <protection locked="0"/>
    </xf>
    <xf numFmtId="0" fontId="11" fillId="0" borderId="7" xfId="1" applyFont="1" applyBorder="1" applyAlignment="1" applyProtection="1">
      <alignment horizontal="center" vertical="top"/>
      <protection locked="0"/>
    </xf>
    <xf numFmtId="0" fontId="13" fillId="2" borderId="12" xfId="1" applyFont="1" applyFill="1" applyBorder="1" applyAlignment="1" applyProtection="1">
      <alignment horizontal="left" vertical="top" wrapText="1"/>
      <protection locked="0"/>
    </xf>
    <xf numFmtId="0" fontId="13" fillId="2" borderId="30" xfId="1" applyFont="1" applyFill="1" applyBorder="1" applyAlignment="1" applyProtection="1">
      <alignment horizontal="left" vertical="top" wrapText="1"/>
      <protection locked="0"/>
    </xf>
    <xf numFmtId="0" fontId="13" fillId="2" borderId="13" xfId="1" applyFont="1" applyFill="1" applyBorder="1" applyAlignment="1" applyProtection="1">
      <alignment horizontal="left" vertical="top" wrapText="1"/>
      <protection locked="0"/>
    </xf>
    <xf numFmtId="0" fontId="0" fillId="3" borderId="1" xfId="0" applyFill="1" applyBorder="1" applyAlignment="1">
      <alignment horizontal="center" wrapText="1"/>
    </xf>
    <xf numFmtId="0" fontId="8" fillId="0" borderId="1" xfId="0" applyFont="1" applyBorder="1" applyAlignment="1">
      <alignment horizontal="center"/>
    </xf>
    <xf numFmtId="0" fontId="8" fillId="0" borderId="1" xfId="5" applyFont="1" applyBorder="1" applyAlignment="1">
      <alignment horizontal="left"/>
    </xf>
    <xf numFmtId="0" fontId="9" fillId="0" borderId="42" xfId="1" applyFont="1" applyBorder="1" applyAlignment="1" applyProtection="1">
      <alignment horizontal="left" vertical="top" wrapText="1"/>
      <protection locked="0"/>
    </xf>
    <xf numFmtId="0" fontId="9" fillId="0" borderId="29" xfId="1" applyFont="1" applyBorder="1" applyAlignment="1" applyProtection="1">
      <alignment horizontal="left" vertical="top" wrapText="1"/>
      <protection locked="0"/>
    </xf>
    <xf numFmtId="0" fontId="9" fillId="0" borderId="28" xfId="1" applyFont="1" applyBorder="1" applyAlignment="1" applyProtection="1">
      <alignment horizontal="left" vertical="top" wrapText="1"/>
      <protection locked="0"/>
    </xf>
    <xf numFmtId="0" fontId="9" fillId="0" borderId="2" xfId="1" applyFont="1" applyBorder="1" applyAlignment="1" applyProtection="1">
      <alignment horizontal="left" vertical="top" wrapText="1"/>
      <protection locked="0"/>
    </xf>
    <xf numFmtId="0" fontId="9" fillId="0" borderId="43"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9" fontId="6" fillId="0" borderId="1" xfId="1" applyNumberFormat="1" applyFont="1" applyBorder="1" applyAlignment="1" applyProtection="1">
      <alignment horizontal="center" vertical="center" wrapText="1"/>
      <protection hidden="1"/>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8" Type="http://schemas.openxmlformats.org/officeDocument/2006/relationships/image" Target="../media/image8.jpeg"/></Relationships>
</file>

<file path=xl/drawings/_rels/drawing2.xml.rels><?xml version="1.0" encoding="UTF-8" standalone="yes"?>
<Relationships xmlns="http://schemas.openxmlformats.org/package/2006/relationships"><Relationship Id="rId8" Type="http://schemas.microsoft.com/office/2007/relationships/hdphoto" Target="../media/hdphoto2.wdp"/><Relationship Id="rId3" Type="http://schemas.openxmlformats.org/officeDocument/2006/relationships/image" Target="../media/image39.jpeg"/><Relationship Id="rId7" Type="http://schemas.openxmlformats.org/officeDocument/2006/relationships/image" Target="../media/image42.png"/><Relationship Id="rId2" Type="http://schemas.openxmlformats.org/officeDocument/2006/relationships/image" Target="../media/image38.jpeg"/><Relationship Id="rId1" Type="http://schemas.openxmlformats.org/officeDocument/2006/relationships/image" Target="../media/image37.jpeg"/><Relationship Id="rId6" Type="http://schemas.openxmlformats.org/officeDocument/2006/relationships/image" Target="../media/image41.jpeg"/><Relationship Id="rId5" Type="http://schemas.microsoft.com/office/2007/relationships/hdphoto" Target="../media/hdphoto1.wdp"/><Relationship Id="rId10" Type="http://schemas.openxmlformats.org/officeDocument/2006/relationships/image" Target="../media/image43.png"/><Relationship Id="rId4" Type="http://schemas.openxmlformats.org/officeDocument/2006/relationships/image" Target="../media/image40.png"/><Relationship Id="rId9" Type="http://schemas.openxmlformats.org/officeDocument/2006/relationships/image" Target="../media/image1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drawing1.xml><?xml version="1.0" encoding="utf-8"?>
<xdr:wsDr xmlns:xdr="http://schemas.openxmlformats.org/drawingml/2006/spreadsheetDrawing" xmlns:a="http://schemas.openxmlformats.org/drawingml/2006/main">
  <xdr:twoCellAnchor>
    <xdr:from>
      <xdr:col>8</xdr:col>
      <xdr:colOff>897255</xdr:colOff>
      <xdr:row>359</xdr:row>
      <xdr:rowOff>41909</xdr:rowOff>
    </xdr:from>
    <xdr:to>
      <xdr:col>23</xdr:col>
      <xdr:colOff>158115</xdr:colOff>
      <xdr:row>393</xdr:row>
      <xdr:rowOff>87359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850505" y="56906159"/>
          <a:ext cx="6563360" cy="6732000"/>
          <a:chOff x="104775" y="45796199"/>
          <a:chExt cx="6286500" cy="6836775"/>
        </a:xfrm>
      </xdr:grpSpPr>
      <xdr:pic>
        <xdr:nvPicPr>
          <xdr:cNvPr id="17" name="Picture 16" descr="https://vsjcllp.vsjadon.com/upload/insp-236335-1525.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981450" y="51034559"/>
            <a:ext cx="2333625" cy="15910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36335-843.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238124" y="45796199"/>
            <a:ext cx="1934430" cy="2905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36335-844.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381375" y="48777525"/>
            <a:ext cx="14668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36335-847.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104775" y="51053999"/>
            <a:ext cx="2807067" cy="1578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36335-848.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924425" y="48777525"/>
            <a:ext cx="14668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36335-849.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019425" y="51044474"/>
            <a:ext cx="888173" cy="1578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36335-850.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247899" y="45796199"/>
            <a:ext cx="1934430" cy="2905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36335-861.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666875" y="4877752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36335-1046.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248150" y="45796199"/>
            <a:ext cx="2038350" cy="29051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36335-946.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33350" y="48777525"/>
            <a:ext cx="14668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205740</xdr:colOff>
      <xdr:row>48</xdr:row>
      <xdr:rowOff>670560</xdr:rowOff>
    </xdr:from>
    <xdr:to>
      <xdr:col>12</xdr:col>
      <xdr:colOff>376740</xdr:colOff>
      <xdr:row>48</xdr:row>
      <xdr:rowOff>1942435</xdr:rowOff>
    </xdr:to>
    <xdr:pic>
      <xdr:nvPicPr>
        <xdr:cNvPr id="3" name="Picture 2">
          <a:extLst>
            <a:ext uri="{FF2B5EF4-FFF2-40B4-BE49-F238E27FC236}">
              <a16:creationId xmlns:a16="http://schemas.microsoft.com/office/drawing/2014/main" id="{3169D5C6-6335-1D81-0704-CD45F193ECFC}"/>
            </a:ext>
          </a:extLst>
        </xdr:cNvPr>
        <xdr:cNvPicPr>
          <a:picLocks noChangeAspect="1"/>
        </xdr:cNvPicPr>
      </xdr:nvPicPr>
      <xdr:blipFill>
        <a:blip xmlns:r="http://schemas.openxmlformats.org/officeDocument/2006/relationships" r:embed="rId11"/>
        <a:stretch>
          <a:fillRect/>
        </a:stretch>
      </xdr:blipFill>
      <xdr:spPr>
        <a:xfrm>
          <a:off x="6850380" y="11490960"/>
          <a:ext cx="3600000" cy="1271875"/>
        </a:xfrm>
        <a:prstGeom prst="rect">
          <a:avLst/>
        </a:prstGeom>
      </xdr:spPr>
    </xdr:pic>
    <xdr:clientData/>
  </xdr:twoCellAnchor>
  <xdr:twoCellAnchor>
    <xdr:from>
      <xdr:col>1</xdr:col>
      <xdr:colOff>388620</xdr:colOff>
      <xdr:row>403</xdr:row>
      <xdr:rowOff>7620</xdr:rowOff>
    </xdr:from>
    <xdr:to>
      <xdr:col>6</xdr:col>
      <xdr:colOff>502380</xdr:colOff>
      <xdr:row>439</xdr:row>
      <xdr:rowOff>145071</xdr:rowOff>
    </xdr:to>
    <xdr:grpSp>
      <xdr:nvGrpSpPr>
        <xdr:cNvPr id="6" name="Group 5">
          <a:extLst>
            <a:ext uri="{FF2B5EF4-FFF2-40B4-BE49-F238E27FC236}">
              <a16:creationId xmlns:a16="http://schemas.microsoft.com/office/drawing/2014/main" id="{F0BBC97C-A461-7452-699E-097D39AAF73A}"/>
            </a:ext>
          </a:extLst>
        </xdr:cNvPr>
        <xdr:cNvGrpSpPr/>
      </xdr:nvGrpSpPr>
      <xdr:grpSpPr>
        <a:xfrm>
          <a:off x="1188720" y="65526920"/>
          <a:ext cx="4584160" cy="7224051"/>
          <a:chOff x="1269000" y="373066"/>
          <a:chExt cx="4320000" cy="7269771"/>
        </a:xfrm>
      </xdr:grpSpPr>
      <xdr:pic>
        <xdr:nvPicPr>
          <xdr:cNvPr id="7" name="Picture 6">
            <a:extLst>
              <a:ext uri="{FF2B5EF4-FFF2-40B4-BE49-F238E27FC236}">
                <a16:creationId xmlns:a16="http://schemas.microsoft.com/office/drawing/2014/main" id="{FA91186D-45A6-2B25-740E-6F847EFDE9AD}"/>
              </a:ext>
            </a:extLst>
          </xdr:cNvPr>
          <xdr:cNvPicPr>
            <a:picLocks noChangeAspect="1"/>
          </xdr:cNvPicPr>
        </xdr:nvPicPr>
        <xdr:blipFill>
          <a:blip xmlns:r="http://schemas.openxmlformats.org/officeDocument/2006/relationships" r:embed="rId12"/>
          <a:stretch>
            <a:fillRect/>
          </a:stretch>
        </xdr:blipFill>
        <xdr:spPr>
          <a:xfrm>
            <a:off x="1269000" y="373066"/>
            <a:ext cx="4320000" cy="4482353"/>
          </a:xfrm>
          <a:prstGeom prst="rect">
            <a:avLst/>
          </a:prstGeom>
          <a:ln>
            <a:solidFill>
              <a:schemeClr val="tx1"/>
            </a:solidFill>
          </a:ln>
        </xdr:spPr>
      </xdr:pic>
      <xdr:pic>
        <xdr:nvPicPr>
          <xdr:cNvPr id="10" name="Picture 9">
            <a:extLst>
              <a:ext uri="{FF2B5EF4-FFF2-40B4-BE49-F238E27FC236}">
                <a16:creationId xmlns:a16="http://schemas.microsoft.com/office/drawing/2014/main" id="{3DCCDF34-8D7B-8549-0EB7-F15A96C541A4}"/>
              </a:ext>
            </a:extLst>
          </xdr:cNvPr>
          <xdr:cNvPicPr>
            <a:picLocks noChangeAspect="1"/>
          </xdr:cNvPicPr>
        </xdr:nvPicPr>
        <xdr:blipFill>
          <a:blip xmlns:r="http://schemas.openxmlformats.org/officeDocument/2006/relationships" r:embed="rId13"/>
          <a:stretch>
            <a:fillRect/>
          </a:stretch>
        </xdr:blipFill>
        <xdr:spPr>
          <a:xfrm>
            <a:off x="1809000" y="4983014"/>
            <a:ext cx="3240000" cy="2659823"/>
          </a:xfrm>
          <a:prstGeom prst="rect">
            <a:avLst/>
          </a:prstGeom>
          <a:ln>
            <a:solidFill>
              <a:schemeClr val="tx1"/>
            </a:solidFill>
          </a:ln>
        </xdr:spPr>
      </xdr:pic>
    </xdr:grpSp>
    <xdr:clientData/>
  </xdr:twoCellAnchor>
  <xdr:twoCellAnchor>
    <xdr:from>
      <xdr:col>0</xdr:col>
      <xdr:colOff>358140</xdr:colOff>
      <xdr:row>446</xdr:row>
      <xdr:rowOff>30480</xdr:rowOff>
    </xdr:from>
    <xdr:to>
      <xdr:col>7</xdr:col>
      <xdr:colOff>472440</xdr:colOff>
      <xdr:row>484</xdr:row>
      <xdr:rowOff>160019</xdr:rowOff>
    </xdr:to>
    <xdr:grpSp>
      <xdr:nvGrpSpPr>
        <xdr:cNvPr id="25" name="Group 24">
          <a:extLst>
            <a:ext uri="{FF2B5EF4-FFF2-40B4-BE49-F238E27FC236}">
              <a16:creationId xmlns:a16="http://schemas.microsoft.com/office/drawing/2014/main" id="{BF8A2B65-2792-D402-80CA-2B4E9220A69D}"/>
            </a:ext>
          </a:extLst>
        </xdr:cNvPr>
        <xdr:cNvGrpSpPr/>
      </xdr:nvGrpSpPr>
      <xdr:grpSpPr>
        <a:xfrm>
          <a:off x="358140" y="74014330"/>
          <a:ext cx="6197600" cy="7609839"/>
          <a:chOff x="476250" y="742950"/>
          <a:chExt cx="5905500" cy="7658099"/>
        </a:xfrm>
      </xdr:grpSpPr>
      <xdr:pic>
        <xdr:nvPicPr>
          <xdr:cNvPr id="30" name="Picture 29">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476250" y="742950"/>
            <a:ext cx="5905500" cy="3562467"/>
          </a:xfrm>
          <a:prstGeom prst="rect">
            <a:avLst/>
          </a:prstGeom>
          <a:ln>
            <a:solidFill>
              <a:schemeClr val="tx1"/>
            </a:solidFill>
          </a:ln>
        </xdr:spPr>
      </xdr:pic>
      <xdr:grpSp>
        <xdr:nvGrpSpPr>
          <xdr:cNvPr id="31" name="Group 30">
            <a:extLst>
              <a:ext uri="{FF2B5EF4-FFF2-40B4-BE49-F238E27FC236}">
                <a16:creationId xmlns:a16="http://schemas.microsoft.com/office/drawing/2014/main" id="{64612951-E911-2A14-9DAF-83D4D3C45907}"/>
              </a:ext>
            </a:extLst>
          </xdr:cNvPr>
          <xdr:cNvGrpSpPr/>
        </xdr:nvGrpSpPr>
        <xdr:grpSpPr>
          <a:xfrm>
            <a:off x="660612" y="4393438"/>
            <a:ext cx="5536776" cy="4007611"/>
            <a:chOff x="188283" y="3831750"/>
            <a:chExt cx="5654530" cy="4206605"/>
          </a:xfrm>
        </xdr:grpSpPr>
        <xdr:pic>
          <xdr:nvPicPr>
            <xdr:cNvPr id="33" name="Picture 32">
              <a:extLst>
                <a:ext uri="{FF2B5EF4-FFF2-40B4-BE49-F238E27FC236}">
                  <a16:creationId xmlns:a16="http://schemas.microsoft.com/office/drawing/2014/main" id="{5EDBC441-7367-83A4-B55C-8851A3B16D84}"/>
                </a:ext>
              </a:extLst>
            </xdr:cNvPr>
            <xdr:cNvPicPr>
              <a:picLocks noChangeAspect="1"/>
            </xdr:cNvPicPr>
          </xdr:nvPicPr>
          <xdr:blipFill>
            <a:blip xmlns:r="http://schemas.openxmlformats.org/officeDocument/2006/relationships" r:embed="rId15"/>
            <a:stretch>
              <a:fillRect/>
            </a:stretch>
          </xdr:blipFill>
          <xdr:spPr>
            <a:xfrm>
              <a:off x="188283" y="3831750"/>
              <a:ext cx="5654530" cy="4206605"/>
            </a:xfrm>
            <a:prstGeom prst="rect">
              <a:avLst/>
            </a:prstGeom>
            <a:ln>
              <a:solidFill>
                <a:schemeClr val="tx1"/>
              </a:solidFill>
            </a:ln>
          </xdr:spPr>
        </xdr:pic>
        <xdr:grpSp>
          <xdr:nvGrpSpPr>
            <xdr:cNvPr id="34" name="Group 33">
              <a:extLst>
                <a:ext uri="{FF2B5EF4-FFF2-40B4-BE49-F238E27FC236}">
                  <a16:creationId xmlns:a16="http://schemas.microsoft.com/office/drawing/2014/main" id="{47D47CFA-3005-760C-1716-F4B4359F8355}"/>
                </a:ext>
              </a:extLst>
            </xdr:cNvPr>
            <xdr:cNvGrpSpPr/>
          </xdr:nvGrpSpPr>
          <xdr:grpSpPr>
            <a:xfrm>
              <a:off x="1464549" y="5135982"/>
              <a:ext cx="1442720" cy="2392680"/>
              <a:chOff x="1464549" y="5135982"/>
              <a:chExt cx="1442720" cy="2392680"/>
            </a:xfrm>
          </xdr:grpSpPr>
          <xdr:cxnSp macro="">
            <xdr:nvCxnSpPr>
              <xdr:cNvPr id="35" name="Straight Connector 34">
                <a:extLst>
                  <a:ext uri="{FF2B5EF4-FFF2-40B4-BE49-F238E27FC236}">
                    <a16:creationId xmlns:a16="http://schemas.microsoft.com/office/drawing/2014/main" id="{BFE33488-809B-4B24-C290-FFC262F90765}"/>
                  </a:ext>
                </a:extLst>
              </xdr:cNvPr>
              <xdr:cNvCxnSpPr/>
            </xdr:nvCxnSpPr>
            <xdr:spPr>
              <a:xfrm>
                <a:off x="1464549" y="6111341"/>
                <a:ext cx="1254760" cy="1417321"/>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id="{146A02EE-8A72-D283-EBFD-E8BC6AEBCB12}"/>
                  </a:ext>
                </a:extLst>
              </xdr:cNvPr>
              <xdr:cNvCxnSpPr/>
            </xdr:nvCxnSpPr>
            <xdr:spPr>
              <a:xfrm flipV="1">
                <a:off x="1464549" y="5141062"/>
                <a:ext cx="1442720" cy="980440"/>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726F8475-1680-6AC0-D3AD-752F417D8181}"/>
                  </a:ext>
                </a:extLst>
              </xdr:cNvPr>
              <xdr:cNvCxnSpPr/>
            </xdr:nvCxnSpPr>
            <xdr:spPr>
              <a:xfrm flipV="1">
                <a:off x="2719309" y="5135982"/>
                <a:ext cx="187960" cy="2392680"/>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32" name="TextBox 9">
            <a:extLst>
              <a:ext uri="{FF2B5EF4-FFF2-40B4-BE49-F238E27FC236}">
                <a16:creationId xmlns:a16="http://schemas.microsoft.com/office/drawing/2014/main" id="{7AE94830-108B-461F-C6F1-5EFB959431EE}"/>
              </a:ext>
            </a:extLst>
          </xdr:cNvPr>
          <xdr:cNvSpPr txBox="1"/>
        </xdr:nvSpPr>
        <xdr:spPr>
          <a:xfrm rot="2802965">
            <a:off x="2324650" y="7236089"/>
            <a:ext cx="955711"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FF00"/>
                </a:solidFill>
              </a:rPr>
              <a:t>Sandu W2.0</a:t>
            </a:r>
          </a:p>
        </xdr:txBody>
      </xdr:sp>
    </xdr:grpSp>
    <xdr:clientData/>
  </xdr:twoCellAnchor>
  <xdr:twoCellAnchor editAs="oneCell">
    <xdr:from>
      <xdr:col>8</xdr:col>
      <xdr:colOff>304800</xdr:colOff>
      <xdr:row>345</xdr:row>
      <xdr:rowOff>1325880</xdr:rowOff>
    </xdr:from>
    <xdr:to>
      <xdr:col>15</xdr:col>
      <xdr:colOff>401280</xdr:colOff>
      <xdr:row>345</xdr:row>
      <xdr:rowOff>2973650</xdr:rowOff>
    </xdr:to>
    <xdr:pic>
      <xdr:nvPicPr>
        <xdr:cNvPr id="4" name="Picture 3">
          <a:extLst>
            <a:ext uri="{FF2B5EF4-FFF2-40B4-BE49-F238E27FC236}">
              <a16:creationId xmlns:a16="http://schemas.microsoft.com/office/drawing/2014/main" id="{02C39DFB-76B1-3FB8-C3B6-AAFE7C81948A}"/>
            </a:ext>
          </a:extLst>
        </xdr:cNvPr>
        <xdr:cNvPicPr>
          <a:picLocks noChangeAspect="1"/>
        </xdr:cNvPicPr>
      </xdr:nvPicPr>
      <xdr:blipFill>
        <a:blip xmlns:r="http://schemas.openxmlformats.org/officeDocument/2006/relationships" r:embed="rId16"/>
        <a:stretch>
          <a:fillRect/>
        </a:stretch>
      </xdr:blipFill>
      <xdr:spPr>
        <a:xfrm>
          <a:off x="6949440" y="52600860"/>
          <a:ext cx="5400000" cy="1649040"/>
        </a:xfrm>
        <a:prstGeom prst="rect">
          <a:avLst/>
        </a:prstGeom>
      </xdr:spPr>
    </xdr:pic>
    <xdr:clientData/>
  </xdr:twoCellAnchor>
  <xdr:twoCellAnchor editAs="oneCell">
    <xdr:from>
      <xdr:col>10</xdr:col>
      <xdr:colOff>323850</xdr:colOff>
      <xdr:row>64</xdr:row>
      <xdr:rowOff>127000</xdr:rowOff>
    </xdr:from>
    <xdr:to>
      <xdr:col>23</xdr:col>
      <xdr:colOff>458574</xdr:colOff>
      <xdr:row>93</xdr:row>
      <xdr:rowOff>348800</xdr:rowOff>
    </xdr:to>
    <xdr:pic>
      <xdr:nvPicPr>
        <xdr:cNvPr id="38" name="Picture 3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9398000" y="17919700"/>
          <a:ext cx="5316324" cy="3600000"/>
        </a:xfrm>
        <a:prstGeom prst="rect">
          <a:avLst/>
        </a:prstGeom>
        <a:ln>
          <a:solidFill>
            <a:schemeClr val="tx1"/>
          </a:solidFill>
        </a:ln>
      </xdr:spPr>
    </xdr:pic>
    <xdr:clientData/>
  </xdr:twoCellAnchor>
  <xdr:twoCellAnchor>
    <xdr:from>
      <xdr:col>0</xdr:col>
      <xdr:colOff>171450</xdr:colOff>
      <xdr:row>359</xdr:row>
      <xdr:rowOff>101600</xdr:rowOff>
    </xdr:from>
    <xdr:to>
      <xdr:col>7</xdr:col>
      <xdr:colOff>754087</xdr:colOff>
      <xdr:row>400</xdr:row>
      <xdr:rowOff>28542</xdr:rowOff>
    </xdr:to>
    <xdr:grpSp>
      <xdr:nvGrpSpPr>
        <xdr:cNvPr id="15" name="Group 14"/>
        <xdr:cNvGrpSpPr/>
      </xdr:nvGrpSpPr>
      <xdr:grpSpPr>
        <a:xfrm>
          <a:off x="171450" y="56965850"/>
          <a:ext cx="6665937" cy="7991442"/>
          <a:chOff x="171450" y="56407050"/>
          <a:chExt cx="6665937" cy="7991442"/>
        </a:xfrm>
      </xdr:grpSpPr>
      <xdr:pic>
        <xdr:nvPicPr>
          <xdr:cNvPr id="39" name="Picture 3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476435" y="56407050"/>
            <a:ext cx="2025000" cy="270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810178" y="56407050"/>
            <a:ext cx="1518750" cy="270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5622387" y="61021966"/>
            <a:ext cx="1215000" cy="1695321"/>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1499720" y="61021966"/>
            <a:ext cx="1215000" cy="1695321"/>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841874" y="61021966"/>
            <a:ext cx="2672017" cy="1695321"/>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171450" y="61021966"/>
            <a:ext cx="1215000" cy="1695321"/>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184132" y="59219045"/>
            <a:ext cx="1215000" cy="1702855"/>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4650835" y="56407050"/>
            <a:ext cx="1518750" cy="270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5532593" y="59219045"/>
            <a:ext cx="1215000" cy="1702855"/>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2860576" y="59219045"/>
            <a:ext cx="1215000" cy="1702855"/>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190152" y="59219045"/>
            <a:ext cx="1215000" cy="1702855"/>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1518422" y="59219045"/>
            <a:ext cx="1215000" cy="1702855"/>
          </a:xfrm>
          <a:prstGeom prst="rect">
            <a:avLst/>
          </a:prstGeom>
          <a:ln>
            <a:solidFill>
              <a:schemeClr val="tx1"/>
            </a:solidFill>
          </a:ln>
        </xdr:spPr>
      </xdr:pic>
      <xdr:pic>
        <xdr:nvPicPr>
          <xdr:cNvPr id="81" name="Picture 80"/>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5202530" y="62807850"/>
            <a:ext cx="1350000" cy="1590642"/>
          </a:xfrm>
          <a:prstGeom prst="rect">
            <a:avLst/>
          </a:prstGeom>
          <a:ln>
            <a:solidFill>
              <a:schemeClr val="tx1"/>
            </a:solidFill>
          </a:ln>
        </xdr:spPr>
      </xdr:pic>
      <xdr:pic>
        <xdr:nvPicPr>
          <xdr:cNvPr id="82" name="Picture 81"/>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3739260" y="62807850"/>
            <a:ext cx="1350000" cy="1590642"/>
          </a:xfrm>
          <a:prstGeom prst="rect">
            <a:avLst/>
          </a:prstGeom>
          <a:ln>
            <a:solidFill>
              <a:schemeClr val="tx1"/>
            </a:solidFill>
          </a:ln>
        </xdr:spPr>
      </xdr:pic>
      <xdr:pic>
        <xdr:nvPicPr>
          <xdr:cNvPr id="83" name="Picture 82"/>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a:ext>
            </a:extLst>
          </a:blip>
          <a:stretch>
            <a:fillRect/>
          </a:stretch>
        </xdr:blipFill>
        <xdr:spPr>
          <a:xfrm>
            <a:off x="2613490" y="62807850"/>
            <a:ext cx="1012500" cy="1590642"/>
          </a:xfrm>
          <a:prstGeom prst="rect">
            <a:avLst/>
          </a:prstGeom>
          <a:ln>
            <a:solidFill>
              <a:schemeClr val="tx1"/>
            </a:solidFill>
          </a:ln>
        </xdr:spPr>
      </xdr:pic>
      <xdr:pic>
        <xdr:nvPicPr>
          <xdr:cNvPr id="84" name="Picture 83"/>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a:ext>
            </a:extLst>
          </a:blip>
          <a:stretch>
            <a:fillRect/>
          </a:stretch>
        </xdr:blipFill>
        <xdr:spPr>
          <a:xfrm>
            <a:off x="1487720" y="62807850"/>
            <a:ext cx="1012500" cy="1590642"/>
          </a:xfrm>
          <a:prstGeom prst="rect">
            <a:avLst/>
          </a:prstGeom>
          <a:ln>
            <a:solidFill>
              <a:schemeClr val="tx1"/>
            </a:solidFill>
          </a:ln>
        </xdr:spPr>
      </xdr:pic>
      <xdr:pic>
        <xdr:nvPicPr>
          <xdr:cNvPr id="85" name="Picture 84"/>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361950" y="62807850"/>
            <a:ext cx="1012500" cy="1590642"/>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22755</xdr:colOff>
      <xdr:row>213</xdr:row>
      <xdr:rowOff>161725</xdr:rowOff>
    </xdr:from>
    <xdr:to>
      <xdr:col>5</xdr:col>
      <xdr:colOff>800064</xdr:colOff>
      <xdr:row>224</xdr:row>
      <xdr:rowOff>102960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462961" y="46464431"/>
          <a:ext cx="1617750" cy="2160000"/>
        </a:xfrm>
        <a:prstGeom prst="rect">
          <a:avLst/>
        </a:prstGeom>
        <a:ln>
          <a:solidFill>
            <a:schemeClr val="tx1"/>
          </a:solidFill>
        </a:ln>
      </xdr:spPr>
    </xdr:pic>
    <xdr:clientData/>
  </xdr:twoCellAnchor>
  <xdr:twoCellAnchor editAs="oneCell">
    <xdr:from>
      <xdr:col>0</xdr:col>
      <xdr:colOff>425824</xdr:colOff>
      <xdr:row>190</xdr:row>
      <xdr:rowOff>112059</xdr:rowOff>
    </xdr:from>
    <xdr:to>
      <xdr:col>3</xdr:col>
      <xdr:colOff>780500</xdr:colOff>
      <xdr:row>201</xdr:row>
      <xdr:rowOff>64500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25824" y="41786735"/>
          <a:ext cx="2876000" cy="2160000"/>
        </a:xfrm>
        <a:prstGeom prst="rect">
          <a:avLst/>
        </a:prstGeom>
        <a:ln>
          <a:solidFill>
            <a:schemeClr val="tx1"/>
          </a:solidFill>
        </a:ln>
      </xdr:spPr>
    </xdr:pic>
    <xdr:clientData/>
  </xdr:twoCellAnchor>
  <xdr:twoCellAnchor editAs="oneCell">
    <xdr:from>
      <xdr:col>4</xdr:col>
      <xdr:colOff>17880</xdr:colOff>
      <xdr:row>202</xdr:row>
      <xdr:rowOff>41642</xdr:rowOff>
    </xdr:from>
    <xdr:to>
      <xdr:col>5</xdr:col>
      <xdr:colOff>795189</xdr:colOff>
      <xdr:row>212</xdr:row>
      <xdr:rowOff>184584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458086" y="44125583"/>
          <a:ext cx="1617750" cy="2160000"/>
        </a:xfrm>
        <a:prstGeom prst="rect">
          <a:avLst/>
        </a:prstGeom>
        <a:ln>
          <a:solidFill>
            <a:schemeClr val="tx1"/>
          </a:solidFill>
        </a:ln>
      </xdr:spPr>
    </xdr:pic>
    <xdr:clientData/>
  </xdr:twoCellAnchor>
  <xdr:twoCellAnchor editAs="oneCell">
    <xdr:from>
      <xdr:col>0</xdr:col>
      <xdr:colOff>425824</xdr:colOff>
      <xdr:row>202</xdr:row>
      <xdr:rowOff>41642</xdr:rowOff>
    </xdr:from>
    <xdr:to>
      <xdr:col>3</xdr:col>
      <xdr:colOff>780500</xdr:colOff>
      <xdr:row>212</xdr:row>
      <xdr:rowOff>184584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screen">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a:ext>
          </a:extLst>
        </a:blip>
        <a:stretch>
          <a:fillRect/>
        </a:stretch>
      </xdr:blipFill>
      <xdr:spPr>
        <a:xfrm>
          <a:off x="425824" y="44125583"/>
          <a:ext cx="2876000" cy="2160000"/>
        </a:xfrm>
        <a:prstGeom prst="rect">
          <a:avLst/>
        </a:prstGeom>
        <a:ln>
          <a:solidFill>
            <a:schemeClr val="tx1"/>
          </a:solidFill>
        </a:ln>
      </xdr:spPr>
    </xdr:pic>
    <xdr:clientData/>
  </xdr:twoCellAnchor>
  <xdr:twoCellAnchor editAs="oneCell">
    <xdr:from>
      <xdr:col>3</xdr:col>
      <xdr:colOff>914618</xdr:colOff>
      <xdr:row>190</xdr:row>
      <xdr:rowOff>112059</xdr:rowOff>
    </xdr:from>
    <xdr:to>
      <xdr:col>7</xdr:col>
      <xdr:colOff>350413</xdr:colOff>
      <xdr:row>201</xdr:row>
      <xdr:rowOff>64500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435942" y="41786735"/>
          <a:ext cx="2876000" cy="2160000"/>
        </a:xfrm>
        <a:prstGeom prst="rect">
          <a:avLst/>
        </a:prstGeom>
        <a:ln>
          <a:solidFill>
            <a:schemeClr val="tx1"/>
          </a:solidFill>
        </a:ln>
      </xdr:spPr>
    </xdr:pic>
    <xdr:clientData/>
  </xdr:twoCellAnchor>
  <xdr:twoCellAnchor editAs="oneCell">
    <xdr:from>
      <xdr:col>0</xdr:col>
      <xdr:colOff>425824</xdr:colOff>
      <xdr:row>213</xdr:row>
      <xdr:rowOff>161725</xdr:rowOff>
    </xdr:from>
    <xdr:to>
      <xdr:col>3</xdr:col>
      <xdr:colOff>780500</xdr:colOff>
      <xdr:row>224</xdr:row>
      <xdr:rowOff>102960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7" cstate="screen">
          <a:extLst>
            <a:ext uri="{BEBA8EAE-BF5A-486C-A8C5-ECC9F3942E4B}">
              <a14:imgProps xmlns:a14="http://schemas.microsoft.com/office/drawing/2010/main">
                <a14:imgLayer r:embed="rId8">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425824" y="46464431"/>
          <a:ext cx="2876000" cy="2160000"/>
        </a:xfrm>
        <a:prstGeom prst="rect">
          <a:avLst/>
        </a:prstGeom>
        <a:ln>
          <a:solidFill>
            <a:schemeClr val="tx1"/>
          </a:solidFill>
        </a:ln>
      </xdr:spPr>
    </xdr:pic>
    <xdr:clientData/>
  </xdr:twoCellAnchor>
  <xdr:twoCellAnchor editAs="oneCell">
    <xdr:from>
      <xdr:col>0</xdr:col>
      <xdr:colOff>264817</xdr:colOff>
      <xdr:row>234</xdr:row>
      <xdr:rowOff>0</xdr:rowOff>
    </xdr:from>
    <xdr:to>
      <xdr:col>7</xdr:col>
      <xdr:colOff>594360</xdr:colOff>
      <xdr:row>252</xdr:row>
      <xdr:rowOff>173198</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264817" y="50482500"/>
          <a:ext cx="6291072" cy="3803904"/>
        </a:xfrm>
        <a:prstGeom prst="rect">
          <a:avLst/>
        </a:prstGeom>
        <a:ln>
          <a:solidFill>
            <a:schemeClr val="tx1"/>
          </a:solidFill>
        </a:ln>
      </xdr:spPr>
    </xdr:pic>
    <xdr:clientData/>
  </xdr:twoCellAnchor>
  <xdr:twoCellAnchor editAs="oneCell">
    <xdr:from>
      <xdr:col>0</xdr:col>
      <xdr:colOff>246529</xdr:colOff>
      <xdr:row>253</xdr:row>
      <xdr:rowOff>136084</xdr:rowOff>
    </xdr:from>
    <xdr:to>
      <xdr:col>7</xdr:col>
      <xdr:colOff>630936</xdr:colOff>
      <xdr:row>272</xdr:row>
      <xdr:rowOff>125865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246529" y="54450996"/>
          <a:ext cx="6345936" cy="3822192"/>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2q2mvqYi9Mcdf81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52"/>
  <sheetViews>
    <sheetView tabSelected="1" showWhiteSpace="0" view="pageBreakPreview" topLeftCell="A344" zoomScaleNormal="100" zoomScaleSheetLayoutView="100" zoomScalePageLayoutView="115" workbookViewId="0">
      <selection activeCell="J346" sqref="J346"/>
    </sheetView>
  </sheetViews>
  <sheetFormatPr defaultColWidth="9.08984375" defaultRowHeight="15.5" x14ac:dyDescent="0.35"/>
  <cols>
    <col min="1" max="1" width="11.453125" style="68" customWidth="1"/>
    <col min="2" max="2" width="12.453125" style="68" customWidth="1"/>
    <col min="3" max="3" width="12.6328125" style="68" customWidth="1"/>
    <col min="4" max="4" width="12.90625" style="68" customWidth="1"/>
    <col min="5" max="5" width="14.36328125" style="68" customWidth="1"/>
    <col min="6" max="7" width="11.6328125" style="68" customWidth="1"/>
    <col min="8" max="8" width="12.453125" style="68" customWidth="1"/>
    <col min="9" max="9" width="20.453125" style="11" customWidth="1"/>
    <col min="10" max="10" width="9.90625" style="11" bestFit="1" customWidth="1"/>
    <col min="11" max="11" width="10.54296875" style="11" bestFit="1" customWidth="1"/>
    <col min="12" max="18" width="9.08984375" style="11"/>
    <col min="19" max="19" width="11.08984375" style="11" hidden="1" customWidth="1"/>
    <col min="20" max="21" width="9.08984375" style="11" hidden="1" customWidth="1"/>
    <col min="22" max="22" width="10.6328125" style="11" hidden="1" customWidth="1"/>
    <col min="23" max="23" width="13.453125" style="11" hidden="1" customWidth="1"/>
    <col min="24" max="254" width="9.08984375" style="11"/>
    <col min="255" max="255" width="8.6328125" style="11" customWidth="1"/>
    <col min="256" max="256" width="9.90625" style="11" customWidth="1"/>
    <col min="257" max="257" width="14.453125" style="11" customWidth="1"/>
    <col min="258" max="258" width="7.36328125" style="11" customWidth="1"/>
    <col min="259" max="259" width="5.54296875" style="11" customWidth="1"/>
    <col min="260" max="260" width="9" style="11" customWidth="1"/>
    <col min="261" max="262" width="9.90625" style="11" customWidth="1"/>
    <col min="263" max="263" width="11.08984375" style="11" customWidth="1"/>
    <col min="264" max="264" width="2.90625" style="11" customWidth="1"/>
    <col min="265" max="265" width="3.54296875" style="11" customWidth="1"/>
    <col min="266" max="510" width="9.08984375" style="11"/>
    <col min="511" max="511" width="8.6328125" style="11" customWidth="1"/>
    <col min="512" max="512" width="9.90625" style="11" customWidth="1"/>
    <col min="513" max="513" width="14.453125" style="11" customWidth="1"/>
    <col min="514" max="514" width="7.36328125" style="11" customWidth="1"/>
    <col min="515" max="515" width="5.54296875" style="11" customWidth="1"/>
    <col min="516" max="516" width="9" style="11" customWidth="1"/>
    <col min="517" max="518" width="9.90625" style="11" customWidth="1"/>
    <col min="519" max="519" width="11.08984375" style="11" customWidth="1"/>
    <col min="520" max="520" width="2.90625" style="11" customWidth="1"/>
    <col min="521" max="521" width="3.54296875" style="11" customWidth="1"/>
    <col min="522" max="766" width="9.08984375" style="11"/>
    <col min="767" max="767" width="8.6328125" style="11" customWidth="1"/>
    <col min="768" max="768" width="9.90625" style="11" customWidth="1"/>
    <col min="769" max="769" width="14.453125" style="11" customWidth="1"/>
    <col min="770" max="770" width="7.36328125" style="11" customWidth="1"/>
    <col min="771" max="771" width="5.54296875" style="11" customWidth="1"/>
    <col min="772" max="772" width="9" style="11" customWidth="1"/>
    <col min="773" max="774" width="9.90625" style="11" customWidth="1"/>
    <col min="775" max="775" width="11.08984375" style="11" customWidth="1"/>
    <col min="776" max="776" width="2.90625" style="11" customWidth="1"/>
    <col min="777" max="777" width="3.54296875" style="11" customWidth="1"/>
    <col min="778" max="1022" width="9.08984375" style="11"/>
    <col min="1023" max="1023" width="8.6328125" style="11" customWidth="1"/>
    <col min="1024" max="1024" width="9.90625" style="11" customWidth="1"/>
    <col min="1025" max="1025" width="14.453125" style="11" customWidth="1"/>
    <col min="1026" max="1026" width="7.36328125" style="11" customWidth="1"/>
    <col min="1027" max="1027" width="5.54296875" style="11" customWidth="1"/>
    <col min="1028" max="1028" width="9" style="11" customWidth="1"/>
    <col min="1029" max="1030" width="9.90625" style="11" customWidth="1"/>
    <col min="1031" max="1031" width="11.08984375" style="11" customWidth="1"/>
    <col min="1032" max="1032" width="2.90625" style="11" customWidth="1"/>
    <col min="1033" max="1033" width="3.54296875" style="11" customWidth="1"/>
    <col min="1034" max="1278" width="9.08984375" style="11"/>
    <col min="1279" max="1279" width="8.6328125" style="11" customWidth="1"/>
    <col min="1280" max="1280" width="9.90625" style="11" customWidth="1"/>
    <col min="1281" max="1281" width="14.453125" style="11" customWidth="1"/>
    <col min="1282" max="1282" width="7.36328125" style="11" customWidth="1"/>
    <col min="1283" max="1283" width="5.54296875" style="11" customWidth="1"/>
    <col min="1284" max="1284" width="9" style="11" customWidth="1"/>
    <col min="1285" max="1286" width="9.90625" style="11" customWidth="1"/>
    <col min="1287" max="1287" width="11.08984375" style="11" customWidth="1"/>
    <col min="1288" max="1288" width="2.90625" style="11" customWidth="1"/>
    <col min="1289" max="1289" width="3.54296875" style="11" customWidth="1"/>
    <col min="1290" max="1534" width="9.08984375" style="11"/>
    <col min="1535" max="1535" width="8.6328125" style="11" customWidth="1"/>
    <col min="1536" max="1536" width="9.90625" style="11" customWidth="1"/>
    <col min="1537" max="1537" width="14.453125" style="11" customWidth="1"/>
    <col min="1538" max="1538" width="7.36328125" style="11" customWidth="1"/>
    <col min="1539" max="1539" width="5.54296875" style="11" customWidth="1"/>
    <col min="1540" max="1540" width="9" style="11" customWidth="1"/>
    <col min="1541" max="1542" width="9.90625" style="11" customWidth="1"/>
    <col min="1543" max="1543" width="11.08984375" style="11" customWidth="1"/>
    <col min="1544" max="1544" width="2.90625" style="11" customWidth="1"/>
    <col min="1545" max="1545" width="3.54296875" style="11" customWidth="1"/>
    <col min="1546" max="1790" width="9.08984375" style="11"/>
    <col min="1791" max="1791" width="8.6328125" style="11" customWidth="1"/>
    <col min="1792" max="1792" width="9.90625" style="11" customWidth="1"/>
    <col min="1793" max="1793" width="14.453125" style="11" customWidth="1"/>
    <col min="1794" max="1794" width="7.36328125" style="11" customWidth="1"/>
    <col min="1795" max="1795" width="5.54296875" style="11" customWidth="1"/>
    <col min="1796" max="1796" width="9" style="11" customWidth="1"/>
    <col min="1797" max="1798" width="9.90625" style="11" customWidth="1"/>
    <col min="1799" max="1799" width="11.08984375" style="11" customWidth="1"/>
    <col min="1800" max="1800" width="2.90625" style="11" customWidth="1"/>
    <col min="1801" max="1801" width="3.54296875" style="11" customWidth="1"/>
    <col min="1802" max="2046" width="9.08984375" style="11"/>
    <col min="2047" max="2047" width="8.6328125" style="11" customWidth="1"/>
    <col min="2048" max="2048" width="9.90625" style="11" customWidth="1"/>
    <col min="2049" max="2049" width="14.453125" style="11" customWidth="1"/>
    <col min="2050" max="2050" width="7.36328125" style="11" customWidth="1"/>
    <col min="2051" max="2051" width="5.54296875" style="11" customWidth="1"/>
    <col min="2052" max="2052" width="9" style="11" customWidth="1"/>
    <col min="2053" max="2054" width="9.90625" style="11" customWidth="1"/>
    <col min="2055" max="2055" width="11.08984375" style="11" customWidth="1"/>
    <col min="2056" max="2056" width="2.90625" style="11" customWidth="1"/>
    <col min="2057" max="2057" width="3.54296875" style="11" customWidth="1"/>
    <col min="2058" max="2302" width="9.08984375" style="11"/>
    <col min="2303" max="2303" width="8.6328125" style="11" customWidth="1"/>
    <col min="2304" max="2304" width="9.90625" style="11" customWidth="1"/>
    <col min="2305" max="2305" width="14.453125" style="11" customWidth="1"/>
    <col min="2306" max="2306" width="7.36328125" style="11" customWidth="1"/>
    <col min="2307" max="2307" width="5.54296875" style="11" customWidth="1"/>
    <col min="2308" max="2308" width="9" style="11" customWidth="1"/>
    <col min="2309" max="2310" width="9.90625" style="11" customWidth="1"/>
    <col min="2311" max="2311" width="11.08984375" style="11" customWidth="1"/>
    <col min="2312" max="2312" width="2.90625" style="11" customWidth="1"/>
    <col min="2313" max="2313" width="3.54296875" style="11" customWidth="1"/>
    <col min="2314" max="2558" width="9.08984375" style="11"/>
    <col min="2559" max="2559" width="8.6328125" style="11" customWidth="1"/>
    <col min="2560" max="2560" width="9.90625" style="11" customWidth="1"/>
    <col min="2561" max="2561" width="14.453125" style="11" customWidth="1"/>
    <col min="2562" max="2562" width="7.36328125" style="11" customWidth="1"/>
    <col min="2563" max="2563" width="5.54296875" style="11" customWidth="1"/>
    <col min="2564" max="2564" width="9" style="11" customWidth="1"/>
    <col min="2565" max="2566" width="9.90625" style="11" customWidth="1"/>
    <col min="2567" max="2567" width="11.08984375" style="11" customWidth="1"/>
    <col min="2568" max="2568" width="2.90625" style="11" customWidth="1"/>
    <col min="2569" max="2569" width="3.54296875" style="11" customWidth="1"/>
    <col min="2570" max="2814" width="9.08984375" style="11"/>
    <col min="2815" max="2815" width="8.6328125" style="11" customWidth="1"/>
    <col min="2816" max="2816" width="9.90625" style="11" customWidth="1"/>
    <col min="2817" max="2817" width="14.453125" style="11" customWidth="1"/>
    <col min="2818" max="2818" width="7.36328125" style="11" customWidth="1"/>
    <col min="2819" max="2819" width="5.54296875" style="11" customWidth="1"/>
    <col min="2820" max="2820" width="9" style="11" customWidth="1"/>
    <col min="2821" max="2822" width="9.90625" style="11" customWidth="1"/>
    <col min="2823" max="2823" width="11.08984375" style="11" customWidth="1"/>
    <col min="2824" max="2824" width="2.90625" style="11" customWidth="1"/>
    <col min="2825" max="2825" width="3.54296875" style="11" customWidth="1"/>
    <col min="2826" max="3070" width="9.08984375" style="11"/>
    <col min="3071" max="3071" width="8.6328125" style="11" customWidth="1"/>
    <col min="3072" max="3072" width="9.90625" style="11" customWidth="1"/>
    <col min="3073" max="3073" width="14.453125" style="11" customWidth="1"/>
    <col min="3074" max="3074" width="7.36328125" style="11" customWidth="1"/>
    <col min="3075" max="3075" width="5.54296875" style="11" customWidth="1"/>
    <col min="3076" max="3076" width="9" style="11" customWidth="1"/>
    <col min="3077" max="3078" width="9.90625" style="11" customWidth="1"/>
    <col min="3079" max="3079" width="11.08984375" style="11" customWidth="1"/>
    <col min="3080" max="3080" width="2.90625" style="11" customWidth="1"/>
    <col min="3081" max="3081" width="3.54296875" style="11" customWidth="1"/>
    <col min="3082" max="3326" width="9.08984375" style="11"/>
    <col min="3327" max="3327" width="8.6328125" style="11" customWidth="1"/>
    <col min="3328" max="3328" width="9.90625" style="11" customWidth="1"/>
    <col min="3329" max="3329" width="14.453125" style="11" customWidth="1"/>
    <col min="3330" max="3330" width="7.36328125" style="11" customWidth="1"/>
    <col min="3331" max="3331" width="5.54296875" style="11" customWidth="1"/>
    <col min="3332" max="3332" width="9" style="11" customWidth="1"/>
    <col min="3333" max="3334" width="9.90625" style="11" customWidth="1"/>
    <col min="3335" max="3335" width="11.08984375" style="11" customWidth="1"/>
    <col min="3336" max="3336" width="2.90625" style="11" customWidth="1"/>
    <col min="3337" max="3337" width="3.54296875" style="11" customWidth="1"/>
    <col min="3338" max="3582" width="9.08984375" style="11"/>
    <col min="3583" max="3583" width="8.6328125" style="11" customWidth="1"/>
    <col min="3584" max="3584" width="9.90625" style="11" customWidth="1"/>
    <col min="3585" max="3585" width="14.453125" style="11" customWidth="1"/>
    <col min="3586" max="3586" width="7.36328125" style="11" customWidth="1"/>
    <col min="3587" max="3587" width="5.54296875" style="11" customWidth="1"/>
    <col min="3588" max="3588" width="9" style="11" customWidth="1"/>
    <col min="3589" max="3590" width="9.90625" style="11" customWidth="1"/>
    <col min="3591" max="3591" width="11.08984375" style="11" customWidth="1"/>
    <col min="3592" max="3592" width="2.90625" style="11" customWidth="1"/>
    <col min="3593" max="3593" width="3.54296875" style="11" customWidth="1"/>
    <col min="3594" max="3838" width="9.08984375" style="11"/>
    <col min="3839" max="3839" width="8.6328125" style="11" customWidth="1"/>
    <col min="3840" max="3840" width="9.90625" style="11" customWidth="1"/>
    <col min="3841" max="3841" width="14.453125" style="11" customWidth="1"/>
    <col min="3842" max="3842" width="7.36328125" style="11" customWidth="1"/>
    <col min="3843" max="3843" width="5.54296875" style="11" customWidth="1"/>
    <col min="3844" max="3844" width="9" style="11" customWidth="1"/>
    <col min="3845" max="3846" width="9.90625" style="11" customWidth="1"/>
    <col min="3847" max="3847" width="11.08984375" style="11" customWidth="1"/>
    <col min="3848" max="3848" width="2.90625" style="11" customWidth="1"/>
    <col min="3849" max="3849" width="3.54296875" style="11" customWidth="1"/>
    <col min="3850" max="4094" width="9.08984375" style="11"/>
    <col min="4095" max="4095" width="8.6328125" style="11" customWidth="1"/>
    <col min="4096" max="4096" width="9.90625" style="11" customWidth="1"/>
    <col min="4097" max="4097" width="14.453125" style="11" customWidth="1"/>
    <col min="4098" max="4098" width="7.36328125" style="11" customWidth="1"/>
    <col min="4099" max="4099" width="5.54296875" style="11" customWidth="1"/>
    <col min="4100" max="4100" width="9" style="11" customWidth="1"/>
    <col min="4101" max="4102" width="9.90625" style="11" customWidth="1"/>
    <col min="4103" max="4103" width="11.08984375" style="11" customWidth="1"/>
    <col min="4104" max="4104" width="2.90625" style="11" customWidth="1"/>
    <col min="4105" max="4105" width="3.54296875" style="11" customWidth="1"/>
    <col min="4106" max="4350" width="9.08984375" style="11"/>
    <col min="4351" max="4351" width="8.6328125" style="11" customWidth="1"/>
    <col min="4352" max="4352" width="9.90625" style="11" customWidth="1"/>
    <col min="4353" max="4353" width="14.453125" style="11" customWidth="1"/>
    <col min="4354" max="4354" width="7.36328125" style="11" customWidth="1"/>
    <col min="4355" max="4355" width="5.54296875" style="11" customWidth="1"/>
    <col min="4356" max="4356" width="9" style="11" customWidth="1"/>
    <col min="4357" max="4358" width="9.90625" style="11" customWidth="1"/>
    <col min="4359" max="4359" width="11.08984375" style="11" customWidth="1"/>
    <col min="4360" max="4360" width="2.90625" style="11" customWidth="1"/>
    <col min="4361" max="4361" width="3.54296875" style="11" customWidth="1"/>
    <col min="4362" max="4606" width="9.08984375" style="11"/>
    <col min="4607" max="4607" width="8.6328125" style="11" customWidth="1"/>
    <col min="4608" max="4608" width="9.90625" style="11" customWidth="1"/>
    <col min="4609" max="4609" width="14.453125" style="11" customWidth="1"/>
    <col min="4610" max="4610" width="7.36328125" style="11" customWidth="1"/>
    <col min="4611" max="4611" width="5.54296875" style="11" customWidth="1"/>
    <col min="4612" max="4612" width="9" style="11" customWidth="1"/>
    <col min="4613" max="4614" width="9.90625" style="11" customWidth="1"/>
    <col min="4615" max="4615" width="11.08984375" style="11" customWidth="1"/>
    <col min="4616" max="4616" width="2.90625" style="11" customWidth="1"/>
    <col min="4617" max="4617" width="3.54296875" style="11" customWidth="1"/>
    <col min="4618" max="4862" width="9.08984375" style="11"/>
    <col min="4863" max="4863" width="8.6328125" style="11" customWidth="1"/>
    <col min="4864" max="4864" width="9.90625" style="11" customWidth="1"/>
    <col min="4865" max="4865" width="14.453125" style="11" customWidth="1"/>
    <col min="4866" max="4866" width="7.36328125" style="11" customWidth="1"/>
    <col min="4867" max="4867" width="5.54296875" style="11" customWidth="1"/>
    <col min="4868" max="4868" width="9" style="11" customWidth="1"/>
    <col min="4869" max="4870" width="9.90625" style="11" customWidth="1"/>
    <col min="4871" max="4871" width="11.08984375" style="11" customWidth="1"/>
    <col min="4872" max="4872" width="2.90625" style="11" customWidth="1"/>
    <col min="4873" max="4873" width="3.54296875" style="11" customWidth="1"/>
    <col min="4874" max="5118" width="9.08984375" style="11"/>
    <col min="5119" max="5119" width="8.6328125" style="11" customWidth="1"/>
    <col min="5120" max="5120" width="9.90625" style="11" customWidth="1"/>
    <col min="5121" max="5121" width="14.453125" style="11" customWidth="1"/>
    <col min="5122" max="5122" width="7.36328125" style="11" customWidth="1"/>
    <col min="5123" max="5123" width="5.54296875" style="11" customWidth="1"/>
    <col min="5124" max="5124" width="9" style="11" customWidth="1"/>
    <col min="5125" max="5126" width="9.90625" style="11" customWidth="1"/>
    <col min="5127" max="5127" width="11.08984375" style="11" customWidth="1"/>
    <col min="5128" max="5128" width="2.90625" style="11" customWidth="1"/>
    <col min="5129" max="5129" width="3.54296875" style="11" customWidth="1"/>
    <col min="5130" max="5374" width="9.08984375" style="11"/>
    <col min="5375" max="5375" width="8.6328125" style="11" customWidth="1"/>
    <col min="5376" max="5376" width="9.90625" style="11" customWidth="1"/>
    <col min="5377" max="5377" width="14.453125" style="11" customWidth="1"/>
    <col min="5378" max="5378" width="7.36328125" style="11" customWidth="1"/>
    <col min="5379" max="5379" width="5.54296875" style="11" customWidth="1"/>
    <col min="5380" max="5380" width="9" style="11" customWidth="1"/>
    <col min="5381" max="5382" width="9.90625" style="11" customWidth="1"/>
    <col min="5383" max="5383" width="11.08984375" style="11" customWidth="1"/>
    <col min="5384" max="5384" width="2.90625" style="11" customWidth="1"/>
    <col min="5385" max="5385" width="3.54296875" style="11" customWidth="1"/>
    <col min="5386" max="5630" width="9.08984375" style="11"/>
    <col min="5631" max="5631" width="8.6328125" style="11" customWidth="1"/>
    <col min="5632" max="5632" width="9.90625" style="11" customWidth="1"/>
    <col min="5633" max="5633" width="14.453125" style="11" customWidth="1"/>
    <col min="5634" max="5634" width="7.36328125" style="11" customWidth="1"/>
    <col min="5635" max="5635" width="5.54296875" style="11" customWidth="1"/>
    <col min="5636" max="5636" width="9" style="11" customWidth="1"/>
    <col min="5637" max="5638" width="9.90625" style="11" customWidth="1"/>
    <col min="5639" max="5639" width="11.08984375" style="11" customWidth="1"/>
    <col min="5640" max="5640" width="2.90625" style="11" customWidth="1"/>
    <col min="5641" max="5641" width="3.54296875" style="11" customWidth="1"/>
    <col min="5642" max="5886" width="9.08984375" style="11"/>
    <col min="5887" max="5887" width="8.6328125" style="11" customWidth="1"/>
    <col min="5888" max="5888" width="9.90625" style="11" customWidth="1"/>
    <col min="5889" max="5889" width="14.453125" style="11" customWidth="1"/>
    <col min="5890" max="5890" width="7.36328125" style="11" customWidth="1"/>
    <col min="5891" max="5891" width="5.54296875" style="11" customWidth="1"/>
    <col min="5892" max="5892" width="9" style="11" customWidth="1"/>
    <col min="5893" max="5894" width="9.90625" style="11" customWidth="1"/>
    <col min="5895" max="5895" width="11.08984375" style="11" customWidth="1"/>
    <col min="5896" max="5896" width="2.90625" style="11" customWidth="1"/>
    <col min="5897" max="5897" width="3.54296875" style="11" customWidth="1"/>
    <col min="5898" max="6142" width="9.08984375" style="11"/>
    <col min="6143" max="6143" width="8.6328125" style="11" customWidth="1"/>
    <col min="6144" max="6144" width="9.90625" style="11" customWidth="1"/>
    <col min="6145" max="6145" width="14.453125" style="11" customWidth="1"/>
    <col min="6146" max="6146" width="7.36328125" style="11" customWidth="1"/>
    <col min="6147" max="6147" width="5.54296875" style="11" customWidth="1"/>
    <col min="6148" max="6148" width="9" style="11" customWidth="1"/>
    <col min="6149" max="6150" width="9.90625" style="11" customWidth="1"/>
    <col min="6151" max="6151" width="11.08984375" style="11" customWidth="1"/>
    <col min="6152" max="6152" width="2.90625" style="11" customWidth="1"/>
    <col min="6153" max="6153" width="3.54296875" style="11" customWidth="1"/>
    <col min="6154" max="6398" width="9.08984375" style="11"/>
    <col min="6399" max="6399" width="8.6328125" style="11" customWidth="1"/>
    <col min="6400" max="6400" width="9.90625" style="11" customWidth="1"/>
    <col min="6401" max="6401" width="14.453125" style="11" customWidth="1"/>
    <col min="6402" max="6402" width="7.36328125" style="11" customWidth="1"/>
    <col min="6403" max="6403" width="5.54296875" style="11" customWidth="1"/>
    <col min="6404" max="6404" width="9" style="11" customWidth="1"/>
    <col min="6405" max="6406" width="9.90625" style="11" customWidth="1"/>
    <col min="6407" max="6407" width="11.08984375" style="11" customWidth="1"/>
    <col min="6408" max="6408" width="2.90625" style="11" customWidth="1"/>
    <col min="6409" max="6409" width="3.54296875" style="11" customWidth="1"/>
    <col min="6410" max="6654" width="9.08984375" style="11"/>
    <col min="6655" max="6655" width="8.6328125" style="11" customWidth="1"/>
    <col min="6656" max="6656" width="9.90625" style="11" customWidth="1"/>
    <col min="6657" max="6657" width="14.453125" style="11" customWidth="1"/>
    <col min="6658" max="6658" width="7.36328125" style="11" customWidth="1"/>
    <col min="6659" max="6659" width="5.54296875" style="11" customWidth="1"/>
    <col min="6660" max="6660" width="9" style="11" customWidth="1"/>
    <col min="6661" max="6662" width="9.90625" style="11" customWidth="1"/>
    <col min="6663" max="6663" width="11.08984375" style="11" customWidth="1"/>
    <col min="6664" max="6664" width="2.90625" style="11" customWidth="1"/>
    <col min="6665" max="6665" width="3.54296875" style="11" customWidth="1"/>
    <col min="6666" max="6910" width="9.08984375" style="11"/>
    <col min="6911" max="6911" width="8.6328125" style="11" customWidth="1"/>
    <col min="6912" max="6912" width="9.90625" style="11" customWidth="1"/>
    <col min="6913" max="6913" width="14.453125" style="11" customWidth="1"/>
    <col min="6914" max="6914" width="7.36328125" style="11" customWidth="1"/>
    <col min="6915" max="6915" width="5.54296875" style="11" customWidth="1"/>
    <col min="6916" max="6916" width="9" style="11" customWidth="1"/>
    <col min="6917" max="6918" width="9.90625" style="11" customWidth="1"/>
    <col min="6919" max="6919" width="11.08984375" style="11" customWidth="1"/>
    <col min="6920" max="6920" width="2.90625" style="11" customWidth="1"/>
    <col min="6921" max="6921" width="3.54296875" style="11" customWidth="1"/>
    <col min="6922" max="7166" width="9.08984375" style="11"/>
    <col min="7167" max="7167" width="8.6328125" style="11" customWidth="1"/>
    <col min="7168" max="7168" width="9.90625" style="11" customWidth="1"/>
    <col min="7169" max="7169" width="14.453125" style="11" customWidth="1"/>
    <col min="7170" max="7170" width="7.36328125" style="11" customWidth="1"/>
    <col min="7171" max="7171" width="5.54296875" style="11" customWidth="1"/>
    <col min="7172" max="7172" width="9" style="11" customWidth="1"/>
    <col min="7173" max="7174" width="9.90625" style="11" customWidth="1"/>
    <col min="7175" max="7175" width="11.08984375" style="11" customWidth="1"/>
    <col min="7176" max="7176" width="2.90625" style="11" customWidth="1"/>
    <col min="7177" max="7177" width="3.54296875" style="11" customWidth="1"/>
    <col min="7178" max="7422" width="9.08984375" style="11"/>
    <col min="7423" max="7423" width="8.6328125" style="11" customWidth="1"/>
    <col min="7424" max="7424" width="9.90625" style="11" customWidth="1"/>
    <col min="7425" max="7425" width="14.453125" style="11" customWidth="1"/>
    <col min="7426" max="7426" width="7.36328125" style="11" customWidth="1"/>
    <col min="7427" max="7427" width="5.54296875" style="11" customWidth="1"/>
    <col min="7428" max="7428" width="9" style="11" customWidth="1"/>
    <col min="7429" max="7430" width="9.90625" style="11" customWidth="1"/>
    <col min="7431" max="7431" width="11.08984375" style="11" customWidth="1"/>
    <col min="7432" max="7432" width="2.90625" style="11" customWidth="1"/>
    <col min="7433" max="7433" width="3.54296875" style="11" customWidth="1"/>
    <col min="7434" max="7678" width="9.08984375" style="11"/>
    <col min="7679" max="7679" width="8.6328125" style="11" customWidth="1"/>
    <col min="7680" max="7680" width="9.90625" style="11" customWidth="1"/>
    <col min="7681" max="7681" width="14.453125" style="11" customWidth="1"/>
    <col min="7682" max="7682" width="7.36328125" style="11" customWidth="1"/>
    <col min="7683" max="7683" width="5.54296875" style="11" customWidth="1"/>
    <col min="7684" max="7684" width="9" style="11" customWidth="1"/>
    <col min="7685" max="7686" width="9.90625" style="11" customWidth="1"/>
    <col min="7687" max="7687" width="11.08984375" style="11" customWidth="1"/>
    <col min="7688" max="7688" width="2.90625" style="11" customWidth="1"/>
    <col min="7689" max="7689" width="3.54296875" style="11" customWidth="1"/>
    <col min="7690" max="7934" width="9.08984375" style="11"/>
    <col min="7935" max="7935" width="8.6328125" style="11" customWidth="1"/>
    <col min="7936" max="7936" width="9.90625" style="11" customWidth="1"/>
    <col min="7937" max="7937" width="14.453125" style="11" customWidth="1"/>
    <col min="7938" max="7938" width="7.36328125" style="11" customWidth="1"/>
    <col min="7939" max="7939" width="5.54296875" style="11" customWidth="1"/>
    <col min="7940" max="7940" width="9" style="11" customWidth="1"/>
    <col min="7941" max="7942" width="9.90625" style="11" customWidth="1"/>
    <col min="7943" max="7943" width="11.08984375" style="11" customWidth="1"/>
    <col min="7944" max="7944" width="2.90625" style="11" customWidth="1"/>
    <col min="7945" max="7945" width="3.54296875" style="11" customWidth="1"/>
    <col min="7946" max="8190" width="9.08984375" style="11"/>
    <col min="8191" max="8191" width="8.6328125" style="11" customWidth="1"/>
    <col min="8192" max="8192" width="9.90625" style="11" customWidth="1"/>
    <col min="8193" max="8193" width="14.453125" style="11" customWidth="1"/>
    <col min="8194" max="8194" width="7.36328125" style="11" customWidth="1"/>
    <col min="8195" max="8195" width="5.54296875" style="11" customWidth="1"/>
    <col min="8196" max="8196" width="9" style="11" customWidth="1"/>
    <col min="8197" max="8198" width="9.90625" style="11" customWidth="1"/>
    <col min="8199" max="8199" width="11.08984375" style="11" customWidth="1"/>
    <col min="8200" max="8200" width="2.90625" style="11" customWidth="1"/>
    <col min="8201" max="8201" width="3.54296875" style="11" customWidth="1"/>
    <col min="8202" max="8446" width="9.08984375" style="11"/>
    <col min="8447" max="8447" width="8.6328125" style="11" customWidth="1"/>
    <col min="8448" max="8448" width="9.90625" style="11" customWidth="1"/>
    <col min="8449" max="8449" width="14.453125" style="11" customWidth="1"/>
    <col min="8450" max="8450" width="7.36328125" style="11" customWidth="1"/>
    <col min="8451" max="8451" width="5.54296875" style="11" customWidth="1"/>
    <col min="8452" max="8452" width="9" style="11" customWidth="1"/>
    <col min="8453" max="8454" width="9.90625" style="11" customWidth="1"/>
    <col min="8455" max="8455" width="11.08984375" style="11" customWidth="1"/>
    <col min="8456" max="8456" width="2.90625" style="11" customWidth="1"/>
    <col min="8457" max="8457" width="3.54296875" style="11" customWidth="1"/>
    <col min="8458" max="8702" width="9.08984375" style="11"/>
    <col min="8703" max="8703" width="8.6328125" style="11" customWidth="1"/>
    <col min="8704" max="8704" width="9.90625" style="11" customWidth="1"/>
    <col min="8705" max="8705" width="14.453125" style="11" customWidth="1"/>
    <col min="8706" max="8706" width="7.36328125" style="11" customWidth="1"/>
    <col min="8707" max="8707" width="5.54296875" style="11" customWidth="1"/>
    <col min="8708" max="8708" width="9" style="11" customWidth="1"/>
    <col min="8709" max="8710" width="9.90625" style="11" customWidth="1"/>
    <col min="8711" max="8711" width="11.08984375" style="11" customWidth="1"/>
    <col min="8712" max="8712" width="2.90625" style="11" customWidth="1"/>
    <col min="8713" max="8713" width="3.54296875" style="11" customWidth="1"/>
    <col min="8714" max="8958" width="9.08984375" style="11"/>
    <col min="8959" max="8959" width="8.6328125" style="11" customWidth="1"/>
    <col min="8960" max="8960" width="9.90625" style="11" customWidth="1"/>
    <col min="8961" max="8961" width="14.453125" style="11" customWidth="1"/>
    <col min="8962" max="8962" width="7.36328125" style="11" customWidth="1"/>
    <col min="8963" max="8963" width="5.54296875" style="11" customWidth="1"/>
    <col min="8964" max="8964" width="9" style="11" customWidth="1"/>
    <col min="8965" max="8966" width="9.90625" style="11" customWidth="1"/>
    <col min="8967" max="8967" width="11.08984375" style="11" customWidth="1"/>
    <col min="8968" max="8968" width="2.90625" style="11" customWidth="1"/>
    <col min="8969" max="8969" width="3.54296875" style="11" customWidth="1"/>
    <col min="8970" max="9214" width="9.08984375" style="11"/>
    <col min="9215" max="9215" width="8.6328125" style="11" customWidth="1"/>
    <col min="9216" max="9216" width="9.90625" style="11" customWidth="1"/>
    <col min="9217" max="9217" width="14.453125" style="11" customWidth="1"/>
    <col min="9218" max="9218" width="7.36328125" style="11" customWidth="1"/>
    <col min="9219" max="9219" width="5.54296875" style="11" customWidth="1"/>
    <col min="9220" max="9220" width="9" style="11" customWidth="1"/>
    <col min="9221" max="9222" width="9.90625" style="11" customWidth="1"/>
    <col min="9223" max="9223" width="11.08984375" style="11" customWidth="1"/>
    <col min="9224" max="9224" width="2.90625" style="11" customWidth="1"/>
    <col min="9225" max="9225" width="3.54296875" style="11" customWidth="1"/>
    <col min="9226" max="9470" width="9.08984375" style="11"/>
    <col min="9471" max="9471" width="8.6328125" style="11" customWidth="1"/>
    <col min="9472" max="9472" width="9.90625" style="11" customWidth="1"/>
    <col min="9473" max="9473" width="14.453125" style="11" customWidth="1"/>
    <col min="9474" max="9474" width="7.36328125" style="11" customWidth="1"/>
    <col min="9475" max="9475" width="5.54296875" style="11" customWidth="1"/>
    <col min="9476" max="9476" width="9" style="11" customWidth="1"/>
    <col min="9477" max="9478" width="9.90625" style="11" customWidth="1"/>
    <col min="9479" max="9479" width="11.08984375" style="11" customWidth="1"/>
    <col min="9480" max="9480" width="2.90625" style="11" customWidth="1"/>
    <col min="9481" max="9481" width="3.54296875" style="11" customWidth="1"/>
    <col min="9482" max="9726" width="9.08984375" style="11"/>
    <col min="9727" max="9727" width="8.6328125" style="11" customWidth="1"/>
    <col min="9728" max="9728" width="9.90625" style="11" customWidth="1"/>
    <col min="9729" max="9729" width="14.453125" style="11" customWidth="1"/>
    <col min="9730" max="9730" width="7.36328125" style="11" customWidth="1"/>
    <col min="9731" max="9731" width="5.54296875" style="11" customWidth="1"/>
    <col min="9732" max="9732" width="9" style="11" customWidth="1"/>
    <col min="9733" max="9734" width="9.90625" style="11" customWidth="1"/>
    <col min="9735" max="9735" width="11.08984375" style="11" customWidth="1"/>
    <col min="9736" max="9736" width="2.90625" style="11" customWidth="1"/>
    <col min="9737" max="9737" width="3.54296875" style="11" customWidth="1"/>
    <col min="9738" max="9982" width="9.08984375" style="11"/>
    <col min="9983" max="9983" width="8.6328125" style="11" customWidth="1"/>
    <col min="9984" max="9984" width="9.90625" style="11" customWidth="1"/>
    <col min="9985" max="9985" width="14.453125" style="11" customWidth="1"/>
    <col min="9986" max="9986" width="7.36328125" style="11" customWidth="1"/>
    <col min="9987" max="9987" width="5.54296875" style="11" customWidth="1"/>
    <col min="9988" max="9988" width="9" style="11" customWidth="1"/>
    <col min="9989" max="9990" width="9.90625" style="11" customWidth="1"/>
    <col min="9991" max="9991" width="11.08984375" style="11" customWidth="1"/>
    <col min="9992" max="9992" width="2.90625" style="11" customWidth="1"/>
    <col min="9993" max="9993" width="3.54296875" style="11" customWidth="1"/>
    <col min="9994" max="10238" width="9.08984375" style="11"/>
    <col min="10239" max="10239" width="8.6328125" style="11" customWidth="1"/>
    <col min="10240" max="10240" width="9.90625" style="11" customWidth="1"/>
    <col min="10241" max="10241" width="14.453125" style="11" customWidth="1"/>
    <col min="10242" max="10242" width="7.36328125" style="11" customWidth="1"/>
    <col min="10243" max="10243" width="5.54296875" style="11" customWidth="1"/>
    <col min="10244" max="10244" width="9" style="11" customWidth="1"/>
    <col min="10245" max="10246" width="9.90625" style="11" customWidth="1"/>
    <col min="10247" max="10247" width="11.08984375" style="11" customWidth="1"/>
    <col min="10248" max="10248" width="2.90625" style="11" customWidth="1"/>
    <col min="10249" max="10249" width="3.54296875" style="11" customWidth="1"/>
    <col min="10250" max="10494" width="9.08984375" style="11"/>
    <col min="10495" max="10495" width="8.6328125" style="11" customWidth="1"/>
    <col min="10496" max="10496" width="9.90625" style="11" customWidth="1"/>
    <col min="10497" max="10497" width="14.453125" style="11" customWidth="1"/>
    <col min="10498" max="10498" width="7.36328125" style="11" customWidth="1"/>
    <col min="10499" max="10499" width="5.54296875" style="11" customWidth="1"/>
    <col min="10500" max="10500" width="9" style="11" customWidth="1"/>
    <col min="10501" max="10502" width="9.90625" style="11" customWidth="1"/>
    <col min="10503" max="10503" width="11.08984375" style="11" customWidth="1"/>
    <col min="10504" max="10504" width="2.90625" style="11" customWidth="1"/>
    <col min="10505" max="10505" width="3.54296875" style="11" customWidth="1"/>
    <col min="10506" max="10750" width="9.08984375" style="11"/>
    <col min="10751" max="10751" width="8.6328125" style="11" customWidth="1"/>
    <col min="10752" max="10752" width="9.90625" style="11" customWidth="1"/>
    <col min="10753" max="10753" width="14.453125" style="11" customWidth="1"/>
    <col min="10754" max="10754" width="7.36328125" style="11" customWidth="1"/>
    <col min="10755" max="10755" width="5.54296875" style="11" customWidth="1"/>
    <col min="10756" max="10756" width="9" style="11" customWidth="1"/>
    <col min="10757" max="10758" width="9.90625" style="11" customWidth="1"/>
    <col min="10759" max="10759" width="11.08984375" style="11" customWidth="1"/>
    <col min="10760" max="10760" width="2.90625" style="11" customWidth="1"/>
    <col min="10761" max="10761" width="3.54296875" style="11" customWidth="1"/>
    <col min="10762" max="11006" width="9.08984375" style="11"/>
    <col min="11007" max="11007" width="8.6328125" style="11" customWidth="1"/>
    <col min="11008" max="11008" width="9.90625" style="11" customWidth="1"/>
    <col min="11009" max="11009" width="14.453125" style="11" customWidth="1"/>
    <col min="11010" max="11010" width="7.36328125" style="11" customWidth="1"/>
    <col min="11011" max="11011" width="5.54296875" style="11" customWidth="1"/>
    <col min="11012" max="11012" width="9" style="11" customWidth="1"/>
    <col min="11013" max="11014" width="9.90625" style="11" customWidth="1"/>
    <col min="11015" max="11015" width="11.08984375" style="11" customWidth="1"/>
    <col min="11016" max="11016" width="2.90625" style="11" customWidth="1"/>
    <col min="11017" max="11017" width="3.54296875" style="11" customWidth="1"/>
    <col min="11018" max="11262" width="9.08984375" style="11"/>
    <col min="11263" max="11263" width="8.6328125" style="11" customWidth="1"/>
    <col min="11264" max="11264" width="9.90625" style="11" customWidth="1"/>
    <col min="11265" max="11265" width="14.453125" style="11" customWidth="1"/>
    <col min="11266" max="11266" width="7.36328125" style="11" customWidth="1"/>
    <col min="11267" max="11267" width="5.54296875" style="11" customWidth="1"/>
    <col min="11268" max="11268" width="9" style="11" customWidth="1"/>
    <col min="11269" max="11270" width="9.90625" style="11" customWidth="1"/>
    <col min="11271" max="11271" width="11.08984375" style="11" customWidth="1"/>
    <col min="11272" max="11272" width="2.90625" style="11" customWidth="1"/>
    <col min="11273" max="11273" width="3.54296875" style="11" customWidth="1"/>
    <col min="11274" max="11518" width="9.08984375" style="11"/>
    <col min="11519" max="11519" width="8.6328125" style="11" customWidth="1"/>
    <col min="11520" max="11520" width="9.90625" style="11" customWidth="1"/>
    <col min="11521" max="11521" width="14.453125" style="11" customWidth="1"/>
    <col min="11522" max="11522" width="7.36328125" style="11" customWidth="1"/>
    <col min="11523" max="11523" width="5.54296875" style="11" customWidth="1"/>
    <col min="11524" max="11524" width="9" style="11" customWidth="1"/>
    <col min="11525" max="11526" width="9.90625" style="11" customWidth="1"/>
    <col min="11527" max="11527" width="11.08984375" style="11" customWidth="1"/>
    <col min="11528" max="11528" width="2.90625" style="11" customWidth="1"/>
    <col min="11529" max="11529" width="3.54296875" style="11" customWidth="1"/>
    <col min="11530" max="11774" width="9.08984375" style="11"/>
    <col min="11775" max="11775" width="8.6328125" style="11" customWidth="1"/>
    <col min="11776" max="11776" width="9.90625" style="11" customWidth="1"/>
    <col min="11777" max="11777" width="14.453125" style="11" customWidth="1"/>
    <col min="11778" max="11778" width="7.36328125" style="11" customWidth="1"/>
    <col min="11779" max="11779" width="5.54296875" style="11" customWidth="1"/>
    <col min="11780" max="11780" width="9" style="11" customWidth="1"/>
    <col min="11781" max="11782" width="9.90625" style="11" customWidth="1"/>
    <col min="11783" max="11783" width="11.08984375" style="11" customWidth="1"/>
    <col min="11784" max="11784" width="2.90625" style="11" customWidth="1"/>
    <col min="11785" max="11785" width="3.54296875" style="11" customWidth="1"/>
    <col min="11786" max="12030" width="9.08984375" style="11"/>
    <col min="12031" max="12031" width="8.6328125" style="11" customWidth="1"/>
    <col min="12032" max="12032" width="9.90625" style="11" customWidth="1"/>
    <col min="12033" max="12033" width="14.453125" style="11" customWidth="1"/>
    <col min="12034" max="12034" width="7.36328125" style="11" customWidth="1"/>
    <col min="12035" max="12035" width="5.54296875" style="11" customWidth="1"/>
    <col min="12036" max="12036" width="9" style="11" customWidth="1"/>
    <col min="12037" max="12038" width="9.90625" style="11" customWidth="1"/>
    <col min="12039" max="12039" width="11.08984375" style="11" customWidth="1"/>
    <col min="12040" max="12040" width="2.90625" style="11" customWidth="1"/>
    <col min="12041" max="12041" width="3.54296875" style="11" customWidth="1"/>
    <col min="12042" max="12286" width="9.08984375" style="11"/>
    <col min="12287" max="12287" width="8.6328125" style="11" customWidth="1"/>
    <col min="12288" max="12288" width="9.90625" style="11" customWidth="1"/>
    <col min="12289" max="12289" width="14.453125" style="11" customWidth="1"/>
    <col min="12290" max="12290" width="7.36328125" style="11" customWidth="1"/>
    <col min="12291" max="12291" width="5.54296875" style="11" customWidth="1"/>
    <col min="12292" max="12292" width="9" style="11" customWidth="1"/>
    <col min="12293" max="12294" width="9.90625" style="11" customWidth="1"/>
    <col min="12295" max="12295" width="11.08984375" style="11" customWidth="1"/>
    <col min="12296" max="12296" width="2.90625" style="11" customWidth="1"/>
    <col min="12297" max="12297" width="3.54296875" style="11" customWidth="1"/>
    <col min="12298" max="12542" width="9.08984375" style="11"/>
    <col min="12543" max="12543" width="8.6328125" style="11" customWidth="1"/>
    <col min="12544" max="12544" width="9.90625" style="11" customWidth="1"/>
    <col min="12545" max="12545" width="14.453125" style="11" customWidth="1"/>
    <col min="12546" max="12546" width="7.36328125" style="11" customWidth="1"/>
    <col min="12547" max="12547" width="5.54296875" style="11" customWidth="1"/>
    <col min="12548" max="12548" width="9" style="11" customWidth="1"/>
    <col min="12549" max="12550" width="9.90625" style="11" customWidth="1"/>
    <col min="12551" max="12551" width="11.08984375" style="11" customWidth="1"/>
    <col min="12552" max="12552" width="2.90625" style="11" customWidth="1"/>
    <col min="12553" max="12553" width="3.54296875" style="11" customWidth="1"/>
    <col min="12554" max="12798" width="9.08984375" style="11"/>
    <col min="12799" max="12799" width="8.6328125" style="11" customWidth="1"/>
    <col min="12800" max="12800" width="9.90625" style="11" customWidth="1"/>
    <col min="12801" max="12801" width="14.453125" style="11" customWidth="1"/>
    <col min="12802" max="12802" width="7.36328125" style="11" customWidth="1"/>
    <col min="12803" max="12803" width="5.54296875" style="11" customWidth="1"/>
    <col min="12804" max="12804" width="9" style="11" customWidth="1"/>
    <col min="12805" max="12806" width="9.90625" style="11" customWidth="1"/>
    <col min="12807" max="12807" width="11.08984375" style="11" customWidth="1"/>
    <col min="12808" max="12808" width="2.90625" style="11" customWidth="1"/>
    <col min="12809" max="12809" width="3.54296875" style="11" customWidth="1"/>
    <col min="12810" max="13054" width="9.08984375" style="11"/>
    <col min="13055" max="13055" width="8.6328125" style="11" customWidth="1"/>
    <col min="13056" max="13056" width="9.90625" style="11" customWidth="1"/>
    <col min="13057" max="13057" width="14.453125" style="11" customWidth="1"/>
    <col min="13058" max="13058" width="7.36328125" style="11" customWidth="1"/>
    <col min="13059" max="13059" width="5.54296875" style="11" customWidth="1"/>
    <col min="13060" max="13060" width="9" style="11" customWidth="1"/>
    <col min="13061" max="13062" width="9.90625" style="11" customWidth="1"/>
    <col min="13063" max="13063" width="11.08984375" style="11" customWidth="1"/>
    <col min="13064" max="13064" width="2.90625" style="11" customWidth="1"/>
    <col min="13065" max="13065" width="3.54296875" style="11" customWidth="1"/>
    <col min="13066" max="13310" width="9.08984375" style="11"/>
    <col min="13311" max="13311" width="8.6328125" style="11" customWidth="1"/>
    <col min="13312" max="13312" width="9.90625" style="11" customWidth="1"/>
    <col min="13313" max="13313" width="14.453125" style="11" customWidth="1"/>
    <col min="13314" max="13314" width="7.36328125" style="11" customWidth="1"/>
    <col min="13315" max="13315" width="5.54296875" style="11" customWidth="1"/>
    <col min="13316" max="13316" width="9" style="11" customWidth="1"/>
    <col min="13317" max="13318" width="9.90625" style="11" customWidth="1"/>
    <col min="13319" max="13319" width="11.08984375" style="11" customWidth="1"/>
    <col min="13320" max="13320" width="2.90625" style="11" customWidth="1"/>
    <col min="13321" max="13321" width="3.54296875" style="11" customWidth="1"/>
    <col min="13322" max="13566" width="9.08984375" style="11"/>
    <col min="13567" max="13567" width="8.6328125" style="11" customWidth="1"/>
    <col min="13568" max="13568" width="9.90625" style="11" customWidth="1"/>
    <col min="13569" max="13569" width="14.453125" style="11" customWidth="1"/>
    <col min="13570" max="13570" width="7.36328125" style="11" customWidth="1"/>
    <col min="13571" max="13571" width="5.54296875" style="11" customWidth="1"/>
    <col min="13572" max="13572" width="9" style="11" customWidth="1"/>
    <col min="13573" max="13574" width="9.90625" style="11" customWidth="1"/>
    <col min="13575" max="13575" width="11.08984375" style="11" customWidth="1"/>
    <col min="13576" max="13576" width="2.90625" style="11" customWidth="1"/>
    <col min="13577" max="13577" width="3.54296875" style="11" customWidth="1"/>
    <col min="13578" max="13822" width="9.08984375" style="11"/>
    <col min="13823" max="13823" width="8.6328125" style="11" customWidth="1"/>
    <col min="13824" max="13824" width="9.90625" style="11" customWidth="1"/>
    <col min="13825" max="13825" width="14.453125" style="11" customWidth="1"/>
    <col min="13826" max="13826" width="7.36328125" style="11" customWidth="1"/>
    <col min="13827" max="13827" width="5.54296875" style="11" customWidth="1"/>
    <col min="13828" max="13828" width="9" style="11" customWidth="1"/>
    <col min="13829" max="13830" width="9.90625" style="11" customWidth="1"/>
    <col min="13831" max="13831" width="11.08984375" style="11" customWidth="1"/>
    <col min="13832" max="13832" width="2.90625" style="11" customWidth="1"/>
    <col min="13833" max="13833" width="3.54296875" style="11" customWidth="1"/>
    <col min="13834" max="14078" width="9.08984375" style="11"/>
    <col min="14079" max="14079" width="8.6328125" style="11" customWidth="1"/>
    <col min="14080" max="14080" width="9.90625" style="11" customWidth="1"/>
    <col min="14081" max="14081" width="14.453125" style="11" customWidth="1"/>
    <col min="14082" max="14082" width="7.36328125" style="11" customWidth="1"/>
    <col min="14083" max="14083" width="5.54296875" style="11" customWidth="1"/>
    <col min="14084" max="14084" width="9" style="11" customWidth="1"/>
    <col min="14085" max="14086" width="9.90625" style="11" customWidth="1"/>
    <col min="14087" max="14087" width="11.08984375" style="11" customWidth="1"/>
    <col min="14088" max="14088" width="2.90625" style="11" customWidth="1"/>
    <col min="14089" max="14089" width="3.54296875" style="11" customWidth="1"/>
    <col min="14090" max="14334" width="9.08984375" style="11"/>
    <col min="14335" max="14335" width="8.6328125" style="11" customWidth="1"/>
    <col min="14336" max="14336" width="9.90625" style="11" customWidth="1"/>
    <col min="14337" max="14337" width="14.453125" style="11" customWidth="1"/>
    <col min="14338" max="14338" width="7.36328125" style="11" customWidth="1"/>
    <col min="14339" max="14339" width="5.54296875" style="11" customWidth="1"/>
    <col min="14340" max="14340" width="9" style="11" customWidth="1"/>
    <col min="14341" max="14342" width="9.90625" style="11" customWidth="1"/>
    <col min="14343" max="14343" width="11.08984375" style="11" customWidth="1"/>
    <col min="14344" max="14344" width="2.90625" style="11" customWidth="1"/>
    <col min="14345" max="14345" width="3.54296875" style="11" customWidth="1"/>
    <col min="14346" max="14590" width="9.08984375" style="11"/>
    <col min="14591" max="14591" width="8.6328125" style="11" customWidth="1"/>
    <col min="14592" max="14592" width="9.90625" style="11" customWidth="1"/>
    <col min="14593" max="14593" width="14.453125" style="11" customWidth="1"/>
    <col min="14594" max="14594" width="7.36328125" style="11" customWidth="1"/>
    <col min="14595" max="14595" width="5.54296875" style="11" customWidth="1"/>
    <col min="14596" max="14596" width="9" style="11" customWidth="1"/>
    <col min="14597" max="14598" width="9.90625" style="11" customWidth="1"/>
    <col min="14599" max="14599" width="11.08984375" style="11" customWidth="1"/>
    <col min="14600" max="14600" width="2.90625" style="11" customWidth="1"/>
    <col min="14601" max="14601" width="3.54296875" style="11" customWidth="1"/>
    <col min="14602" max="14846" width="9.08984375" style="11"/>
    <col min="14847" max="14847" width="8.6328125" style="11" customWidth="1"/>
    <col min="14848" max="14848" width="9.90625" style="11" customWidth="1"/>
    <col min="14849" max="14849" width="14.453125" style="11" customWidth="1"/>
    <col min="14850" max="14850" width="7.36328125" style="11" customWidth="1"/>
    <col min="14851" max="14851" width="5.54296875" style="11" customWidth="1"/>
    <col min="14852" max="14852" width="9" style="11" customWidth="1"/>
    <col min="14853" max="14854" width="9.90625" style="11" customWidth="1"/>
    <col min="14855" max="14855" width="11.08984375" style="11" customWidth="1"/>
    <col min="14856" max="14856" width="2.90625" style="11" customWidth="1"/>
    <col min="14857" max="14857" width="3.54296875" style="11" customWidth="1"/>
    <col min="14858" max="15102" width="9.08984375" style="11"/>
    <col min="15103" max="15103" width="8.6328125" style="11" customWidth="1"/>
    <col min="15104" max="15104" width="9.90625" style="11" customWidth="1"/>
    <col min="15105" max="15105" width="14.453125" style="11" customWidth="1"/>
    <col min="15106" max="15106" width="7.36328125" style="11" customWidth="1"/>
    <col min="15107" max="15107" width="5.54296875" style="11" customWidth="1"/>
    <col min="15108" max="15108" width="9" style="11" customWidth="1"/>
    <col min="15109" max="15110" width="9.90625" style="11" customWidth="1"/>
    <col min="15111" max="15111" width="11.08984375" style="11" customWidth="1"/>
    <col min="15112" max="15112" width="2.90625" style="11" customWidth="1"/>
    <col min="15113" max="15113" width="3.54296875" style="11" customWidth="1"/>
    <col min="15114" max="15358" width="9.08984375" style="11"/>
    <col min="15359" max="15359" width="8.6328125" style="11" customWidth="1"/>
    <col min="15360" max="15360" width="9.90625" style="11" customWidth="1"/>
    <col min="15361" max="15361" width="14.453125" style="11" customWidth="1"/>
    <col min="15362" max="15362" width="7.36328125" style="11" customWidth="1"/>
    <col min="15363" max="15363" width="5.54296875" style="11" customWidth="1"/>
    <col min="15364" max="15364" width="9" style="11" customWidth="1"/>
    <col min="15365" max="15366" width="9.90625" style="11" customWidth="1"/>
    <col min="15367" max="15367" width="11.08984375" style="11" customWidth="1"/>
    <col min="15368" max="15368" width="2.90625" style="11" customWidth="1"/>
    <col min="15369" max="15369" width="3.54296875" style="11" customWidth="1"/>
    <col min="15370" max="15614" width="9.08984375" style="11"/>
    <col min="15615" max="15615" width="8.6328125" style="11" customWidth="1"/>
    <col min="15616" max="15616" width="9.90625" style="11" customWidth="1"/>
    <col min="15617" max="15617" width="14.453125" style="11" customWidth="1"/>
    <col min="15618" max="15618" width="7.36328125" style="11" customWidth="1"/>
    <col min="15619" max="15619" width="5.54296875" style="11" customWidth="1"/>
    <col min="15620" max="15620" width="9" style="11" customWidth="1"/>
    <col min="15621" max="15622" width="9.90625" style="11" customWidth="1"/>
    <col min="15623" max="15623" width="11.08984375" style="11" customWidth="1"/>
    <col min="15624" max="15624" width="2.90625" style="11" customWidth="1"/>
    <col min="15625" max="15625" width="3.54296875" style="11" customWidth="1"/>
    <col min="15626" max="15870" width="9.08984375" style="11"/>
    <col min="15871" max="15871" width="8.6328125" style="11" customWidth="1"/>
    <col min="15872" max="15872" width="9.90625" style="11" customWidth="1"/>
    <col min="15873" max="15873" width="14.453125" style="11" customWidth="1"/>
    <col min="15874" max="15874" width="7.36328125" style="11" customWidth="1"/>
    <col min="15875" max="15875" width="5.54296875" style="11" customWidth="1"/>
    <col min="15876" max="15876" width="9" style="11" customWidth="1"/>
    <col min="15877" max="15878" width="9.90625" style="11" customWidth="1"/>
    <col min="15879" max="15879" width="11.08984375" style="11" customWidth="1"/>
    <col min="15880" max="15880" width="2.90625" style="11" customWidth="1"/>
    <col min="15881" max="15881" width="3.54296875" style="11" customWidth="1"/>
    <col min="15882" max="16126" width="9.08984375" style="11"/>
    <col min="16127" max="16127" width="8.6328125" style="11" customWidth="1"/>
    <col min="16128" max="16128" width="9.90625" style="11" customWidth="1"/>
    <col min="16129" max="16129" width="14.453125" style="11" customWidth="1"/>
    <col min="16130" max="16130" width="7.36328125" style="11" customWidth="1"/>
    <col min="16131" max="16131" width="5.54296875" style="11" customWidth="1"/>
    <col min="16132" max="16132" width="9" style="11" customWidth="1"/>
    <col min="16133" max="16134" width="9.90625" style="11" customWidth="1"/>
    <col min="16135" max="16135" width="11.08984375" style="11" customWidth="1"/>
    <col min="16136" max="16136" width="2.90625" style="11" customWidth="1"/>
    <col min="16137" max="16137" width="3.54296875" style="11" customWidth="1"/>
    <col min="16138" max="16384" width="9.08984375" style="11"/>
  </cols>
  <sheetData>
    <row r="1" spans="1:9" ht="46.5" customHeight="1" x14ac:dyDescent="0.35">
      <c r="A1" s="114" t="s">
        <v>284</v>
      </c>
      <c r="B1" s="114"/>
      <c r="C1" s="114"/>
      <c r="D1" s="114"/>
      <c r="E1" s="114"/>
      <c r="F1" s="114"/>
      <c r="G1" s="114"/>
      <c r="H1" s="114"/>
    </row>
    <row r="2" spans="1:9" ht="16.5" customHeight="1" x14ac:dyDescent="0.35">
      <c r="A2" s="115" t="s">
        <v>0</v>
      </c>
      <c r="B2" s="115"/>
      <c r="C2" s="115"/>
      <c r="D2" s="115"/>
      <c r="E2" s="115"/>
      <c r="F2" s="115"/>
      <c r="G2" s="115"/>
      <c r="H2" s="115"/>
    </row>
    <row r="3" spans="1:9" x14ac:dyDescent="0.35">
      <c r="A3" s="107" t="s">
        <v>1</v>
      </c>
      <c r="B3" s="107"/>
      <c r="C3" s="107"/>
      <c r="D3" s="107"/>
      <c r="E3" s="116" t="str">
        <f ca="1">TEXT(TODAY(),"DD/MM/YYYY")</f>
        <v>04/08/2025</v>
      </c>
      <c r="F3" s="116"/>
      <c r="G3" s="116"/>
      <c r="H3" s="116"/>
    </row>
    <row r="4" spans="1:9" ht="15" customHeight="1" x14ac:dyDescent="0.35">
      <c r="A4" s="107" t="s">
        <v>2</v>
      </c>
      <c r="B4" s="107"/>
      <c r="C4" s="107"/>
      <c r="D4" s="107"/>
      <c r="E4" s="117" t="s">
        <v>227</v>
      </c>
      <c r="F4" s="117"/>
      <c r="G4" s="117"/>
      <c r="H4" s="117"/>
    </row>
    <row r="5" spans="1:9" x14ac:dyDescent="0.35">
      <c r="A5" s="107" t="s">
        <v>3</v>
      </c>
      <c r="B5" s="107"/>
      <c r="C5" s="107"/>
      <c r="D5" s="107"/>
      <c r="E5" s="116">
        <v>45873</v>
      </c>
      <c r="F5" s="116"/>
      <c r="G5" s="116"/>
      <c r="H5" s="116"/>
    </row>
    <row r="6" spans="1:9" ht="16.5" customHeight="1" x14ac:dyDescent="0.35">
      <c r="A6" s="107" t="s">
        <v>4</v>
      </c>
      <c r="B6" s="107"/>
      <c r="C6" s="107"/>
      <c r="D6" s="107"/>
      <c r="E6" s="118" t="s">
        <v>185</v>
      </c>
      <c r="F6" s="118"/>
      <c r="G6" s="118"/>
      <c r="H6" s="118"/>
    </row>
    <row r="7" spans="1:9" ht="15" customHeight="1" x14ac:dyDescent="0.35">
      <c r="A7" s="107" t="s">
        <v>5</v>
      </c>
      <c r="B7" s="107"/>
      <c r="C7" s="107"/>
      <c r="D7" s="107"/>
      <c r="E7" s="118" t="str">
        <f>E6</f>
        <v>M/s. Sandu Developers</v>
      </c>
      <c r="F7" s="118"/>
      <c r="G7" s="118"/>
      <c r="H7" s="118"/>
    </row>
    <row r="8" spans="1:9" x14ac:dyDescent="0.35">
      <c r="A8" s="107" t="s">
        <v>6</v>
      </c>
      <c r="B8" s="107"/>
      <c r="C8" s="107"/>
      <c r="D8" s="107"/>
      <c r="E8" s="108" t="s">
        <v>233</v>
      </c>
      <c r="F8" s="108"/>
      <c r="G8" s="108"/>
      <c r="H8" s="108"/>
      <c r="I8" s="11" t="s">
        <v>291</v>
      </c>
    </row>
    <row r="9" spans="1:9" x14ac:dyDescent="0.35">
      <c r="A9" s="107" t="s">
        <v>285</v>
      </c>
      <c r="B9" s="107"/>
      <c r="C9" s="107"/>
      <c r="D9" s="107"/>
      <c r="E9" s="108" t="s">
        <v>286</v>
      </c>
      <c r="F9" s="108"/>
      <c r="G9" s="108"/>
      <c r="H9" s="108"/>
    </row>
    <row r="10" spans="1:9" x14ac:dyDescent="0.35">
      <c r="A10" s="107" t="s">
        <v>180</v>
      </c>
      <c r="B10" s="107"/>
      <c r="C10" s="107"/>
      <c r="D10" s="107"/>
      <c r="E10" s="107" t="s">
        <v>184</v>
      </c>
      <c r="F10" s="107"/>
      <c r="G10" s="107"/>
      <c r="H10" s="107"/>
    </row>
    <row r="11" spans="1:9" x14ac:dyDescent="0.35">
      <c r="A11" s="107" t="s">
        <v>7</v>
      </c>
      <c r="B11" s="107"/>
      <c r="C11" s="107"/>
      <c r="D11" s="107"/>
      <c r="E11" s="107" t="s">
        <v>188</v>
      </c>
      <c r="F11" s="107"/>
      <c r="G11" s="107"/>
      <c r="H11" s="107"/>
    </row>
    <row r="12" spans="1:9" x14ac:dyDescent="0.35">
      <c r="A12" s="107" t="s">
        <v>8</v>
      </c>
      <c r="B12" s="107"/>
      <c r="C12" s="107"/>
      <c r="D12" s="107"/>
      <c r="E12" s="118" t="s">
        <v>242</v>
      </c>
      <c r="F12" s="118"/>
      <c r="G12" s="118"/>
      <c r="H12" s="118"/>
    </row>
    <row r="13" spans="1:9" x14ac:dyDescent="0.35">
      <c r="A13" s="107" t="s">
        <v>232</v>
      </c>
      <c r="B13" s="107"/>
      <c r="C13" s="107"/>
      <c r="D13" s="107"/>
      <c r="E13" s="118" t="s">
        <v>287</v>
      </c>
      <c r="F13" s="107"/>
      <c r="G13" s="107"/>
      <c r="H13" s="107"/>
    </row>
    <row r="14" spans="1:9" ht="51" customHeight="1" x14ac:dyDescent="0.35">
      <c r="A14" s="118" t="s">
        <v>9</v>
      </c>
      <c r="B14" s="118"/>
      <c r="C14" s="118" t="s">
        <v>288</v>
      </c>
      <c r="D14" s="118"/>
      <c r="E14" s="118"/>
      <c r="F14" s="118"/>
      <c r="G14" s="118"/>
      <c r="H14" s="118"/>
    </row>
    <row r="15" spans="1:9" ht="18.75" customHeight="1" x14ac:dyDescent="0.35">
      <c r="A15" s="118" t="s">
        <v>235</v>
      </c>
      <c r="B15" s="118"/>
      <c r="C15" s="118" t="s">
        <v>234</v>
      </c>
      <c r="D15" s="118"/>
      <c r="E15" s="118"/>
      <c r="F15" s="118"/>
      <c r="G15" s="118"/>
      <c r="H15" s="118"/>
    </row>
    <row r="16" spans="1:9" ht="15.75" customHeight="1" x14ac:dyDescent="0.35">
      <c r="A16" s="118" t="s">
        <v>10</v>
      </c>
      <c r="B16" s="118"/>
      <c r="C16" s="107" t="s">
        <v>219</v>
      </c>
      <c r="D16" s="107"/>
      <c r="E16" s="118" t="s">
        <v>111</v>
      </c>
      <c r="F16" s="118"/>
      <c r="G16" s="118" t="s">
        <v>240</v>
      </c>
      <c r="H16" s="118"/>
    </row>
    <row r="17" spans="1:8" x14ac:dyDescent="0.35">
      <c r="A17" s="107" t="s">
        <v>12</v>
      </c>
      <c r="B17" s="107"/>
      <c r="C17" s="118" t="s">
        <v>269</v>
      </c>
      <c r="D17" s="118"/>
      <c r="E17" s="118" t="s">
        <v>11</v>
      </c>
      <c r="F17" s="118"/>
      <c r="G17" s="119" t="s">
        <v>187</v>
      </c>
      <c r="H17" s="119"/>
    </row>
    <row r="18" spans="1:8" x14ac:dyDescent="0.35">
      <c r="A18" s="107" t="s">
        <v>112</v>
      </c>
      <c r="B18" s="107"/>
      <c r="C18" s="118" t="s">
        <v>186</v>
      </c>
      <c r="D18" s="118"/>
      <c r="E18" s="118" t="s">
        <v>13</v>
      </c>
      <c r="F18" s="118"/>
      <c r="G18" s="118">
        <v>400086</v>
      </c>
      <c r="H18" s="118"/>
    </row>
    <row r="19" spans="1:8" ht="32.25" customHeight="1" x14ac:dyDescent="0.35">
      <c r="A19" s="107" t="s">
        <v>183</v>
      </c>
      <c r="B19" s="107"/>
      <c r="C19" s="118" t="s">
        <v>221</v>
      </c>
      <c r="D19" s="118"/>
      <c r="E19" s="118" t="s">
        <v>14</v>
      </c>
      <c r="F19" s="118"/>
      <c r="G19" s="118" t="s">
        <v>222</v>
      </c>
      <c r="H19" s="118"/>
    </row>
    <row r="20" spans="1:8" ht="15" customHeight="1" x14ac:dyDescent="0.35">
      <c r="A20" s="118" t="s">
        <v>116</v>
      </c>
      <c r="B20" s="118"/>
      <c r="C20" s="118"/>
      <c r="D20" s="118"/>
      <c r="E20" s="107" t="s">
        <v>15</v>
      </c>
      <c r="F20" s="107"/>
      <c r="G20" s="107"/>
      <c r="H20" s="107"/>
    </row>
    <row r="21" spans="1:8" ht="18.75" customHeight="1" x14ac:dyDescent="0.35">
      <c r="A21" s="118"/>
      <c r="B21" s="118"/>
      <c r="C21" s="118"/>
      <c r="D21" s="118"/>
      <c r="E21" s="107"/>
      <c r="F21" s="107"/>
      <c r="G21" s="107"/>
      <c r="H21" s="107"/>
    </row>
    <row r="22" spans="1:8" ht="15" customHeight="1" x14ac:dyDescent="0.35">
      <c r="A22" s="118" t="s">
        <v>16</v>
      </c>
      <c r="B22" s="118"/>
      <c r="C22" s="118"/>
      <c r="D22" s="118"/>
      <c r="E22" s="118" t="s">
        <v>17</v>
      </c>
      <c r="F22" s="118"/>
      <c r="G22" s="118"/>
      <c r="H22" s="118"/>
    </row>
    <row r="23" spans="1:8" ht="15" customHeight="1" x14ac:dyDescent="0.35">
      <c r="A23" s="107" t="s">
        <v>18</v>
      </c>
      <c r="B23" s="107"/>
      <c r="C23" s="107"/>
      <c r="D23" s="107"/>
      <c r="E23" s="118" t="str">
        <f>IF(AND(G17="Mumbai"),"Upper Class","Middle Class")</f>
        <v>Upper Class</v>
      </c>
      <c r="F23" s="118"/>
      <c r="G23" s="118"/>
      <c r="H23" s="118"/>
    </row>
    <row r="24" spans="1:8" x14ac:dyDescent="0.35">
      <c r="A24" s="107" t="s">
        <v>19</v>
      </c>
      <c r="B24" s="107"/>
      <c r="C24" s="107"/>
      <c r="D24" s="107"/>
      <c r="E24" s="118" t="s">
        <v>20</v>
      </c>
      <c r="F24" s="118"/>
      <c r="G24" s="118"/>
      <c r="H24" s="118"/>
    </row>
    <row r="25" spans="1:8" ht="15.75" customHeight="1" x14ac:dyDescent="0.35">
      <c r="A25" s="107" t="s">
        <v>21</v>
      </c>
      <c r="B25" s="107"/>
      <c r="C25" s="107"/>
      <c r="D25" s="107"/>
      <c r="E25" s="118" t="str">
        <f>IF(AND(G17="Mumbai"),"Developed","Developing")</f>
        <v>Developed</v>
      </c>
      <c r="F25" s="118"/>
      <c r="G25" s="118"/>
      <c r="H25" s="118"/>
    </row>
    <row r="26" spans="1:8" x14ac:dyDescent="0.35">
      <c r="A26" s="107" t="s">
        <v>22</v>
      </c>
      <c r="B26" s="107"/>
      <c r="C26" s="107"/>
      <c r="D26" s="107"/>
      <c r="E26" s="118" t="s">
        <v>23</v>
      </c>
      <c r="F26" s="118"/>
      <c r="G26" s="118"/>
      <c r="H26" s="118"/>
    </row>
    <row r="27" spans="1:8" x14ac:dyDescent="0.35">
      <c r="A27" s="107" t="s">
        <v>125</v>
      </c>
      <c r="B27" s="107"/>
      <c r="C27" s="107"/>
      <c r="D27" s="107"/>
      <c r="E27" s="118" t="s">
        <v>126</v>
      </c>
      <c r="F27" s="118"/>
      <c r="G27" s="118"/>
      <c r="H27" s="118"/>
    </row>
    <row r="28" spans="1:8" ht="15" customHeight="1" x14ac:dyDescent="0.35">
      <c r="A28" s="118" t="s">
        <v>34</v>
      </c>
      <c r="B28" s="118"/>
      <c r="C28" s="118"/>
      <c r="D28" s="118"/>
      <c r="E28" s="117" t="s">
        <v>121</v>
      </c>
      <c r="F28" s="117"/>
      <c r="G28" s="117"/>
      <c r="H28" s="117"/>
    </row>
    <row r="29" spans="1:8" x14ac:dyDescent="0.35">
      <c r="A29" s="118" t="s">
        <v>139</v>
      </c>
      <c r="B29" s="118"/>
      <c r="C29" s="118"/>
      <c r="D29" s="118"/>
      <c r="E29" s="118" t="s">
        <v>35</v>
      </c>
      <c r="F29" s="118"/>
      <c r="G29" s="118"/>
      <c r="H29" s="118"/>
    </row>
    <row r="30" spans="1:8" x14ac:dyDescent="0.35">
      <c r="A30" s="122" t="s">
        <v>140</v>
      </c>
      <c r="B30" s="122"/>
      <c r="C30" s="115" t="s">
        <v>28</v>
      </c>
      <c r="D30" s="115"/>
      <c r="E30" s="115"/>
      <c r="F30" s="115" t="s">
        <v>30</v>
      </c>
      <c r="G30" s="115"/>
      <c r="H30" s="115"/>
    </row>
    <row r="31" spans="1:8" x14ac:dyDescent="0.35">
      <c r="A31" s="120" t="s">
        <v>24</v>
      </c>
      <c r="B31" s="120" t="s">
        <v>29</v>
      </c>
      <c r="C31" s="121" t="s">
        <v>338</v>
      </c>
      <c r="D31" s="121"/>
      <c r="E31" s="121"/>
      <c r="F31" s="121" t="s">
        <v>336</v>
      </c>
      <c r="G31" s="121"/>
      <c r="H31" s="121"/>
    </row>
    <row r="32" spans="1:8" x14ac:dyDescent="0.35">
      <c r="A32" s="120" t="s">
        <v>25</v>
      </c>
      <c r="B32" s="120" t="s">
        <v>29</v>
      </c>
      <c r="C32" s="121" t="s">
        <v>337</v>
      </c>
      <c r="D32" s="121"/>
      <c r="E32" s="121"/>
      <c r="F32" s="121" t="s">
        <v>335</v>
      </c>
      <c r="G32" s="121"/>
      <c r="H32" s="121"/>
    </row>
    <row r="33" spans="1:8" x14ac:dyDescent="0.35">
      <c r="A33" s="120" t="s">
        <v>27</v>
      </c>
      <c r="B33" s="120" t="s">
        <v>29</v>
      </c>
      <c r="C33" s="121" t="s">
        <v>338</v>
      </c>
      <c r="D33" s="121"/>
      <c r="E33" s="121"/>
      <c r="F33" s="121" t="s">
        <v>334</v>
      </c>
      <c r="G33" s="121"/>
      <c r="H33" s="121"/>
    </row>
    <row r="34" spans="1:8" x14ac:dyDescent="0.35">
      <c r="A34" s="120" t="s">
        <v>26</v>
      </c>
      <c r="B34" s="120" t="s">
        <v>29</v>
      </c>
      <c r="C34" s="121" t="s">
        <v>338</v>
      </c>
      <c r="D34" s="121"/>
      <c r="E34" s="121"/>
      <c r="F34" s="121" t="s">
        <v>220</v>
      </c>
      <c r="G34" s="121"/>
      <c r="H34" s="121"/>
    </row>
    <row r="35" spans="1:8" x14ac:dyDescent="0.35">
      <c r="A35" s="107" t="s">
        <v>31</v>
      </c>
      <c r="B35" s="107"/>
      <c r="C35" s="107"/>
      <c r="D35" s="107"/>
      <c r="E35" s="107"/>
      <c r="F35" s="107"/>
      <c r="G35" s="107"/>
      <c r="H35" s="107"/>
    </row>
    <row r="36" spans="1:8" ht="15.75" customHeight="1" x14ac:dyDescent="0.35">
      <c r="A36" s="107" t="s">
        <v>281</v>
      </c>
      <c r="B36" s="107"/>
      <c r="C36" s="123" t="s">
        <v>289</v>
      </c>
      <c r="D36" s="124"/>
      <c r="E36" s="124"/>
      <c r="F36" s="124"/>
      <c r="G36" s="124"/>
      <c r="H36" s="125"/>
    </row>
    <row r="37" spans="1:8" ht="15.75" customHeight="1" x14ac:dyDescent="0.35">
      <c r="A37" s="107" t="s">
        <v>282</v>
      </c>
      <c r="B37" s="107"/>
      <c r="C37" s="126" t="s">
        <v>283</v>
      </c>
      <c r="D37" s="127"/>
      <c r="E37" s="127"/>
      <c r="F37" s="127"/>
      <c r="G37" s="127"/>
      <c r="H37" s="128"/>
    </row>
    <row r="38" spans="1:8" x14ac:dyDescent="0.35">
      <c r="A38" s="108" t="s">
        <v>36</v>
      </c>
      <c r="B38" s="108"/>
      <c r="C38" s="108"/>
      <c r="D38" s="108"/>
      <c r="E38" s="108"/>
      <c r="F38" s="108"/>
      <c r="G38" s="108"/>
      <c r="H38" s="108"/>
    </row>
    <row r="39" spans="1:8" x14ac:dyDescent="0.35">
      <c r="A39" s="107" t="s">
        <v>37</v>
      </c>
      <c r="B39" s="107"/>
      <c r="C39" s="107"/>
      <c r="D39" s="107"/>
      <c r="E39" s="131">
        <v>2201.75</v>
      </c>
      <c r="F39" s="131"/>
      <c r="G39" s="131"/>
      <c r="H39" s="131"/>
    </row>
    <row r="40" spans="1:8" x14ac:dyDescent="0.35">
      <c r="A40" s="107" t="s">
        <v>38</v>
      </c>
      <c r="B40" s="107"/>
      <c r="C40" s="107"/>
      <c r="D40" s="107"/>
      <c r="E40" s="129">
        <f>2201.75/E39</f>
        <v>1</v>
      </c>
      <c r="F40" s="129"/>
      <c r="G40" s="129"/>
      <c r="H40" s="129"/>
    </row>
    <row r="41" spans="1:8" x14ac:dyDescent="0.35">
      <c r="A41" s="107" t="s">
        <v>39</v>
      </c>
      <c r="B41" s="107"/>
      <c r="C41" s="107"/>
      <c r="D41" s="107"/>
      <c r="E41" s="129">
        <f>E43/E39-E40</f>
        <v>2.687316907005791</v>
      </c>
      <c r="F41" s="129"/>
      <c r="G41" s="129"/>
      <c r="H41" s="129"/>
    </row>
    <row r="42" spans="1:8" x14ac:dyDescent="0.35">
      <c r="A42" s="107" t="s">
        <v>40</v>
      </c>
      <c r="B42" s="107"/>
      <c r="C42" s="107"/>
      <c r="D42" s="107"/>
      <c r="E42" s="129">
        <f>E40+E41</f>
        <v>3.687316907005791</v>
      </c>
      <c r="F42" s="129"/>
      <c r="G42" s="129"/>
      <c r="H42" s="129"/>
    </row>
    <row r="43" spans="1:8" x14ac:dyDescent="0.35">
      <c r="A43" s="107" t="s">
        <v>138</v>
      </c>
      <c r="B43" s="107"/>
      <c r="C43" s="107"/>
      <c r="D43" s="107"/>
      <c r="E43" s="130">
        <v>8118.55</v>
      </c>
      <c r="F43" s="130"/>
      <c r="G43" s="130"/>
      <c r="H43" s="130"/>
    </row>
    <row r="44" spans="1:8" x14ac:dyDescent="0.35">
      <c r="A44" s="107" t="s">
        <v>41</v>
      </c>
      <c r="B44" s="107"/>
      <c r="C44" s="107"/>
      <c r="D44" s="107"/>
      <c r="E44" s="107" t="s">
        <v>243</v>
      </c>
      <c r="F44" s="107"/>
      <c r="G44" s="107"/>
      <c r="H44" s="107"/>
    </row>
    <row r="45" spans="1:8" x14ac:dyDescent="0.35">
      <c r="A45" s="108" t="s">
        <v>42</v>
      </c>
      <c r="B45" s="108"/>
      <c r="C45" s="108"/>
      <c r="D45" s="108"/>
      <c r="E45" s="108"/>
      <c r="F45" s="108"/>
      <c r="G45" s="108"/>
      <c r="H45" s="108"/>
    </row>
    <row r="46" spans="1:8" s="12" customFormat="1" x14ac:dyDescent="0.35">
      <c r="A46" s="118" t="s">
        <v>43</v>
      </c>
      <c r="B46" s="118"/>
      <c r="C46" s="118" t="s">
        <v>292</v>
      </c>
      <c r="D46" s="118"/>
      <c r="E46" s="118"/>
      <c r="F46" s="74" t="s">
        <v>44</v>
      </c>
      <c r="G46" s="138">
        <v>45503</v>
      </c>
      <c r="H46" s="138"/>
    </row>
    <row r="47" spans="1:8" x14ac:dyDescent="0.35">
      <c r="A47" s="118" t="s">
        <v>45</v>
      </c>
      <c r="B47" s="118"/>
      <c r="C47" s="118" t="str">
        <f>C46</f>
        <v>CHE/ES/2553/N/337(NEW)/337/6/Amend</v>
      </c>
      <c r="D47" s="118"/>
      <c r="E47" s="118"/>
      <c r="F47" s="74" t="s">
        <v>44</v>
      </c>
      <c r="G47" s="138">
        <f>G46</f>
        <v>45503</v>
      </c>
      <c r="H47" s="138"/>
    </row>
    <row r="48" spans="1:8" ht="33" customHeight="1" x14ac:dyDescent="0.35">
      <c r="A48" s="132" t="s">
        <v>290</v>
      </c>
      <c r="B48" s="133"/>
      <c r="C48" s="118" t="s">
        <v>293</v>
      </c>
      <c r="D48" s="107"/>
      <c r="E48" s="107"/>
      <c r="F48" s="79" t="s">
        <v>44</v>
      </c>
      <c r="G48" s="138">
        <v>45702</v>
      </c>
      <c r="H48" s="138"/>
    </row>
    <row r="49" spans="1:11" ht="163" customHeight="1" x14ac:dyDescent="0.35">
      <c r="A49" s="136"/>
      <c r="B49" s="137"/>
      <c r="C49" s="118" t="s">
        <v>294</v>
      </c>
      <c r="D49" s="107"/>
      <c r="E49" s="107"/>
      <c r="F49" s="80" t="s">
        <v>182</v>
      </c>
      <c r="G49" s="138">
        <v>46082</v>
      </c>
      <c r="H49" s="138"/>
    </row>
    <row r="50" spans="1:11" ht="79.75" customHeight="1" x14ac:dyDescent="0.35">
      <c r="A50" s="139" t="s">
        <v>341</v>
      </c>
      <c r="B50" s="139"/>
      <c r="C50" s="139" t="s">
        <v>328</v>
      </c>
      <c r="D50" s="108"/>
      <c r="E50" s="108" t="s">
        <v>48</v>
      </c>
      <c r="F50" s="75" t="s">
        <v>44</v>
      </c>
      <c r="G50" s="140">
        <v>45770</v>
      </c>
      <c r="H50" s="140"/>
    </row>
    <row r="51" spans="1:11" ht="70" customHeight="1" x14ac:dyDescent="0.35">
      <c r="A51" s="139" t="s">
        <v>342</v>
      </c>
      <c r="B51" s="139"/>
      <c r="C51" s="139" t="s">
        <v>329</v>
      </c>
      <c r="D51" s="108"/>
      <c r="E51" s="108" t="s">
        <v>48</v>
      </c>
      <c r="F51" s="75" t="s">
        <v>44</v>
      </c>
      <c r="G51" s="140">
        <v>45854</v>
      </c>
      <c r="H51" s="140"/>
    </row>
    <row r="52" spans="1:11" x14ac:dyDescent="0.35">
      <c r="A52" s="141" t="s">
        <v>50</v>
      </c>
      <c r="B52" s="141"/>
      <c r="C52" s="141"/>
      <c r="D52" s="141"/>
      <c r="E52" s="141"/>
      <c r="F52" s="141"/>
      <c r="G52" s="141"/>
      <c r="H52" s="141"/>
    </row>
    <row r="53" spans="1:11" x14ac:dyDescent="0.35">
      <c r="A53" s="118" t="s">
        <v>331</v>
      </c>
      <c r="B53" s="118"/>
      <c r="C53" s="118"/>
      <c r="D53" s="130">
        <f>E43</f>
        <v>8118.55</v>
      </c>
      <c r="E53" s="107"/>
      <c r="F53" s="107"/>
      <c r="G53" s="107"/>
      <c r="H53" s="107"/>
      <c r="I53" s="11" t="s">
        <v>332</v>
      </c>
      <c r="K53" s="11" t="s">
        <v>333</v>
      </c>
    </row>
    <row r="54" spans="1:11" x14ac:dyDescent="0.35">
      <c r="A54" s="118" t="s">
        <v>51</v>
      </c>
      <c r="B54" s="107"/>
      <c r="C54" s="107"/>
      <c r="D54" s="107" t="s">
        <v>327</v>
      </c>
      <c r="E54" s="107"/>
      <c r="F54" s="107"/>
      <c r="G54" s="107"/>
      <c r="H54" s="107"/>
    </row>
    <row r="55" spans="1:11" ht="31.75" customHeight="1" x14ac:dyDescent="0.35">
      <c r="A55" s="118" t="s">
        <v>52</v>
      </c>
      <c r="B55" s="107"/>
      <c r="C55" s="107"/>
      <c r="D55" s="118" t="s">
        <v>314</v>
      </c>
      <c r="E55" s="107"/>
      <c r="F55" s="107"/>
      <c r="G55" s="107"/>
      <c r="H55" s="107"/>
    </row>
    <row r="56" spans="1:11" ht="16.5" customHeight="1" x14ac:dyDescent="0.35">
      <c r="A56" s="118" t="s">
        <v>135</v>
      </c>
      <c r="B56" s="118"/>
      <c r="C56" s="118"/>
      <c r="D56" s="118" t="s">
        <v>267</v>
      </c>
      <c r="E56" s="107"/>
      <c r="F56" s="107"/>
      <c r="G56" s="107"/>
      <c r="H56" s="107"/>
    </row>
    <row r="57" spans="1:11" ht="16.5" customHeight="1" x14ac:dyDescent="0.35">
      <c r="A57" s="118"/>
      <c r="B57" s="118"/>
      <c r="C57" s="118"/>
      <c r="D57" s="118" t="s">
        <v>268</v>
      </c>
      <c r="E57" s="107"/>
      <c r="F57" s="107"/>
      <c r="G57" s="107"/>
      <c r="H57" s="107"/>
    </row>
    <row r="58" spans="1:11" ht="15.75" customHeight="1" x14ac:dyDescent="0.35">
      <c r="A58" s="107" t="s">
        <v>49</v>
      </c>
      <c r="B58" s="107"/>
      <c r="C58" s="107"/>
      <c r="D58" s="118" t="s">
        <v>275</v>
      </c>
      <c r="E58" s="118"/>
      <c r="F58" s="118"/>
      <c r="G58" s="118"/>
      <c r="H58" s="118"/>
    </row>
    <row r="59" spans="1:11" ht="15.75" customHeight="1" x14ac:dyDescent="0.35">
      <c r="A59" s="107" t="s">
        <v>132</v>
      </c>
      <c r="B59" s="107"/>
      <c r="C59" s="107"/>
      <c r="D59" s="118" t="s">
        <v>133</v>
      </c>
      <c r="E59" s="118"/>
      <c r="F59" s="118"/>
      <c r="G59" s="118"/>
      <c r="H59" s="118"/>
    </row>
    <row r="60" spans="1:11" ht="15.75" customHeight="1" x14ac:dyDescent="0.35">
      <c r="A60" s="107" t="s">
        <v>134</v>
      </c>
      <c r="B60" s="107"/>
      <c r="C60" s="107"/>
      <c r="D60" s="118" t="s">
        <v>23</v>
      </c>
      <c r="E60" s="118"/>
      <c r="F60" s="118"/>
      <c r="G60" s="118"/>
      <c r="H60" s="118"/>
      <c r="J60" s="36"/>
      <c r="K60" s="36"/>
    </row>
    <row r="61" spans="1:11" ht="15.75" customHeight="1" x14ac:dyDescent="0.35">
      <c r="A61" s="107" t="s">
        <v>131</v>
      </c>
      <c r="B61" s="107"/>
      <c r="C61" s="107"/>
      <c r="D61" s="118" t="str">
        <f ca="1">(IF(G82&gt;95%,"Nothing",IF(D63&gt;0%,"Cement, Aggregate, Steel, etc",IF(D63=0%,"Work not yet Started"))))</f>
        <v>Cement, Aggregate, Steel, etc</v>
      </c>
      <c r="E61" s="118"/>
      <c r="F61" s="118"/>
      <c r="G61" s="118"/>
      <c r="H61" s="118"/>
      <c r="J61" s="36"/>
      <c r="K61" s="36"/>
    </row>
    <row r="62" spans="1:11" x14ac:dyDescent="0.35">
      <c r="A62" s="107" t="s">
        <v>330</v>
      </c>
      <c r="B62" s="107"/>
      <c r="C62" s="107"/>
      <c r="D62" s="118" t="s">
        <v>29</v>
      </c>
      <c r="E62" s="118"/>
      <c r="F62" s="118"/>
      <c r="G62" s="118"/>
      <c r="H62" s="118"/>
    </row>
    <row r="63" spans="1:11" s="8" customFormat="1" ht="35.4" customHeight="1" thickBot="1" x14ac:dyDescent="0.4">
      <c r="A63" s="118" t="s">
        <v>174</v>
      </c>
      <c r="B63" s="118"/>
      <c r="C63" s="118"/>
      <c r="D63" s="118" t="str">
        <f ca="1">(IF(G68="100%","Yes",IF(G68&gt;0%,"Under Construction",IF(G68=0%,"Work not yet Started"))))</f>
        <v>Under Construction</v>
      </c>
      <c r="E63" s="118"/>
      <c r="F63" s="118"/>
      <c r="G63" s="118"/>
      <c r="H63" s="118"/>
    </row>
    <row r="64" spans="1:11" customFormat="1" ht="15.75" customHeight="1" x14ac:dyDescent="0.35">
      <c r="A64" s="274" t="s">
        <v>249</v>
      </c>
      <c r="B64" s="274"/>
      <c r="C64" s="274" t="str">
        <f>D56</f>
        <v>Commercial A Wing  = Basement + Ground + 1st &amp; 11th Floor
Residential wing B = Basement + Ground/Stilt + 1st to 11th Floor</v>
      </c>
      <c r="D64" s="274"/>
      <c r="E64" s="274"/>
      <c r="F64" s="274"/>
      <c r="G64" s="274"/>
      <c r="H64" s="274"/>
      <c r="I64" s="69" t="str">
        <f ca="1">(IF(E68&gt;99%,"All work completed. Please provide OC.",IF(E68&gt;89.8%,"Plinth, RCC, Brick, Plaster, Flooring, Painting work Completed. Finishing work is in process.",IF(E68&lt;94%,(IF(C68=0,"Work not yet Started.",IF(D68=25%,"Piling work in process",IF(D68=50%,"Excavation work in process",IF(D68=100%,"Excavation work Completed. ","0")))&amp;(IF(C69=0%,"",IF(C69=J70,"Footing work is process",IF(C69=J71,"Footing work Completed",IF(C69=J72,"1st Basement Completed",IF(C69=J73,"1st &amp; 2nd Basement Completed",IF(C69=J74,"1st to 3rd Basement Completed",IF(C69=J75,"1st to 4th Basement Completed",IF(C69=J76,"Plinth work is process",IF(C69=J77,"Plinth work completed","0")))))))))))&amp;(IF(C70=(D65+F65+H65),", RCC Slab",IF(C70&gt;0,", RCC upto "&amp;C70&amp;" Slab",""))&amp;(IF(C71=H65,", Brickwork",IF(C71&gt;0,", Brickwork upto "&amp;C71&amp;" Floor",""))&amp;(IF(C72=H65,", Internal Plaster",IF(C72&gt;0,", Internal Plaster upto "&amp;C72&amp;" Floor",""))&amp;(IF(C73=H65,", External Plaster",IF(C73&gt;0,", External Plaster upto "&amp;C73&amp;" Floor",""))&amp;(IF(C74=H65,", Flooring",IF(C74&gt;0,", Flooring upto "&amp;C74&amp;" Floor",""))&amp;(IF(C75=H65,", Painting",IF(C75&gt;0,", Painting upto "&amp;C75&amp;" Floor",""))&amp;(IF(C76&gt;0,", Finishing upto "&amp;C76&amp;" Floor","")&amp;(IF(C70&gt;0.5," Completed",""))))))))))))))</f>
        <v>Excavation work Completed. Plinth work completed, RCC upto 11 Slab, Brickwork upto 9 Floor, Internal Plaster upto 3 Floor Completed</v>
      </c>
      <c r="J64" s="81"/>
    </row>
    <row r="65" spans="1:14" s="83" customFormat="1" x14ac:dyDescent="0.35">
      <c r="A65" s="106" t="s">
        <v>108</v>
      </c>
      <c r="B65" s="106">
        <v>1</v>
      </c>
      <c r="C65" s="106" t="s">
        <v>110</v>
      </c>
      <c r="D65" s="106">
        <v>1</v>
      </c>
      <c r="E65" s="106" t="s">
        <v>109</v>
      </c>
      <c r="F65" s="106">
        <v>0</v>
      </c>
      <c r="G65" s="106" t="s">
        <v>124</v>
      </c>
      <c r="H65" s="106">
        <f ca="1">--TRIM(RIGHT(SUBSTITUTE(LEFT(C64,_xlfn.AGGREGATE(16,6,FIND({0,1,2,3,4,5,6,7,8,9},C64,ROW(INDIRECT("1:"&amp;LEN(C64)))),1))," ",REPT(" ",LEN(C64))),LEN(C64)))</f>
        <v>11</v>
      </c>
      <c r="I65" s="70"/>
      <c r="J65" s="82"/>
    </row>
    <row r="66" spans="1:14" s="83" customFormat="1" ht="33" customHeight="1" x14ac:dyDescent="0.35">
      <c r="A66" s="154" t="s">
        <v>136</v>
      </c>
      <c r="B66" s="154"/>
      <c r="C66" s="275" t="str">
        <f ca="1">I64</f>
        <v>Excavation work Completed. Plinth work completed, RCC upto 11 Slab, Brickwork upto 9 Floor, Internal Plaster upto 3 Floor Completed</v>
      </c>
      <c r="D66" s="275"/>
      <c r="E66" s="275"/>
      <c r="F66" s="275"/>
      <c r="G66" s="275"/>
      <c r="H66" s="275"/>
      <c r="I66" s="70" t="s">
        <v>157</v>
      </c>
      <c r="J66" s="82"/>
    </row>
    <row r="67" spans="1:14" s="83" customFormat="1" ht="31" x14ac:dyDescent="0.35">
      <c r="A67" s="143" t="s">
        <v>53</v>
      </c>
      <c r="B67" s="143"/>
      <c r="C67" s="105" t="s">
        <v>250</v>
      </c>
      <c r="D67" s="105" t="s">
        <v>128</v>
      </c>
      <c r="E67" s="143" t="s">
        <v>130</v>
      </c>
      <c r="F67" s="143"/>
      <c r="G67" s="143" t="s">
        <v>129</v>
      </c>
      <c r="H67" s="143"/>
      <c r="I67" s="72" t="s">
        <v>251</v>
      </c>
      <c r="J67" s="84">
        <f ca="1">H65*25%</f>
        <v>2.75</v>
      </c>
    </row>
    <row r="68" spans="1:14" s="83" customFormat="1" x14ac:dyDescent="0.35">
      <c r="A68" s="143" t="s">
        <v>252</v>
      </c>
      <c r="B68" s="143"/>
      <c r="C68" s="85">
        <f ca="1">J69</f>
        <v>11</v>
      </c>
      <c r="D68" s="86">
        <f ca="1">((100/H65)*C68)/100</f>
        <v>1.0000000000000002</v>
      </c>
      <c r="E68" s="276">
        <f ca="1">(((C69/H65*10)+(40/(D65+F65+H65)*C70)+(7.5/(H65)*C71)+(7.5/(H65)*C72)+(10/H65*C73)+(10/H65*C74)+(5/H65*C75)+(5/H65*C76)+(5/H65*C77))/100)</f>
        <v>0.54848484848484846</v>
      </c>
      <c r="F68" s="276"/>
      <c r="G68" s="276">
        <f ca="1">((((C68/H65)*20)+((C69/H65)*25)+(30/(H65+F65+D65)*C70)+(5/H65*C71)+(5/H65*C72)+(5/H65*C73)+(5/H65*C74)+(0/H65*C75)+(0/H65*C76)+(5/H65*C77))/100)</f>
        <v>0.77954545454545454</v>
      </c>
      <c r="H68" s="276"/>
      <c r="I68" s="72" t="s">
        <v>149</v>
      </c>
      <c r="J68" s="87">
        <f ca="1">H65*50%</f>
        <v>5.5</v>
      </c>
    </row>
    <row r="69" spans="1:14" s="83" customFormat="1" x14ac:dyDescent="0.35">
      <c r="A69" s="143" t="s">
        <v>54</v>
      </c>
      <c r="B69" s="143"/>
      <c r="C69" s="88">
        <f ca="1">J77</f>
        <v>11</v>
      </c>
      <c r="D69" s="86">
        <f ca="1">((100/H65)*C69)/100</f>
        <v>1.0000000000000002</v>
      </c>
      <c r="E69" s="276"/>
      <c r="F69" s="276"/>
      <c r="G69" s="276"/>
      <c r="H69" s="276"/>
      <c r="I69" s="72" t="s">
        <v>150</v>
      </c>
      <c r="J69" s="87">
        <f ca="1">H65</f>
        <v>11</v>
      </c>
    </row>
    <row r="70" spans="1:14" s="83" customFormat="1" x14ac:dyDescent="0.35">
      <c r="A70" s="162" t="s">
        <v>253</v>
      </c>
      <c r="B70" s="162"/>
      <c r="C70" s="88">
        <v>11</v>
      </c>
      <c r="D70" s="86">
        <f ca="1">((100/(D65+F65+H65))*C70)/100</f>
        <v>0.91666666666666674</v>
      </c>
      <c r="E70" s="276"/>
      <c r="F70" s="276"/>
      <c r="G70" s="276"/>
      <c r="H70" s="276"/>
      <c r="I70" s="72" t="s">
        <v>151</v>
      </c>
      <c r="J70" s="89">
        <f ca="1">(IF(B65&gt;1,(H65/(B65+2)),H65/4))</f>
        <v>2.75</v>
      </c>
      <c r="L70" s="90"/>
    </row>
    <row r="71" spans="1:14" s="83" customFormat="1" ht="15.75" customHeight="1" x14ac:dyDescent="0.35">
      <c r="A71" s="143" t="s">
        <v>254</v>
      </c>
      <c r="B71" s="143" t="s">
        <v>255</v>
      </c>
      <c r="C71" s="85">
        <v>9</v>
      </c>
      <c r="D71" s="86">
        <f ca="1">((100/H65)*C71)/100</f>
        <v>0.81818181818181823</v>
      </c>
      <c r="E71" s="276"/>
      <c r="F71" s="276"/>
      <c r="G71" s="276"/>
      <c r="H71" s="276"/>
      <c r="I71" s="72" t="s">
        <v>152</v>
      </c>
      <c r="J71" s="89">
        <f ca="1">(IF(B65&gt;1,(H65/(B65+2)+J70),H65/4+J70))</f>
        <v>5.5</v>
      </c>
      <c r="L71" s="90"/>
    </row>
    <row r="72" spans="1:14" s="83" customFormat="1" ht="15.75" customHeight="1" x14ac:dyDescent="0.35">
      <c r="A72" s="143" t="s">
        <v>256</v>
      </c>
      <c r="B72" s="143" t="s">
        <v>255</v>
      </c>
      <c r="C72" s="85">
        <v>3</v>
      </c>
      <c r="D72" s="86">
        <f ca="1">((100/H65)*C72)/100</f>
        <v>0.27272727272727271</v>
      </c>
      <c r="E72" s="276"/>
      <c r="F72" s="276"/>
      <c r="G72" s="276"/>
      <c r="H72" s="276"/>
      <c r="I72" s="72" t="s">
        <v>257</v>
      </c>
      <c r="J72" s="89">
        <f>(IF(B65&gt;1,(H65/(B65+2)+J71),0))</f>
        <v>0</v>
      </c>
      <c r="L72" s="91"/>
      <c r="N72" s="90"/>
    </row>
    <row r="73" spans="1:14" s="83" customFormat="1" ht="15.75" customHeight="1" x14ac:dyDescent="0.35">
      <c r="A73" s="143" t="s">
        <v>258</v>
      </c>
      <c r="B73" s="143" t="s">
        <v>259</v>
      </c>
      <c r="C73" s="85">
        <v>0</v>
      </c>
      <c r="D73" s="86">
        <f ca="1">((100/(H65))*C73)/100</f>
        <v>0</v>
      </c>
      <c r="E73" s="276"/>
      <c r="F73" s="276"/>
      <c r="G73" s="276"/>
      <c r="H73" s="276"/>
      <c r="I73" s="72" t="s">
        <v>260</v>
      </c>
      <c r="J73" s="89">
        <f>(IF(B65&gt;2,(H65/(B65+2)+J72),0))</f>
        <v>0</v>
      </c>
      <c r="K73" s="92"/>
      <c r="L73" s="91"/>
    </row>
    <row r="74" spans="1:14" s="83" customFormat="1" ht="15.75" customHeight="1" x14ac:dyDescent="0.35">
      <c r="A74" s="143" t="s">
        <v>261</v>
      </c>
      <c r="B74" s="143" t="s">
        <v>261</v>
      </c>
      <c r="C74" s="85">
        <v>0</v>
      </c>
      <c r="D74" s="86">
        <f ca="1">((100/H65)*C74)/100</f>
        <v>0</v>
      </c>
      <c r="E74" s="276"/>
      <c r="F74" s="276"/>
      <c r="G74" s="276"/>
      <c r="H74" s="276"/>
      <c r="I74" s="72" t="s">
        <v>262</v>
      </c>
      <c r="J74" s="93">
        <f>(IF(B65&gt;3,(H65/(B65+2)+J73),0))</f>
        <v>0</v>
      </c>
      <c r="K74" s="92"/>
      <c r="L74" s="91"/>
    </row>
    <row r="75" spans="1:14" s="83" customFormat="1" ht="15.75" customHeight="1" x14ac:dyDescent="0.35">
      <c r="A75" s="143" t="s">
        <v>263</v>
      </c>
      <c r="B75" s="143"/>
      <c r="C75" s="85">
        <v>0</v>
      </c>
      <c r="D75" s="86">
        <f ca="1">((100/H65)*C75)/100</f>
        <v>0</v>
      </c>
      <c r="E75" s="276"/>
      <c r="F75" s="276"/>
      <c r="G75" s="276"/>
      <c r="H75" s="276"/>
      <c r="I75" s="72" t="s">
        <v>264</v>
      </c>
      <c r="J75" s="89">
        <f>(IF(B65&gt;4,(H65/(B65+2)+J74),0))</f>
        <v>0</v>
      </c>
      <c r="K75" s="90"/>
      <c r="L75" s="91"/>
    </row>
    <row r="76" spans="1:14" s="83" customFormat="1" ht="15.75" customHeight="1" x14ac:dyDescent="0.35">
      <c r="A76" s="143" t="s">
        <v>265</v>
      </c>
      <c r="B76" s="143" t="s">
        <v>265</v>
      </c>
      <c r="C76" s="85">
        <v>0</v>
      </c>
      <c r="D76" s="86">
        <f ca="1">((100/(H65))*C76)/100</f>
        <v>0</v>
      </c>
      <c r="E76" s="276"/>
      <c r="F76" s="276"/>
      <c r="G76" s="276"/>
      <c r="H76" s="276"/>
      <c r="I76" s="72" t="s">
        <v>153</v>
      </c>
      <c r="J76" s="89">
        <f ca="1">(IF(B65=1,(H65/(B65+3)+J71),IF(B65=0,(H65/4+J71),IF(B65&gt;1,0))))</f>
        <v>8.25</v>
      </c>
      <c r="K76" s="92"/>
      <c r="L76" s="91"/>
    </row>
    <row r="77" spans="1:14" s="83" customFormat="1" ht="16" thickBot="1" x14ac:dyDescent="0.4">
      <c r="A77" s="143" t="s">
        <v>266</v>
      </c>
      <c r="B77" s="143"/>
      <c r="C77" s="85">
        <v>0</v>
      </c>
      <c r="D77" s="86">
        <f ca="1">((100/(H65))*C77)/100</f>
        <v>0</v>
      </c>
      <c r="E77" s="276"/>
      <c r="F77" s="276"/>
      <c r="G77" s="276"/>
      <c r="H77" s="276"/>
      <c r="I77" s="73" t="s">
        <v>154</v>
      </c>
      <c r="J77" s="96">
        <f ca="1">(IF(B65&gt;1.5,(H65/(B65+2)+J71+MAX(0,J72-J71)+MAX(0,J73-J72)+MAX(0,J74-J73)+MAX(0,J75-J74)+MAX(0,J76-J75)),IF(B65=1,(H65/(B65+3)+J76),IF(B65=0,H65/4+J76))))</f>
        <v>11</v>
      </c>
      <c r="K77" s="92"/>
      <c r="L77" s="91"/>
    </row>
    <row r="78" spans="1:14" s="83" customFormat="1" ht="15.75" hidden="1" customHeight="1" x14ac:dyDescent="0.4">
      <c r="A78" s="269" t="s">
        <v>249</v>
      </c>
      <c r="B78" s="270"/>
      <c r="C78" s="271" t="str">
        <f>D57</f>
        <v>Residential B wing  = Basement + Ground/Stilt + 1st to 11th Floor</v>
      </c>
      <c r="D78" s="272"/>
      <c r="E78" s="272"/>
      <c r="F78" s="272"/>
      <c r="G78" s="272"/>
      <c r="H78" s="273"/>
      <c r="I78" s="69" t="str">
        <f ca="1">(IF(E82&gt;99%,"All work completed. Please provide OC.",IF(E82&gt;89.8%,"Plinth, RCC, Brick, Plaster, Flooring, Painting work Completed. Finishing work is in process.",IF(E82&lt;94%,(IF(C82=0,"Work not yet Started.",IF(D82=25%,"Piling work in process",IF(D82=50%,"Excavation work in process",IF(D82=100%,"Excavation work Completed. ","0")))&amp;(IF(C83=0%,"",IF(C83=J84,"Footing work is process",IF(C83=J85,"Footing work Completed",IF(C83=J86,"1st Basement Completed",IF(C83=J87,"1st &amp; 2nd Basement Completed",IF(C83=J88,"1st to 3rd Basement Completed",IF(C83=J89,"1st to 4th Basement Completed",IF(C83=J90,"Plinth work is process",IF(C83=J91,"Plinth work completed","0")))))))))))&amp;(IF(C84=(D79+F79+H79),", RCC Slab",IF(C84&gt;0,", RCC upto "&amp;C84&amp;" Slab",""))&amp;(IF(C85=H79,", Brickwork",IF(C85&gt;0,", Brickwork upto "&amp;C85&amp;" Floor",""))&amp;(IF(C86=H79,", Internal Plaster",IF(C86&gt;0,", Internal Plaster upto "&amp;C86&amp;" Floor",""))&amp;(IF(C87=H79,", External Plaster",IF(C87&gt;0,", External Plaster upto "&amp;C87&amp;" Floor",""))&amp;(IF(C88=H79,", Flooring",IF(C88&gt;0,", Flooring upto "&amp;C88&amp;" Floor",""))&amp;(IF(C89=H79,", Painting",IF(C89&gt;0,", Painting upto "&amp;C89&amp;" Floor",""))&amp;(IF(C90&gt;0,", Finishing upto "&amp;C90&amp;" Floor","")&amp;(IF(C84&gt;0.5," Completed",""))))))))))))))</f>
        <v>Excavation work Completed. Plinth work completed, RCC upto 1 Slab Completed</v>
      </c>
      <c r="J78" s="81"/>
    </row>
    <row r="79" spans="1:14" s="83" customFormat="1" hidden="1" x14ac:dyDescent="0.35">
      <c r="A79" s="77" t="s">
        <v>108</v>
      </c>
      <c r="B79" s="78">
        <v>1</v>
      </c>
      <c r="C79" s="78" t="s">
        <v>110</v>
      </c>
      <c r="D79" s="78">
        <v>1</v>
      </c>
      <c r="E79" s="78" t="s">
        <v>109</v>
      </c>
      <c r="F79" s="78">
        <v>0</v>
      </c>
      <c r="G79" s="78" t="s">
        <v>124</v>
      </c>
      <c r="H79" s="71">
        <f ca="1">--TRIM(RIGHT(SUBSTITUTE(LEFT(C78,_xlfn.AGGREGATE(16,6,FIND({0,1,2,3,4,5,6,7,8,9},C78,ROW(INDIRECT("1:"&amp;LEN(C78)))),1))," ",REPT(" ",LEN(C78))),LEN(C78)))</f>
        <v>11</v>
      </c>
      <c r="I79" s="70"/>
      <c r="J79" s="82"/>
    </row>
    <row r="80" spans="1:14" s="83" customFormat="1" ht="36" hidden="1" customHeight="1" x14ac:dyDescent="0.35">
      <c r="A80" s="153" t="s">
        <v>136</v>
      </c>
      <c r="B80" s="154"/>
      <c r="C80" s="155" t="str">
        <f ca="1">I78</f>
        <v>Excavation work Completed. Plinth work completed, RCC upto 1 Slab Completed</v>
      </c>
      <c r="D80" s="156"/>
      <c r="E80" s="156"/>
      <c r="F80" s="156"/>
      <c r="G80" s="156"/>
      <c r="H80" s="157"/>
      <c r="I80" s="70" t="s">
        <v>157</v>
      </c>
      <c r="J80" s="82"/>
    </row>
    <row r="81" spans="1:14" s="83" customFormat="1" ht="31" hidden="1" x14ac:dyDescent="0.35">
      <c r="A81" s="142" t="s">
        <v>53</v>
      </c>
      <c r="B81" s="143"/>
      <c r="C81" s="76" t="s">
        <v>250</v>
      </c>
      <c r="D81" s="76" t="s">
        <v>128</v>
      </c>
      <c r="E81" s="158" t="s">
        <v>130</v>
      </c>
      <c r="F81" s="159"/>
      <c r="G81" s="158" t="s">
        <v>129</v>
      </c>
      <c r="H81" s="160"/>
      <c r="I81" s="72" t="s">
        <v>251</v>
      </c>
      <c r="J81" s="84">
        <f ca="1">H79*25%</f>
        <v>2.75</v>
      </c>
    </row>
    <row r="82" spans="1:14" s="83" customFormat="1" hidden="1" x14ac:dyDescent="0.35">
      <c r="A82" s="142" t="s">
        <v>252</v>
      </c>
      <c r="B82" s="143"/>
      <c r="C82" s="85">
        <f ca="1">J83</f>
        <v>11</v>
      </c>
      <c r="D82" s="86">
        <f ca="1">((100/H79)*C82)/100</f>
        <v>1.0000000000000002</v>
      </c>
      <c r="E82" s="144">
        <f ca="1">(((C83/H79*10)+(40/(D79+F79+H79)*C84)+(7.5/(H79)*C85)+(7.5/(H79)*C86)+(10/H79*C87)+(10/H79*C88)+(5/H79*C89)+(5/H79*C90)+(5/H79*C91))/100)</f>
        <v>0.13333333333333333</v>
      </c>
      <c r="F82" s="145"/>
      <c r="G82" s="144">
        <f ca="1">((((C82/H79)*20)+((C83/H79)*25)+(30/(H79+F79+D79)*C84)+(5/H79*C85)+(5/H79*C86)+(5/H79*C87)+(5/H79*C88)+(0/H79*C89)+(0/H79*C90)+(5/H79*C91))/100)</f>
        <v>0.47499999999999998</v>
      </c>
      <c r="H82" s="150"/>
      <c r="I82" s="72" t="s">
        <v>149</v>
      </c>
      <c r="J82" s="87">
        <f ca="1">H79*50%</f>
        <v>5.5</v>
      </c>
    </row>
    <row r="83" spans="1:14" s="83" customFormat="1" hidden="1" x14ac:dyDescent="0.35">
      <c r="A83" s="142" t="s">
        <v>54</v>
      </c>
      <c r="B83" s="143"/>
      <c r="C83" s="88">
        <f ca="1">J91</f>
        <v>11</v>
      </c>
      <c r="D83" s="86">
        <f ca="1">((100/H79)*C83)/100</f>
        <v>1.0000000000000002</v>
      </c>
      <c r="E83" s="146"/>
      <c r="F83" s="147"/>
      <c r="G83" s="146"/>
      <c r="H83" s="151"/>
      <c r="I83" s="72" t="s">
        <v>150</v>
      </c>
      <c r="J83" s="87">
        <f ca="1">H79</f>
        <v>11</v>
      </c>
    </row>
    <row r="84" spans="1:14" s="83" customFormat="1" hidden="1" x14ac:dyDescent="0.35">
      <c r="A84" s="142" t="s">
        <v>253</v>
      </c>
      <c r="B84" s="143"/>
      <c r="C84" s="88">
        <v>1</v>
      </c>
      <c r="D84" s="86">
        <f ca="1">((100/(D79+F79+H79))*C84)/100</f>
        <v>8.3333333333333343E-2</v>
      </c>
      <c r="E84" s="146"/>
      <c r="F84" s="147"/>
      <c r="G84" s="146"/>
      <c r="H84" s="151"/>
      <c r="I84" s="72" t="s">
        <v>151</v>
      </c>
      <c r="J84" s="89">
        <f ca="1">(IF(B79&gt;1,(H79/(B79+2)),H79/4))</f>
        <v>2.75</v>
      </c>
      <c r="L84" s="90"/>
    </row>
    <row r="85" spans="1:14" s="83" customFormat="1" ht="15.75" hidden="1" customHeight="1" x14ac:dyDescent="0.35">
      <c r="A85" s="142" t="s">
        <v>254</v>
      </c>
      <c r="B85" s="143" t="s">
        <v>255</v>
      </c>
      <c r="C85" s="85">
        <v>0</v>
      </c>
      <c r="D85" s="86">
        <f ca="1">((100/H79)*C85)/100</f>
        <v>0</v>
      </c>
      <c r="E85" s="146"/>
      <c r="F85" s="147"/>
      <c r="G85" s="146"/>
      <c r="H85" s="151"/>
      <c r="I85" s="72" t="s">
        <v>152</v>
      </c>
      <c r="J85" s="89">
        <f ca="1">(IF(B79&gt;1,(H79/(B79+2)+J84),H79/4+J84))</f>
        <v>5.5</v>
      </c>
      <c r="L85" s="90"/>
    </row>
    <row r="86" spans="1:14" s="83" customFormat="1" ht="15.75" hidden="1" customHeight="1" x14ac:dyDescent="0.35">
      <c r="A86" s="142" t="s">
        <v>256</v>
      </c>
      <c r="B86" s="143" t="s">
        <v>255</v>
      </c>
      <c r="C86" s="85">
        <v>0</v>
      </c>
      <c r="D86" s="86">
        <f ca="1">((100/H79)*C86)/100</f>
        <v>0</v>
      </c>
      <c r="E86" s="146"/>
      <c r="F86" s="147"/>
      <c r="G86" s="146"/>
      <c r="H86" s="151"/>
      <c r="I86" s="72" t="s">
        <v>257</v>
      </c>
      <c r="J86" s="89">
        <f>(IF(B79&gt;1,(H79/(B79+2)+J85),0))</f>
        <v>0</v>
      </c>
      <c r="L86" s="91"/>
      <c r="N86" s="90"/>
    </row>
    <row r="87" spans="1:14" s="83" customFormat="1" ht="15.75" hidden="1" customHeight="1" x14ac:dyDescent="0.35">
      <c r="A87" s="142" t="s">
        <v>258</v>
      </c>
      <c r="B87" s="143" t="s">
        <v>259</v>
      </c>
      <c r="C87" s="85">
        <v>0</v>
      </c>
      <c r="D87" s="86">
        <f ca="1">((100/(H79))*C87)/100</f>
        <v>0</v>
      </c>
      <c r="E87" s="146"/>
      <c r="F87" s="147"/>
      <c r="G87" s="146"/>
      <c r="H87" s="151"/>
      <c r="I87" s="72" t="s">
        <v>260</v>
      </c>
      <c r="J87" s="89">
        <f>(IF(B79&gt;2,(H79/(B79+2)+J86),0))</f>
        <v>0</v>
      </c>
      <c r="K87" s="92"/>
      <c r="L87" s="91"/>
    </row>
    <row r="88" spans="1:14" s="83" customFormat="1" ht="15.75" hidden="1" customHeight="1" x14ac:dyDescent="0.35">
      <c r="A88" s="142" t="s">
        <v>261</v>
      </c>
      <c r="B88" s="143" t="s">
        <v>261</v>
      </c>
      <c r="C88" s="85">
        <v>0</v>
      </c>
      <c r="D88" s="86">
        <f ca="1">((100/H79)*C88)/100</f>
        <v>0</v>
      </c>
      <c r="E88" s="146"/>
      <c r="F88" s="147"/>
      <c r="G88" s="146"/>
      <c r="H88" s="151"/>
      <c r="I88" s="72" t="s">
        <v>262</v>
      </c>
      <c r="J88" s="93">
        <f>(IF(B79&gt;3,(H79/(B79+2)+J87),0))</f>
        <v>0</v>
      </c>
      <c r="K88" s="92"/>
      <c r="L88" s="91"/>
    </row>
    <row r="89" spans="1:14" s="83" customFormat="1" ht="15.75" hidden="1" customHeight="1" x14ac:dyDescent="0.35">
      <c r="A89" s="142" t="s">
        <v>263</v>
      </c>
      <c r="B89" s="143"/>
      <c r="C89" s="85">
        <v>0</v>
      </c>
      <c r="D89" s="86">
        <f ca="1">((100/H79)*C89)/100</f>
        <v>0</v>
      </c>
      <c r="E89" s="146"/>
      <c r="F89" s="147"/>
      <c r="G89" s="146"/>
      <c r="H89" s="151"/>
      <c r="I89" s="72" t="s">
        <v>264</v>
      </c>
      <c r="J89" s="89">
        <f>(IF(B79&gt;4,(H79/(B79+2)+J88),0))</f>
        <v>0</v>
      </c>
      <c r="K89" s="90"/>
      <c r="L89" s="91"/>
    </row>
    <row r="90" spans="1:14" s="83" customFormat="1" ht="15.75" hidden="1" customHeight="1" x14ac:dyDescent="0.35">
      <c r="A90" s="142" t="s">
        <v>265</v>
      </c>
      <c r="B90" s="143" t="s">
        <v>265</v>
      </c>
      <c r="C90" s="85">
        <v>0</v>
      </c>
      <c r="D90" s="86">
        <f ca="1">((100/(H79))*C90)/100</f>
        <v>0</v>
      </c>
      <c r="E90" s="146"/>
      <c r="F90" s="147"/>
      <c r="G90" s="146"/>
      <c r="H90" s="151"/>
      <c r="I90" s="72" t="s">
        <v>153</v>
      </c>
      <c r="J90" s="89">
        <f ca="1">(IF(B79=1,(H79/(B79+3)+J85),IF(B79=0,(H79/4+J85),IF(B79&gt;1,0))))</f>
        <v>8.25</v>
      </c>
      <c r="K90" s="92"/>
      <c r="L90" s="91"/>
    </row>
    <row r="91" spans="1:14" s="83" customFormat="1" ht="16" hidden="1" thickBot="1" x14ac:dyDescent="0.4">
      <c r="A91" s="199" t="s">
        <v>266</v>
      </c>
      <c r="B91" s="200"/>
      <c r="C91" s="94">
        <v>0</v>
      </c>
      <c r="D91" s="95">
        <f ca="1">((100/(H79))*C91)/100</f>
        <v>0</v>
      </c>
      <c r="E91" s="148"/>
      <c r="F91" s="149"/>
      <c r="G91" s="148"/>
      <c r="H91" s="152"/>
      <c r="I91" s="73" t="s">
        <v>154</v>
      </c>
      <c r="J91" s="96">
        <f ca="1">(IF(B79&gt;1.5,(H79/(B79+2)+J85+MAX(0,J86-J85)+MAX(0,J87-J86)+MAX(0,J88-J87)+MAX(0,J89-J88)+MAX(0,J90-J89)),IF(B79=1,(H79/(B79+3)+J90),IF(B79=0,H79/4+J90))))</f>
        <v>11</v>
      </c>
      <c r="K91" s="92"/>
      <c r="L91" s="91"/>
    </row>
    <row r="92" spans="1:14" customFormat="1" ht="15.75" customHeight="1" x14ac:dyDescent="0.35">
      <c r="A92" s="232" t="s">
        <v>249</v>
      </c>
      <c r="B92" s="233"/>
      <c r="C92" s="234" t="str">
        <f>D57</f>
        <v>Residential B wing  = Basement + Ground/Stilt + 1st to 11th Floor</v>
      </c>
      <c r="D92" s="235"/>
      <c r="E92" s="235"/>
      <c r="F92" s="235"/>
      <c r="G92" s="235"/>
      <c r="H92" s="236"/>
      <c r="I92" s="69" t="str">
        <f ca="1">(IF(E96&gt;99%,"All work completed. Please provide OC.",IF(E96&gt;89.8%,"Plinth, RCC, Brick, Plaster, Flooring, Painting work Completed. Finishing work is in process.",IF(E96&lt;94%,(IF(C96=0,"Work not yet Started.",IF(D96=25%,"Piling work in process",IF(D96=50%,"Excavation work in process",IF(D96=100%,"Excavation work Completed. ","0")))&amp;(IF(C97=0%,"",IF(C97=J98,"Footing work is process",IF(C97=J99,"Footing work Completed",IF(C97=J100,"1st Basement Completed",IF(C97=J101,"1st &amp; 2nd Basement Completed",IF(C97=J102,"1st to 3rd Basement Completed",IF(C97=J103,"1st to 4th Basement Completed",IF(C97=J104,"Plinth work is process",IF(C97=J105,"Plinth work completed","0")))))))))))&amp;(IF(C98=(D93+F93+H93),", RCC Slab",IF(C98&gt;0,", RCC upto "&amp;C98&amp;" Slab",""))&amp;(IF(C99=H93,", Brickwork",IF(C99&gt;0,", Brickwork upto "&amp;C99&amp;" Floor",""))&amp;(IF(C100=H93,", Internal Plaster",IF(C100&gt;0,", Internal Plaster upto "&amp;C100&amp;" Floor",""))&amp;(IF(C101=H93,", External Plaster",IF(C101&gt;0,", External Plaster upto "&amp;C101&amp;" Floor",""))&amp;(IF(C102=H93,", Flooring",IF(C102&gt;0,", Flooring upto "&amp;C102&amp;" Floor",""))&amp;(IF(C103=H93,", Painting",IF(C103&gt;0,", Painting upto "&amp;C103&amp;" Floor",""))&amp;(IF(C104&gt;0,", Finishing upto "&amp;C104&amp;" Floor","")&amp;(IF(C98&gt;0.5," Completed",""))))))))))))))</f>
        <v>Excavation work Completed. Plinth work completed, RCC upto 11 Slab, Brickwork upto 9 Floor, Internal Plaster upto 4 Floor, Flooring upto 2 Floor Completed</v>
      </c>
      <c r="J92" s="81"/>
    </row>
    <row r="93" spans="1:14" s="83" customFormat="1" x14ac:dyDescent="0.35">
      <c r="A93" s="77" t="s">
        <v>108</v>
      </c>
      <c r="B93" s="78">
        <v>1</v>
      </c>
      <c r="C93" s="78" t="s">
        <v>110</v>
      </c>
      <c r="D93" s="78">
        <v>1</v>
      </c>
      <c r="E93" s="78" t="s">
        <v>109</v>
      </c>
      <c r="F93" s="78">
        <v>0</v>
      </c>
      <c r="G93" s="78" t="s">
        <v>124</v>
      </c>
      <c r="H93" s="71">
        <f ca="1">--TRIM(RIGHT(SUBSTITUTE(LEFT(C92,_xlfn.AGGREGATE(16,6,FIND({0,1,2,3,4,5,6,7,8,9},C92,ROW(INDIRECT("1:"&amp;LEN(C92)))),1))," ",REPT(" ",LEN(C92))),LEN(C92)))</f>
        <v>11</v>
      </c>
      <c r="I93" s="70"/>
      <c r="J93" s="82"/>
    </row>
    <row r="94" spans="1:14" s="83" customFormat="1" ht="47.5" customHeight="1" x14ac:dyDescent="0.35">
      <c r="A94" s="153" t="s">
        <v>136</v>
      </c>
      <c r="B94" s="154"/>
      <c r="C94" s="155" t="str">
        <f ca="1">I92</f>
        <v>Excavation work Completed. Plinth work completed, RCC upto 11 Slab, Brickwork upto 9 Floor, Internal Plaster upto 4 Floor, Flooring upto 2 Floor Completed</v>
      </c>
      <c r="D94" s="156"/>
      <c r="E94" s="156"/>
      <c r="F94" s="156"/>
      <c r="G94" s="156"/>
      <c r="H94" s="157"/>
      <c r="I94" s="70" t="s">
        <v>157</v>
      </c>
      <c r="J94" s="82"/>
    </row>
    <row r="95" spans="1:14" s="83" customFormat="1" ht="31" x14ac:dyDescent="0.35">
      <c r="A95" s="142" t="s">
        <v>53</v>
      </c>
      <c r="B95" s="143"/>
      <c r="C95" s="76" t="s">
        <v>250</v>
      </c>
      <c r="D95" s="76" t="s">
        <v>128</v>
      </c>
      <c r="E95" s="158" t="s">
        <v>130</v>
      </c>
      <c r="F95" s="159"/>
      <c r="G95" s="158" t="s">
        <v>129</v>
      </c>
      <c r="H95" s="160"/>
      <c r="I95" s="72" t="s">
        <v>251</v>
      </c>
      <c r="J95" s="84">
        <f ca="1">H93*25%</f>
        <v>2.75</v>
      </c>
    </row>
    <row r="96" spans="1:14" s="83" customFormat="1" x14ac:dyDescent="0.35">
      <c r="A96" s="142" t="s">
        <v>252</v>
      </c>
      <c r="B96" s="143"/>
      <c r="C96" s="85">
        <f ca="1">J97</f>
        <v>11</v>
      </c>
      <c r="D96" s="86">
        <f ca="1">((100/H93)*C96)/100</f>
        <v>1.0000000000000002</v>
      </c>
      <c r="E96" s="144">
        <f ca="1">(((C97/H93*10)+(40/(D93+F93+H93)*C98)+(7.5/(H93)*C99)+(7.5/(H93)*C100)+(10/H93*C101)+(10/H93*C102)+(5/H93*C103)+(5/H93*C104)+(5/H93*C105))/100)</f>
        <v>0.57348484848484849</v>
      </c>
      <c r="F96" s="145"/>
      <c r="G96" s="144">
        <f ca="1">((((C96/H93)*20)+((C97/H93)*25)+(30/(H93+F93+D93)*C98)+(5/H93*C99)+(5/H93*C100)+(5/H93*C101)+(5/H93*C102)+(0/H93*C103)+(0/H93*C104)+(5/H93*C105))/100)</f>
        <v>0.7931818181818181</v>
      </c>
      <c r="H96" s="150"/>
      <c r="I96" s="72" t="s">
        <v>149</v>
      </c>
      <c r="J96" s="87">
        <f ca="1">H93*50%</f>
        <v>5.5</v>
      </c>
    </row>
    <row r="97" spans="1:14" s="83" customFormat="1" x14ac:dyDescent="0.35">
      <c r="A97" s="142" t="s">
        <v>54</v>
      </c>
      <c r="B97" s="143"/>
      <c r="C97" s="88">
        <f ca="1">J105</f>
        <v>11</v>
      </c>
      <c r="D97" s="86">
        <f ca="1">((100/H93)*C97)/100</f>
        <v>1.0000000000000002</v>
      </c>
      <c r="E97" s="146"/>
      <c r="F97" s="147"/>
      <c r="G97" s="146"/>
      <c r="H97" s="151"/>
      <c r="I97" s="72" t="s">
        <v>150</v>
      </c>
      <c r="J97" s="87">
        <f ca="1">H93</f>
        <v>11</v>
      </c>
    </row>
    <row r="98" spans="1:14" s="83" customFormat="1" x14ac:dyDescent="0.35">
      <c r="A98" s="161" t="s">
        <v>253</v>
      </c>
      <c r="B98" s="162"/>
      <c r="C98" s="88">
        <v>11</v>
      </c>
      <c r="D98" s="86">
        <f ca="1">((100/(D93+F93+H93))*C98)/100</f>
        <v>0.91666666666666674</v>
      </c>
      <c r="E98" s="146"/>
      <c r="F98" s="147"/>
      <c r="G98" s="146"/>
      <c r="H98" s="151"/>
      <c r="I98" s="72" t="s">
        <v>151</v>
      </c>
      <c r="J98" s="89">
        <f ca="1">(IF(B93&gt;1,(H93/(B93+2)),H93/4))</f>
        <v>2.75</v>
      </c>
      <c r="L98" s="90"/>
    </row>
    <row r="99" spans="1:14" s="83" customFormat="1" ht="15.75" customHeight="1" x14ac:dyDescent="0.35">
      <c r="A99" s="142" t="s">
        <v>254</v>
      </c>
      <c r="B99" s="143" t="s">
        <v>255</v>
      </c>
      <c r="C99" s="85">
        <v>9</v>
      </c>
      <c r="D99" s="86">
        <f ca="1">((100/H93)*C99)/100</f>
        <v>0.81818181818181823</v>
      </c>
      <c r="E99" s="146"/>
      <c r="F99" s="147"/>
      <c r="G99" s="146"/>
      <c r="H99" s="151"/>
      <c r="I99" s="72" t="s">
        <v>152</v>
      </c>
      <c r="J99" s="89">
        <f ca="1">(IF(B93&gt;1,(H93/(B93+2)+J98),H93/4+J98))</f>
        <v>5.5</v>
      </c>
      <c r="L99" s="90"/>
    </row>
    <row r="100" spans="1:14" s="83" customFormat="1" ht="15.75" customHeight="1" x14ac:dyDescent="0.35">
      <c r="A100" s="142" t="s">
        <v>256</v>
      </c>
      <c r="B100" s="143" t="s">
        <v>255</v>
      </c>
      <c r="C100" s="85">
        <v>4</v>
      </c>
      <c r="D100" s="86">
        <f ca="1">((100/H93)*C100)/100</f>
        <v>0.36363636363636365</v>
      </c>
      <c r="E100" s="146"/>
      <c r="F100" s="147"/>
      <c r="G100" s="146"/>
      <c r="H100" s="151"/>
      <c r="I100" s="72" t="s">
        <v>257</v>
      </c>
      <c r="J100" s="89">
        <f>(IF(B93&gt;1,(H93/(B93+2)+J99),0))</f>
        <v>0</v>
      </c>
      <c r="L100" s="91"/>
      <c r="N100" s="90"/>
    </row>
    <row r="101" spans="1:14" s="83" customFormat="1" ht="15.75" customHeight="1" x14ac:dyDescent="0.35">
      <c r="A101" s="142" t="s">
        <v>258</v>
      </c>
      <c r="B101" s="143" t="s">
        <v>259</v>
      </c>
      <c r="C101" s="85">
        <v>0</v>
      </c>
      <c r="D101" s="86">
        <f ca="1">((100/(H93))*C101)/100</f>
        <v>0</v>
      </c>
      <c r="E101" s="146"/>
      <c r="F101" s="147"/>
      <c r="G101" s="146"/>
      <c r="H101" s="151"/>
      <c r="I101" s="72" t="s">
        <v>260</v>
      </c>
      <c r="J101" s="89">
        <f>(IF(B93&gt;2,(H93/(B93+2)+J100),0))</f>
        <v>0</v>
      </c>
      <c r="K101" s="92"/>
      <c r="L101" s="91"/>
    </row>
    <row r="102" spans="1:14" s="83" customFormat="1" ht="15.75" customHeight="1" x14ac:dyDescent="0.35">
      <c r="A102" s="142" t="s">
        <v>261</v>
      </c>
      <c r="B102" s="143" t="s">
        <v>261</v>
      </c>
      <c r="C102" s="85">
        <v>2</v>
      </c>
      <c r="D102" s="86">
        <f ca="1">((100/H93)*C102)/100</f>
        <v>0.18181818181818182</v>
      </c>
      <c r="E102" s="146"/>
      <c r="F102" s="147"/>
      <c r="G102" s="146"/>
      <c r="H102" s="151"/>
      <c r="I102" s="72" t="s">
        <v>262</v>
      </c>
      <c r="J102" s="93">
        <f>(IF(B93&gt;3,(H93/(B93+2)+J101),0))</f>
        <v>0</v>
      </c>
      <c r="K102" s="92"/>
      <c r="L102" s="91"/>
    </row>
    <row r="103" spans="1:14" s="83" customFormat="1" ht="15.75" customHeight="1" x14ac:dyDescent="0.35">
      <c r="A103" s="142" t="s">
        <v>263</v>
      </c>
      <c r="B103" s="143"/>
      <c r="C103" s="85">
        <v>0</v>
      </c>
      <c r="D103" s="86">
        <f ca="1">((100/H93)*C103)/100</f>
        <v>0</v>
      </c>
      <c r="E103" s="146"/>
      <c r="F103" s="147"/>
      <c r="G103" s="146"/>
      <c r="H103" s="151"/>
      <c r="I103" s="72" t="s">
        <v>264</v>
      </c>
      <c r="J103" s="89">
        <f>(IF(B93&gt;4,(H93/(B93+2)+J102),0))</f>
        <v>0</v>
      </c>
      <c r="K103" s="90"/>
      <c r="L103" s="91"/>
    </row>
    <row r="104" spans="1:14" s="83" customFormat="1" ht="15.75" customHeight="1" x14ac:dyDescent="0.35">
      <c r="A104" s="142" t="s">
        <v>265</v>
      </c>
      <c r="B104" s="143" t="s">
        <v>265</v>
      </c>
      <c r="C104" s="85">
        <v>0</v>
      </c>
      <c r="D104" s="86">
        <f ca="1">((100/(H93))*C104)/100</f>
        <v>0</v>
      </c>
      <c r="E104" s="146"/>
      <c r="F104" s="147"/>
      <c r="G104" s="146"/>
      <c r="H104" s="151"/>
      <c r="I104" s="72" t="s">
        <v>153</v>
      </c>
      <c r="J104" s="89">
        <f ca="1">(IF(B93=1,(H93/(B93+3)+J99),IF(B93=0,(H93/4+J99),IF(B93&gt;1,0))))</f>
        <v>8.25</v>
      </c>
      <c r="K104" s="92"/>
      <c r="L104" s="91"/>
    </row>
    <row r="105" spans="1:14" s="83" customFormat="1" ht="16" thickBot="1" x14ac:dyDescent="0.4">
      <c r="A105" s="199" t="s">
        <v>266</v>
      </c>
      <c r="B105" s="200"/>
      <c r="C105" s="94">
        <v>0</v>
      </c>
      <c r="D105" s="95">
        <f ca="1">((100/(H93))*C105)/100</f>
        <v>0</v>
      </c>
      <c r="E105" s="148"/>
      <c r="F105" s="149"/>
      <c r="G105" s="148"/>
      <c r="H105" s="152"/>
      <c r="I105" s="73" t="s">
        <v>154</v>
      </c>
      <c r="J105" s="96">
        <f ca="1">(IF(B93&gt;1.5,(H93/(B93+2)+J99+MAX(0,J100-J99)+MAX(0,J101-J100)+MAX(0,J102-J101)+MAX(0,J103-J102)+MAX(0,J104-J103)),IF(B93=1,(H93/(B93+3)+J104),IF(B93=0,H93/4+J104))))</f>
        <v>11</v>
      </c>
      <c r="K105" s="92"/>
      <c r="L105" s="91"/>
    </row>
    <row r="106" spans="1:14" ht="15" hidden="1" customHeight="1" x14ac:dyDescent="0.35">
      <c r="A106" s="108" t="s">
        <v>113</v>
      </c>
      <c r="B106" s="108"/>
      <c r="C106" s="139" t="s">
        <v>114</v>
      </c>
      <c r="D106" s="139"/>
      <c r="E106" s="139"/>
      <c r="F106" s="139"/>
      <c r="G106" s="139"/>
      <c r="H106" s="139"/>
    </row>
    <row r="107" spans="1:14" x14ac:dyDescent="0.35">
      <c r="A107" s="164" t="s">
        <v>61</v>
      </c>
      <c r="B107" s="165"/>
      <c r="C107" s="165"/>
      <c r="D107" s="165"/>
      <c r="E107" s="166"/>
      <c r="F107" s="167" t="s">
        <v>277</v>
      </c>
      <c r="G107" s="168"/>
      <c r="H107" s="169"/>
    </row>
    <row r="108" spans="1:14" x14ac:dyDescent="0.35">
      <c r="A108" s="107" t="s">
        <v>278</v>
      </c>
      <c r="B108" s="107"/>
      <c r="C108" s="107"/>
      <c r="D108" s="107"/>
      <c r="E108" s="107"/>
      <c r="F108" s="163">
        <v>15000</v>
      </c>
      <c r="G108" s="163"/>
      <c r="H108" s="163"/>
    </row>
    <row r="109" spans="1:14" x14ac:dyDescent="0.35">
      <c r="A109" s="107" t="s">
        <v>279</v>
      </c>
      <c r="B109" s="107"/>
      <c r="C109" s="107"/>
      <c r="D109" s="107"/>
      <c r="E109" s="107"/>
      <c r="F109" s="163">
        <v>26000</v>
      </c>
      <c r="G109" s="163"/>
      <c r="H109" s="163"/>
    </row>
    <row r="110" spans="1:14" x14ac:dyDescent="0.35">
      <c r="A110" s="118" t="s">
        <v>280</v>
      </c>
      <c r="B110" s="118"/>
      <c r="C110" s="118"/>
      <c r="D110" s="118"/>
      <c r="E110" s="118"/>
      <c r="F110" s="163">
        <v>24000</v>
      </c>
      <c r="G110" s="163"/>
      <c r="H110" s="163"/>
    </row>
    <row r="111" spans="1:14" s="57" customFormat="1" hidden="1" x14ac:dyDescent="0.3">
      <c r="A111" s="107" t="s">
        <v>142</v>
      </c>
      <c r="B111" s="107"/>
      <c r="C111" s="107"/>
      <c r="D111" s="107"/>
      <c r="E111" s="107"/>
      <c r="F111" s="163" t="s">
        <v>29</v>
      </c>
      <c r="G111" s="163"/>
      <c r="H111" s="163"/>
    </row>
    <row r="112" spans="1:14" s="57" customFormat="1" hidden="1" x14ac:dyDescent="0.3">
      <c r="A112" s="107" t="s">
        <v>143</v>
      </c>
      <c r="B112" s="107"/>
      <c r="C112" s="107"/>
      <c r="D112" s="107"/>
      <c r="E112" s="107"/>
      <c r="F112" s="163" t="s">
        <v>29</v>
      </c>
      <c r="G112" s="163"/>
      <c r="H112" s="163"/>
    </row>
    <row r="113" spans="1:8" s="57" customFormat="1" hidden="1" x14ac:dyDescent="0.3">
      <c r="A113" s="107" t="s">
        <v>144</v>
      </c>
      <c r="B113" s="107"/>
      <c r="C113" s="107"/>
      <c r="D113" s="107"/>
      <c r="E113" s="107"/>
      <c r="F113" s="163" t="s">
        <v>29</v>
      </c>
      <c r="G113" s="163"/>
      <c r="H113" s="163"/>
    </row>
    <row r="114" spans="1:8" s="57" customFormat="1" hidden="1" x14ac:dyDescent="0.3">
      <c r="A114" s="107" t="s">
        <v>145</v>
      </c>
      <c r="B114" s="107"/>
      <c r="C114" s="107"/>
      <c r="D114" s="107"/>
      <c r="E114" s="107"/>
      <c r="F114" s="163" t="s">
        <v>29</v>
      </c>
      <c r="G114" s="163"/>
      <c r="H114" s="163"/>
    </row>
    <row r="115" spans="1:8" s="57" customFormat="1" hidden="1" x14ac:dyDescent="0.3">
      <c r="A115" s="107" t="s">
        <v>146</v>
      </c>
      <c r="B115" s="107"/>
      <c r="C115" s="107"/>
      <c r="D115" s="107"/>
      <c r="E115" s="107"/>
      <c r="F115" s="163" t="s">
        <v>29</v>
      </c>
      <c r="G115" s="163"/>
      <c r="H115" s="163"/>
    </row>
    <row r="116" spans="1:8" s="57" customFormat="1" hidden="1" x14ac:dyDescent="0.3">
      <c r="A116" s="107" t="s">
        <v>147</v>
      </c>
      <c r="B116" s="107"/>
      <c r="C116" s="107"/>
      <c r="D116" s="107"/>
      <c r="E116" s="107"/>
      <c r="F116" s="163" t="s">
        <v>29</v>
      </c>
      <c r="G116" s="163"/>
      <c r="H116" s="163"/>
    </row>
    <row r="117" spans="1:8" s="57" customFormat="1" hidden="1" x14ac:dyDescent="0.3">
      <c r="A117" s="107" t="s">
        <v>148</v>
      </c>
      <c r="B117" s="107"/>
      <c r="C117" s="107"/>
      <c r="D117" s="107"/>
      <c r="E117" s="107"/>
      <c r="F117" s="163" t="s">
        <v>29</v>
      </c>
      <c r="G117" s="163"/>
      <c r="H117" s="163"/>
    </row>
    <row r="118" spans="1:8" x14ac:dyDescent="0.35">
      <c r="A118" s="107" t="s">
        <v>62</v>
      </c>
      <c r="B118" s="107"/>
      <c r="C118" s="107"/>
      <c r="D118" s="107"/>
      <c r="E118" s="107"/>
      <c r="F118" s="174" t="s">
        <v>241</v>
      </c>
      <c r="G118" s="174"/>
      <c r="H118" s="174"/>
    </row>
    <row r="119" spans="1:8" s="58" customFormat="1" x14ac:dyDescent="0.35">
      <c r="A119" s="108" t="s">
        <v>63</v>
      </c>
      <c r="B119" s="108"/>
      <c r="C119" s="108"/>
      <c r="D119" s="108"/>
      <c r="E119" s="108"/>
      <c r="F119" s="163">
        <f>F108*0.8</f>
        <v>12000</v>
      </c>
      <c r="G119" s="163"/>
      <c r="H119" s="163"/>
    </row>
    <row r="120" spans="1:8" s="59" customFormat="1" ht="15.75" hidden="1" customHeight="1" x14ac:dyDescent="0.35">
      <c r="A120" s="170" t="s">
        <v>272</v>
      </c>
      <c r="B120" s="170"/>
      <c r="C120" s="170"/>
      <c r="D120" s="170"/>
      <c r="E120" s="170"/>
      <c r="F120" s="170"/>
      <c r="G120" s="170"/>
      <c r="H120" s="170"/>
    </row>
    <row r="121" spans="1:8" s="59" customFormat="1" ht="15.75" hidden="1" customHeight="1" x14ac:dyDescent="0.35">
      <c r="A121" s="171" t="s">
        <v>64</v>
      </c>
      <c r="B121" s="171"/>
      <c r="C121" s="172" t="s">
        <v>118</v>
      </c>
      <c r="D121" s="172"/>
      <c r="E121" s="173" t="s">
        <v>65</v>
      </c>
      <c r="F121" s="173"/>
      <c r="G121" s="171" t="s">
        <v>66</v>
      </c>
      <c r="H121" s="171"/>
    </row>
    <row r="122" spans="1:8" s="59" customFormat="1" hidden="1" x14ac:dyDescent="0.35">
      <c r="A122" s="175" t="s">
        <v>270</v>
      </c>
      <c r="B122" s="175"/>
      <c r="C122" s="176">
        <f>COUNT(D133:D134)+COUNT(D137:D138)</f>
        <v>4</v>
      </c>
      <c r="D122" s="177"/>
      <c r="E122" s="178">
        <f>SUM(D133:D134)+SUM(D137:D138)</f>
        <v>3875.0798267999999</v>
      </c>
      <c r="F122" s="178"/>
      <c r="G122" s="178">
        <f>SUM(F133:F134)+SUM(F137:F138)</f>
        <v>6006.3737315399994</v>
      </c>
      <c r="H122" s="178"/>
    </row>
    <row r="123" spans="1:8" s="59" customFormat="1" hidden="1" x14ac:dyDescent="0.35">
      <c r="A123" s="175" t="s">
        <v>271</v>
      </c>
      <c r="B123" s="175"/>
      <c r="C123" s="177">
        <f>COUNT(D140:D145)+COUNT(D147:D154)+COUNT(D156:D163)*3+COUNT(D165:D172)+COUNT(D174:D181)+COUNT(D183:D190)</f>
        <v>62</v>
      </c>
      <c r="D123" s="177"/>
      <c r="E123" s="178">
        <f>SUM(D140:D145)+SUM(D147:D154)+SUM(D156:D163)*3+SUM(D165:D172)+SUM(D174:D181)+SUM(D183:D190)</f>
        <v>18732.912120000005</v>
      </c>
      <c r="F123" s="178"/>
      <c r="G123" s="178">
        <f>SUM(F140:F145)+SUM(F147:F154)+SUM(F156:F163)*3+SUM(F165:F172)+SUM(F174:F181)+SUM(F183:F190)</f>
        <v>29036.013786000003</v>
      </c>
      <c r="H123" s="178"/>
    </row>
    <row r="124" spans="1:8" s="59" customFormat="1" hidden="1" x14ac:dyDescent="0.35">
      <c r="A124" s="170" t="s">
        <v>107</v>
      </c>
      <c r="B124" s="170"/>
      <c r="C124" s="170"/>
      <c r="D124" s="170"/>
      <c r="E124" s="170"/>
      <c r="F124" s="170"/>
      <c r="G124" s="170"/>
      <c r="H124" s="170"/>
    </row>
    <row r="125" spans="1:8" s="59" customFormat="1" ht="15.75" hidden="1" customHeight="1" x14ac:dyDescent="0.35">
      <c r="A125" s="171" t="s">
        <v>64</v>
      </c>
      <c r="B125" s="171"/>
      <c r="C125" s="172" t="s">
        <v>118</v>
      </c>
      <c r="D125" s="172"/>
      <c r="E125" s="173" t="s">
        <v>65</v>
      </c>
      <c r="F125" s="173"/>
      <c r="G125" s="171" t="s">
        <v>66</v>
      </c>
      <c r="H125" s="171"/>
    </row>
    <row r="126" spans="1:8" s="59" customFormat="1" hidden="1" x14ac:dyDescent="0.35">
      <c r="A126" s="175" t="s">
        <v>273</v>
      </c>
      <c r="B126" s="175"/>
      <c r="C126" s="177">
        <f>COUNT(D198:D200)+COUNT(D202:D204)+COUNT(D206:D208)*3+COUNT(D210:D212)+COUNT(D214:D215)+COUNT(D218:D220)</f>
        <v>23</v>
      </c>
      <c r="D126" s="177"/>
      <c r="E126" s="178">
        <f>SUM(D198:D200)+SUM(D202:D204)+SUM(D206:D208)*3+SUM(D210:D212)+SUM(D214:D215)+SUM(D218:D220)</f>
        <v>12774.930479999999</v>
      </c>
      <c r="F126" s="178"/>
      <c r="G126" s="178">
        <f>SUM(F198:F200)+SUM(F202:F204)+SUM(F206:F208)*3+SUM(F210:F212)+SUM(F214:F215)+SUM(F218:F220)</f>
        <v>19274.750351999999</v>
      </c>
      <c r="H126" s="178"/>
    </row>
    <row r="127" spans="1:8" s="58" customFormat="1" hidden="1" x14ac:dyDescent="0.35">
      <c r="A127" s="115" t="s">
        <v>69</v>
      </c>
      <c r="B127" s="115"/>
      <c r="C127" s="115"/>
      <c r="D127" s="115"/>
      <c r="E127" s="115"/>
      <c r="F127" s="115"/>
      <c r="G127" s="115"/>
      <c r="H127" s="115"/>
    </row>
    <row r="128" spans="1:8" hidden="1" x14ac:dyDescent="0.35">
      <c r="A128" s="115" t="s">
        <v>70</v>
      </c>
      <c r="B128" s="115"/>
      <c r="C128" s="115"/>
      <c r="D128" s="115"/>
      <c r="E128" s="115"/>
      <c r="F128" s="115"/>
      <c r="G128" s="115"/>
      <c r="H128" s="115"/>
    </row>
    <row r="129" spans="1:22" ht="45" hidden="1" x14ac:dyDescent="0.35">
      <c r="A129" s="186" t="s">
        <v>226</v>
      </c>
      <c r="B129" s="186" t="s">
        <v>179</v>
      </c>
      <c r="C129" s="188" t="s">
        <v>71</v>
      </c>
      <c r="D129" s="188" t="s">
        <v>72</v>
      </c>
      <c r="E129" s="190" t="s">
        <v>73</v>
      </c>
      <c r="F129" s="60" t="s">
        <v>175</v>
      </c>
      <c r="G129" s="186" t="s">
        <v>74</v>
      </c>
      <c r="H129" s="192"/>
      <c r="I129" s="64"/>
    </row>
    <row r="130" spans="1:22" s="62" customFormat="1" hidden="1" x14ac:dyDescent="0.35">
      <c r="A130" s="187"/>
      <c r="B130" s="187"/>
      <c r="C130" s="189"/>
      <c r="D130" s="189"/>
      <c r="E130" s="191"/>
      <c r="F130" s="61">
        <v>0.55000000000000004</v>
      </c>
      <c r="G130" s="187"/>
      <c r="H130" s="193"/>
      <c r="I130" s="64"/>
    </row>
    <row r="131" spans="1:22" s="62" customFormat="1" hidden="1" x14ac:dyDescent="0.35">
      <c r="A131" s="183" t="s">
        <v>246</v>
      </c>
      <c r="B131" s="184"/>
      <c r="C131" s="184"/>
      <c r="D131" s="184"/>
      <c r="E131" s="184"/>
      <c r="F131" s="184"/>
      <c r="G131" s="184"/>
      <c r="H131" s="185"/>
    </row>
    <row r="132" spans="1:22" s="62" customFormat="1" hidden="1" x14ac:dyDescent="0.35">
      <c r="A132" s="183" t="s">
        <v>274</v>
      </c>
      <c r="B132" s="184"/>
      <c r="C132" s="184"/>
      <c r="D132" s="184"/>
      <c r="E132" s="184"/>
      <c r="F132" s="184"/>
      <c r="G132" s="184"/>
      <c r="H132" s="185"/>
    </row>
    <row r="133" spans="1:22" s="62" customFormat="1" ht="15.75" hidden="1" customHeight="1" x14ac:dyDescent="0.35">
      <c r="A133" s="111">
        <v>1</v>
      </c>
      <c r="B133" s="113"/>
      <c r="C133" s="63" t="s">
        <v>197</v>
      </c>
      <c r="D133" s="63">
        <f>(8.94*7.55+3.06*6.75+9.14*4.4+6.55*1.35+1.85*1.3+0.9*1.2+0.9*1.2)*10.764</f>
        <v>1526.0714820000001</v>
      </c>
      <c r="E133" s="63">
        <v>0</v>
      </c>
      <c r="F133" s="63">
        <f>D133*1.55+E133</f>
        <v>2365.4107971000003</v>
      </c>
      <c r="G133" s="179" t="str">
        <f>A132</f>
        <v>Basement/ Lower Floor for Commercial</v>
      </c>
      <c r="H133" s="180"/>
      <c r="I133" s="64"/>
      <c r="S133" s="110"/>
      <c r="T133" s="110"/>
      <c r="U133" s="64"/>
    </row>
    <row r="134" spans="1:22" s="62" customFormat="1" ht="15.75" hidden="1" customHeight="1" x14ac:dyDescent="0.35">
      <c r="A134" s="111">
        <f>A133+1</f>
        <v>2</v>
      </c>
      <c r="B134" s="113"/>
      <c r="C134" s="63" t="s">
        <v>197</v>
      </c>
      <c r="D134" s="63">
        <f>(10.31*3.72+1.15*1.5)*10.764</f>
        <v>431.40174480000002</v>
      </c>
      <c r="E134" s="63">
        <v>0</v>
      </c>
      <c r="F134" s="63">
        <f>D134*1.55+E134</f>
        <v>668.67270444000008</v>
      </c>
      <c r="G134" s="181"/>
      <c r="H134" s="182"/>
      <c r="I134" s="64"/>
      <c r="S134" s="110"/>
      <c r="T134" s="110"/>
      <c r="U134" s="64"/>
    </row>
    <row r="135" spans="1:22" s="62" customFormat="1" ht="15.75" hidden="1" customHeight="1" x14ac:dyDescent="0.35">
      <c r="A135" s="111">
        <f>A134+1</f>
        <v>3</v>
      </c>
      <c r="B135" s="113"/>
      <c r="C135" s="63" t="s">
        <v>197</v>
      </c>
      <c r="D135" s="63">
        <f>(11.08*7.39+1.15*2)*10.764</f>
        <v>906.12643679999985</v>
      </c>
      <c r="E135" s="63">
        <v>0</v>
      </c>
      <c r="F135" s="63">
        <f>D135*1.55+E135</f>
        <v>1404.4959770399998</v>
      </c>
      <c r="G135" s="99"/>
      <c r="H135" s="98"/>
      <c r="I135" s="64"/>
      <c r="S135" s="110"/>
      <c r="T135" s="110"/>
      <c r="U135" s="64"/>
    </row>
    <row r="136" spans="1:22" s="62" customFormat="1" hidden="1" x14ac:dyDescent="0.35">
      <c r="A136" s="183" t="s">
        <v>198</v>
      </c>
      <c r="B136" s="184"/>
      <c r="C136" s="184"/>
      <c r="D136" s="184"/>
      <c r="E136" s="184"/>
      <c r="F136" s="184"/>
      <c r="G136" s="184"/>
      <c r="H136" s="185"/>
    </row>
    <row r="137" spans="1:22" s="62" customFormat="1" ht="15.75" hidden="1" customHeight="1" x14ac:dyDescent="0.35">
      <c r="A137" s="111">
        <v>1</v>
      </c>
      <c r="B137" s="113"/>
      <c r="C137" s="63" t="s">
        <v>197</v>
      </c>
      <c r="D137" s="63">
        <f>134.81*10.764</f>
        <v>1451.09484</v>
      </c>
      <c r="E137" s="63">
        <v>0</v>
      </c>
      <c r="F137" s="63">
        <f>D137*1.55+E137</f>
        <v>2249.1970019999999</v>
      </c>
      <c r="G137" s="179" t="str">
        <f>A136</f>
        <v>Ground Floor for Commercial</v>
      </c>
      <c r="H137" s="180"/>
      <c r="I137" s="64"/>
      <c r="S137" s="110"/>
      <c r="T137" s="110"/>
      <c r="U137" s="64"/>
    </row>
    <row r="138" spans="1:22" s="62" customFormat="1" ht="15.75" hidden="1" customHeight="1" x14ac:dyDescent="0.35">
      <c r="A138" s="111">
        <f>A137+1</f>
        <v>2</v>
      </c>
      <c r="B138" s="113"/>
      <c r="C138" s="63" t="s">
        <v>197</v>
      </c>
      <c r="D138" s="63">
        <f>43.34*10.764</f>
        <v>466.51175999999998</v>
      </c>
      <c r="E138" s="63">
        <v>0</v>
      </c>
      <c r="F138" s="63">
        <f>D138*1.55+E138</f>
        <v>723.09322799999995</v>
      </c>
      <c r="G138" s="181"/>
      <c r="H138" s="182"/>
      <c r="I138" s="64"/>
      <c r="S138" s="110"/>
      <c r="T138" s="110"/>
      <c r="U138" s="64"/>
    </row>
    <row r="139" spans="1:22" s="62" customFormat="1" hidden="1" x14ac:dyDescent="0.35">
      <c r="A139" s="197" t="s">
        <v>200</v>
      </c>
      <c r="B139" s="197"/>
      <c r="C139" s="197"/>
      <c r="D139" s="197"/>
      <c r="E139" s="197"/>
      <c r="F139" s="197"/>
      <c r="G139" s="197"/>
      <c r="H139" s="197"/>
      <c r="I139" s="64"/>
      <c r="S139" s="110"/>
      <c r="T139" s="110"/>
      <c r="V139" s="62" t="str">
        <f>LEFT(A139,SUM(LEN(A139)-LEN(SUBSTITUTE(A139,{"0","1","2","3","4","5","6","7","8","9"},""))))</f>
        <v>1</v>
      </c>
    </row>
    <row r="140" spans="1:22" s="62" customFormat="1" hidden="1" x14ac:dyDescent="0.35">
      <c r="A140" s="194">
        <f t="shared" ref="A140:A145" ca="1" si="0">S140</f>
        <v>101</v>
      </c>
      <c r="B140" s="194"/>
      <c r="C140" s="63" t="s">
        <v>201</v>
      </c>
      <c r="D140" s="63">
        <f>18.67*10.764</f>
        <v>200.96388000000002</v>
      </c>
      <c r="E140" s="63">
        <v>0</v>
      </c>
      <c r="F140" s="63">
        <f>D140*(($F$130)+1)+E140</f>
        <v>311.49401400000005</v>
      </c>
      <c r="G140" s="179" t="str">
        <f>A139</f>
        <v>1st Floor</v>
      </c>
      <c r="H140" s="180"/>
      <c r="I140" s="64"/>
      <c r="S140" s="110">
        <f t="shared" ref="S140:S145" ca="1" si="1">V140</f>
        <v>101</v>
      </c>
      <c r="T140" s="110"/>
      <c r="U140" s="64">
        <v>1</v>
      </c>
      <c r="V140" s="62">
        <f ca="1">(SUMPRODUCT(MID(0&amp;V139, LARGE(INDEX(ISNUMBER(--MID(V139, ROW(INDIRECT("1:"&amp;LEN(V139))), 1)) * ROW(INDIRECT("1:"&amp;LEN(V139))), 0), ROW(INDIRECT("1:"&amp;LEN(V139))))+1, 1) * 10^ROW(INDIRECT("1:"&amp;LEN(V139)))/10))*U140*100+1</f>
        <v>101</v>
      </c>
    </row>
    <row r="141" spans="1:22" s="62" customFormat="1" hidden="1" x14ac:dyDescent="0.35">
      <c r="A141" s="194">
        <f t="shared" ca="1" si="0"/>
        <v>102</v>
      </c>
      <c r="B141" s="194"/>
      <c r="C141" s="63" t="s">
        <v>201</v>
      </c>
      <c r="D141" s="63">
        <f>24.47*10.764</f>
        <v>263.39507999999995</v>
      </c>
      <c r="E141" s="63">
        <v>0</v>
      </c>
      <c r="F141" s="63">
        <f t="shared" ref="F141:F145" si="2">D141*(($F$130)+1)+E141</f>
        <v>408.26237399999991</v>
      </c>
      <c r="G141" s="195"/>
      <c r="H141" s="196"/>
      <c r="I141" s="64"/>
      <c r="S141" s="110">
        <f t="shared" ca="1" si="1"/>
        <v>102</v>
      </c>
      <c r="T141" s="110"/>
      <c r="U141" s="64">
        <f>U140+1</f>
        <v>2</v>
      </c>
      <c r="V141" s="62">
        <f ca="1">V140+1</f>
        <v>102</v>
      </c>
    </row>
    <row r="142" spans="1:22" s="62" customFormat="1" hidden="1" x14ac:dyDescent="0.35">
      <c r="A142" s="194">
        <f t="shared" ca="1" si="0"/>
        <v>103</v>
      </c>
      <c r="B142" s="194"/>
      <c r="C142" s="63" t="s">
        <v>201</v>
      </c>
      <c r="D142" s="63">
        <f>24.47*10.764</f>
        <v>263.39507999999995</v>
      </c>
      <c r="E142" s="63">
        <v>0</v>
      </c>
      <c r="F142" s="63">
        <f t="shared" si="2"/>
        <v>408.26237399999991</v>
      </c>
      <c r="G142" s="195"/>
      <c r="H142" s="196"/>
      <c r="I142" s="64"/>
      <c r="S142" s="110">
        <f t="shared" ca="1" si="1"/>
        <v>103</v>
      </c>
      <c r="T142" s="110"/>
      <c r="U142" s="64">
        <f>U141+1</f>
        <v>3</v>
      </c>
      <c r="V142" s="62">
        <f ca="1">V141+1</f>
        <v>103</v>
      </c>
    </row>
    <row r="143" spans="1:22" s="62" customFormat="1" hidden="1" x14ac:dyDescent="0.35">
      <c r="A143" s="194">
        <f t="shared" ca="1" si="0"/>
        <v>104</v>
      </c>
      <c r="B143" s="194"/>
      <c r="C143" s="63" t="s">
        <v>201</v>
      </c>
      <c r="D143" s="63">
        <f>34.89*10.764</f>
        <v>375.55595999999997</v>
      </c>
      <c r="E143" s="63">
        <v>0</v>
      </c>
      <c r="F143" s="63">
        <f t="shared" si="2"/>
        <v>582.11173799999995</v>
      </c>
      <c r="G143" s="195"/>
      <c r="H143" s="196"/>
      <c r="I143" s="64"/>
      <c r="S143" s="110">
        <f t="shared" ca="1" si="1"/>
        <v>104</v>
      </c>
      <c r="T143" s="110"/>
      <c r="U143" s="64">
        <f t="shared" ref="U143:V145" si="3">U142+1</f>
        <v>4</v>
      </c>
      <c r="V143" s="62">
        <f t="shared" ca="1" si="3"/>
        <v>104</v>
      </c>
    </row>
    <row r="144" spans="1:22" s="62" customFormat="1" hidden="1" x14ac:dyDescent="0.35">
      <c r="A144" s="194">
        <f t="shared" ca="1" si="0"/>
        <v>105</v>
      </c>
      <c r="B144" s="194"/>
      <c r="C144" s="63" t="s">
        <v>201</v>
      </c>
      <c r="D144" s="63">
        <f>32.53*10.764</f>
        <v>350.15291999999999</v>
      </c>
      <c r="E144" s="63">
        <v>0</v>
      </c>
      <c r="F144" s="63">
        <f t="shared" si="2"/>
        <v>542.73702600000001</v>
      </c>
      <c r="G144" s="195"/>
      <c r="H144" s="196"/>
      <c r="I144" s="64"/>
      <c r="S144" s="110">
        <f t="shared" ca="1" si="1"/>
        <v>105</v>
      </c>
      <c r="T144" s="110"/>
      <c r="U144" s="64">
        <f t="shared" si="3"/>
        <v>5</v>
      </c>
      <c r="V144" s="62">
        <f t="shared" ca="1" si="3"/>
        <v>105</v>
      </c>
    </row>
    <row r="145" spans="1:23" s="62" customFormat="1" hidden="1" x14ac:dyDescent="0.35">
      <c r="A145" s="194">
        <f t="shared" ca="1" si="0"/>
        <v>106</v>
      </c>
      <c r="B145" s="194"/>
      <c r="C145" s="63" t="s">
        <v>201</v>
      </c>
      <c r="D145" s="63">
        <f>31.21*10.764</f>
        <v>335.94443999999999</v>
      </c>
      <c r="E145" s="63">
        <v>0</v>
      </c>
      <c r="F145" s="63">
        <f t="shared" si="2"/>
        <v>520.71388200000001</v>
      </c>
      <c r="G145" s="181"/>
      <c r="H145" s="182"/>
      <c r="I145" s="64"/>
      <c r="S145" s="110">
        <f t="shared" ca="1" si="1"/>
        <v>106</v>
      </c>
      <c r="T145" s="110"/>
      <c r="U145" s="64">
        <f>U144+1</f>
        <v>6</v>
      </c>
      <c r="V145" s="62">
        <f t="shared" ca="1" si="3"/>
        <v>106</v>
      </c>
    </row>
    <row r="146" spans="1:23" s="62" customFormat="1" hidden="1" x14ac:dyDescent="0.35">
      <c r="A146" s="197" t="s">
        <v>177</v>
      </c>
      <c r="B146" s="197"/>
      <c r="C146" s="197"/>
      <c r="D146" s="197"/>
      <c r="E146" s="197"/>
      <c r="F146" s="197"/>
      <c r="G146" s="197"/>
      <c r="H146" s="197"/>
      <c r="I146" s="64"/>
      <c r="S146" s="110"/>
      <c r="T146" s="110"/>
      <c r="V146" s="62" t="str">
        <f>LEFT(A146,SUM(LEN(A146)-LEN(SUBSTITUTE(A146,{"0","1","2","3","4","5","6","7","8","9"},""))))</f>
        <v>2</v>
      </c>
    </row>
    <row r="147" spans="1:23" s="62" customFormat="1" hidden="1" x14ac:dyDescent="0.35">
      <c r="A147" s="194">
        <f t="shared" ref="A147:A154" ca="1" si="4">S147</f>
        <v>201</v>
      </c>
      <c r="B147" s="194"/>
      <c r="C147" s="63" t="s">
        <v>201</v>
      </c>
      <c r="D147" s="63">
        <f>18.67*10.764</f>
        <v>200.96388000000002</v>
      </c>
      <c r="E147" s="63">
        <v>0</v>
      </c>
      <c r="F147" s="63">
        <f>D147*(($F$130)+1)+E147</f>
        <v>311.49401400000005</v>
      </c>
      <c r="G147" s="179" t="str">
        <f>A146</f>
        <v>2nd Floor</v>
      </c>
      <c r="H147" s="180"/>
      <c r="I147" s="64"/>
      <c r="S147" s="110">
        <f t="shared" ref="S147:S154" ca="1" si="5">V147</f>
        <v>201</v>
      </c>
      <c r="T147" s="110"/>
      <c r="U147" s="64">
        <v>1</v>
      </c>
      <c r="V147" s="62">
        <f ca="1">(SUMPRODUCT(MID(0&amp;V146, LARGE(INDEX(ISNUMBER(--MID(V146, ROW(INDIRECT("1:"&amp;LEN(V146))), 1)) * ROW(INDIRECT("1:"&amp;LEN(V146))), 0), ROW(INDIRECT("1:"&amp;LEN(V146))))+1, 1) * 10^ROW(INDIRECT("1:"&amp;LEN(V146)))/10))*U147*100+1</f>
        <v>201</v>
      </c>
    </row>
    <row r="148" spans="1:23" s="62" customFormat="1" hidden="1" x14ac:dyDescent="0.35">
      <c r="A148" s="194">
        <f t="shared" ca="1" si="4"/>
        <v>202</v>
      </c>
      <c r="B148" s="194"/>
      <c r="C148" s="63" t="s">
        <v>201</v>
      </c>
      <c r="D148" s="63">
        <f>24.47*10.764</f>
        <v>263.39507999999995</v>
      </c>
      <c r="E148" s="63">
        <v>0</v>
      </c>
      <c r="F148" s="63">
        <f t="shared" ref="F148:F154" si="6">D148*(($F$130)+1)+E148</f>
        <v>408.26237399999991</v>
      </c>
      <c r="G148" s="195"/>
      <c r="H148" s="196"/>
      <c r="I148" s="64"/>
      <c r="S148" s="110">
        <f t="shared" ca="1" si="5"/>
        <v>202</v>
      </c>
      <c r="T148" s="110"/>
      <c r="U148" s="64">
        <f>U147+1</f>
        <v>2</v>
      </c>
      <c r="V148" s="62">
        <f ca="1">V147+1</f>
        <v>202</v>
      </c>
    </row>
    <row r="149" spans="1:23" s="62" customFormat="1" hidden="1" x14ac:dyDescent="0.35">
      <c r="A149" s="194">
        <f t="shared" ca="1" si="4"/>
        <v>203</v>
      </c>
      <c r="B149" s="194"/>
      <c r="C149" s="63" t="s">
        <v>201</v>
      </c>
      <c r="D149" s="63">
        <f>24.47*10.764</f>
        <v>263.39507999999995</v>
      </c>
      <c r="E149" s="63">
        <v>0</v>
      </c>
      <c r="F149" s="63">
        <f t="shared" si="6"/>
        <v>408.26237399999991</v>
      </c>
      <c r="G149" s="195"/>
      <c r="H149" s="196"/>
      <c r="I149" s="64"/>
      <c r="S149" s="110">
        <f t="shared" ca="1" si="5"/>
        <v>203</v>
      </c>
      <c r="T149" s="110"/>
      <c r="U149" s="64">
        <f>U148+1</f>
        <v>3</v>
      </c>
      <c r="V149" s="62">
        <f ca="1">V148+1</f>
        <v>203</v>
      </c>
    </row>
    <row r="150" spans="1:23" s="62" customFormat="1" hidden="1" x14ac:dyDescent="0.35">
      <c r="A150" s="194">
        <f t="shared" ca="1" si="4"/>
        <v>204</v>
      </c>
      <c r="B150" s="194"/>
      <c r="C150" s="63" t="s">
        <v>201</v>
      </c>
      <c r="D150" s="63">
        <f>34.89*10.764</f>
        <v>375.55595999999997</v>
      </c>
      <c r="E150" s="63">
        <v>0</v>
      </c>
      <c r="F150" s="63">
        <f t="shared" si="6"/>
        <v>582.11173799999995</v>
      </c>
      <c r="G150" s="195"/>
      <c r="H150" s="196"/>
      <c r="I150" s="64"/>
      <c r="S150" s="110">
        <f t="shared" ca="1" si="5"/>
        <v>204</v>
      </c>
      <c r="T150" s="110"/>
      <c r="U150" s="64">
        <f t="shared" ref="U150:V152" si="7">U149+1</f>
        <v>4</v>
      </c>
      <c r="V150" s="62">
        <f t="shared" ca="1" si="7"/>
        <v>204</v>
      </c>
    </row>
    <row r="151" spans="1:23" s="62" customFormat="1" hidden="1" x14ac:dyDescent="0.35">
      <c r="A151" s="194">
        <f t="shared" ca="1" si="4"/>
        <v>205</v>
      </c>
      <c r="B151" s="194"/>
      <c r="C151" s="63" t="s">
        <v>201</v>
      </c>
      <c r="D151" s="63">
        <f>32.53*10.764</f>
        <v>350.15291999999999</v>
      </c>
      <c r="E151" s="63">
        <v>0</v>
      </c>
      <c r="F151" s="63">
        <f t="shared" si="6"/>
        <v>542.73702600000001</v>
      </c>
      <c r="G151" s="195"/>
      <c r="H151" s="196"/>
      <c r="I151" s="64"/>
      <c r="S151" s="110">
        <f t="shared" ca="1" si="5"/>
        <v>205</v>
      </c>
      <c r="T151" s="110"/>
      <c r="U151" s="64">
        <f t="shared" si="7"/>
        <v>5</v>
      </c>
      <c r="V151" s="62">
        <f t="shared" ca="1" si="7"/>
        <v>205</v>
      </c>
    </row>
    <row r="152" spans="1:23" s="62" customFormat="1" hidden="1" x14ac:dyDescent="0.35">
      <c r="A152" s="194">
        <f t="shared" ca="1" si="4"/>
        <v>206</v>
      </c>
      <c r="B152" s="194"/>
      <c r="C152" s="63" t="s">
        <v>201</v>
      </c>
      <c r="D152" s="63">
        <f>31.21*10.764</f>
        <v>335.94443999999999</v>
      </c>
      <c r="E152" s="63">
        <v>0</v>
      </c>
      <c r="F152" s="63">
        <f t="shared" si="6"/>
        <v>520.71388200000001</v>
      </c>
      <c r="G152" s="195"/>
      <c r="H152" s="196"/>
      <c r="I152" s="64"/>
      <c r="S152" s="110">
        <f t="shared" ca="1" si="5"/>
        <v>206</v>
      </c>
      <c r="T152" s="110"/>
      <c r="U152" s="64">
        <f>U151+1</f>
        <v>6</v>
      </c>
      <c r="V152" s="62">
        <f t="shared" ca="1" si="7"/>
        <v>206</v>
      </c>
    </row>
    <row r="153" spans="1:23" s="62" customFormat="1" hidden="1" x14ac:dyDescent="0.35">
      <c r="A153" s="194">
        <f t="shared" ca="1" si="4"/>
        <v>207</v>
      </c>
      <c r="B153" s="194"/>
      <c r="C153" s="63" t="s">
        <v>201</v>
      </c>
      <c r="D153" s="63">
        <f>29.93*10.764</f>
        <v>322.16651999999999</v>
      </c>
      <c r="E153" s="63">
        <v>0</v>
      </c>
      <c r="F153" s="63">
        <f t="shared" si="6"/>
        <v>499.35810600000002</v>
      </c>
      <c r="G153" s="195"/>
      <c r="H153" s="196"/>
      <c r="I153" s="64"/>
      <c r="S153" s="110">
        <f t="shared" ca="1" si="5"/>
        <v>207</v>
      </c>
      <c r="T153" s="110"/>
      <c r="U153" s="64">
        <f t="shared" ref="U153:V154" si="8">U152+1</f>
        <v>7</v>
      </c>
      <c r="V153" s="62">
        <f t="shared" ca="1" si="8"/>
        <v>207</v>
      </c>
    </row>
    <row r="154" spans="1:23" s="62" customFormat="1" hidden="1" x14ac:dyDescent="0.35">
      <c r="A154" s="194">
        <f t="shared" ca="1" si="4"/>
        <v>208</v>
      </c>
      <c r="B154" s="194"/>
      <c r="C154" s="63" t="s">
        <v>201</v>
      </c>
      <c r="D154" s="63">
        <f>28.7*10.764</f>
        <v>308.92679999999996</v>
      </c>
      <c r="E154" s="63">
        <v>0</v>
      </c>
      <c r="F154" s="63">
        <f t="shared" si="6"/>
        <v>478.83653999999996</v>
      </c>
      <c r="G154" s="181"/>
      <c r="H154" s="182"/>
      <c r="I154" s="64"/>
      <c r="S154" s="110">
        <f t="shared" ca="1" si="5"/>
        <v>208</v>
      </c>
      <c r="T154" s="110"/>
      <c r="U154" s="64">
        <f>U153+1</f>
        <v>8</v>
      </c>
      <c r="V154" s="62">
        <f t="shared" ca="1" si="8"/>
        <v>208</v>
      </c>
    </row>
    <row r="155" spans="1:23" s="62" customFormat="1" ht="15.75" hidden="1" customHeight="1" x14ac:dyDescent="0.35">
      <c r="A155" s="183" t="s">
        <v>244</v>
      </c>
      <c r="B155" s="184"/>
      <c r="C155" s="184"/>
      <c r="D155" s="184"/>
      <c r="E155" s="184"/>
      <c r="F155" s="184"/>
      <c r="G155" s="184"/>
      <c r="H155" s="185"/>
      <c r="I155" s="64"/>
      <c r="S155" s="110" t="s">
        <v>176</v>
      </c>
      <c r="T155" s="110"/>
      <c r="V155" s="62" t="str">
        <f>LEFT(A155,SUM(LEN(A155)-LEN(SUBSTITUTE(A155,{"0","1","2","3","4","5","6","7","8","9"},""))))</f>
        <v>3rd</v>
      </c>
      <c r="W155" s="62">
        <f ca="1">--TRIM(RIGHT(SUBSTITUTE(LEFT(A155,_xlfn.AGGREGATE(16,6,FIND({0,1,2,3,4,5,6,7,8,9},A155,ROW(INDIRECT("1:"&amp;LEN(A155)))),1))," ",REPT(" ",LEN(A155))),LEN(A155)))</f>
        <v>6</v>
      </c>
    </row>
    <row r="156" spans="1:23" s="62" customFormat="1" ht="15.75" hidden="1" customHeight="1" x14ac:dyDescent="0.35">
      <c r="A156" s="111" t="str">
        <f t="shared" ref="A156:A163" ca="1" si="9">S156</f>
        <v>301,..,601</v>
      </c>
      <c r="B156" s="113"/>
      <c r="C156" s="63" t="s">
        <v>201</v>
      </c>
      <c r="D156" s="63">
        <f>18.67*10.764</f>
        <v>200.96388000000002</v>
      </c>
      <c r="E156" s="63">
        <v>0</v>
      </c>
      <c r="F156" s="63">
        <f>D156*(($F$130)+1)+E156</f>
        <v>311.49401400000005</v>
      </c>
      <c r="G156" s="179" t="str">
        <f>A155</f>
        <v>3rd, 5th &amp; 6th Floor</v>
      </c>
      <c r="H156" s="180"/>
      <c r="I156" s="64"/>
      <c r="S156" s="110" t="str">
        <f t="shared" ref="S156:S163" ca="1" si="10">V156&amp;""&amp;$S$205&amp;""&amp;W156</f>
        <v>301,..,601</v>
      </c>
      <c r="T156" s="110"/>
      <c r="U156" s="64">
        <v>1</v>
      </c>
      <c r="V156" s="62">
        <f ca="1">(SUMPRODUCT(MID(0&amp;V155, LARGE(INDEX(ISNUMBER(--MID(V155, ROW(INDIRECT("1:"&amp;LEN(V155))), 1)) * ROW(INDIRECT("1:"&amp;LEN(V155))), 0), ROW(INDIRECT("1:"&amp;LEN(V155))))+1, 1) * 10^ROW(INDIRECT("1:"&amp;LEN(V155)))/10))*U156*100+1</f>
        <v>301</v>
      </c>
      <c r="W156" s="62">
        <f ca="1">(SUMPRODUCT(MID(0&amp;W155, LARGE(INDEX(ISNUMBER(--MID(W155, ROW(INDIRECT("1:"&amp;LEN(W155))), 1)) * ROW(INDIRECT("1:"&amp;LEN(W155))), 0), ROW(INDIRECT("1:"&amp;LEN(W155))))+1, 1) * 10^ROW(INDIRECT("1:"&amp;LEN(W155)))/10))*U156*100+1</f>
        <v>601</v>
      </c>
    </row>
    <row r="157" spans="1:23" s="62" customFormat="1" ht="15.75" hidden="1" customHeight="1" x14ac:dyDescent="0.35">
      <c r="A157" s="111" t="str">
        <f t="shared" ca="1" si="9"/>
        <v>302,..,602</v>
      </c>
      <c r="B157" s="113"/>
      <c r="C157" s="63" t="s">
        <v>201</v>
      </c>
      <c r="D157" s="63">
        <f>24.47*10.764</f>
        <v>263.39507999999995</v>
      </c>
      <c r="E157" s="63">
        <v>0</v>
      </c>
      <c r="F157" s="63">
        <f t="shared" ref="F157:F163" si="11">D157*(($F$130)+1)+E157</f>
        <v>408.26237399999991</v>
      </c>
      <c r="G157" s="195"/>
      <c r="H157" s="196"/>
      <c r="I157" s="64"/>
      <c r="S157" s="110" t="str">
        <f t="shared" ca="1" si="10"/>
        <v>302,..,602</v>
      </c>
      <c r="T157" s="110"/>
      <c r="U157" s="64">
        <f t="shared" ref="U157:W163" si="12">U156+1</f>
        <v>2</v>
      </c>
      <c r="V157" s="62">
        <f t="shared" ca="1" si="12"/>
        <v>302</v>
      </c>
      <c r="W157" s="62">
        <f t="shared" ca="1" si="12"/>
        <v>602</v>
      </c>
    </row>
    <row r="158" spans="1:23" s="62" customFormat="1" ht="15.75" hidden="1" customHeight="1" x14ac:dyDescent="0.35">
      <c r="A158" s="111" t="str">
        <f t="shared" ca="1" si="9"/>
        <v>303,..,603</v>
      </c>
      <c r="B158" s="113"/>
      <c r="C158" s="63" t="s">
        <v>201</v>
      </c>
      <c r="D158" s="63">
        <f>24.47*10.764</f>
        <v>263.39507999999995</v>
      </c>
      <c r="E158" s="63">
        <v>0</v>
      </c>
      <c r="F158" s="63">
        <f t="shared" si="11"/>
        <v>408.26237399999991</v>
      </c>
      <c r="G158" s="195"/>
      <c r="H158" s="196"/>
      <c r="I158" s="64"/>
      <c r="S158" s="110" t="str">
        <f t="shared" ca="1" si="10"/>
        <v>303,..,603</v>
      </c>
      <c r="T158" s="110"/>
      <c r="U158" s="64">
        <f t="shared" si="12"/>
        <v>3</v>
      </c>
      <c r="V158" s="62">
        <f t="shared" ca="1" si="12"/>
        <v>303</v>
      </c>
      <c r="W158" s="62">
        <f t="shared" ca="1" si="12"/>
        <v>603</v>
      </c>
    </row>
    <row r="159" spans="1:23" s="62" customFormat="1" ht="15.75" hidden="1" customHeight="1" x14ac:dyDescent="0.35">
      <c r="A159" s="111" t="str">
        <f t="shared" ca="1" si="9"/>
        <v>304,..,604</v>
      </c>
      <c r="B159" s="113"/>
      <c r="C159" s="63" t="s">
        <v>201</v>
      </c>
      <c r="D159" s="63">
        <f>34.89*10.764</f>
        <v>375.55595999999997</v>
      </c>
      <c r="E159" s="63">
        <v>0</v>
      </c>
      <c r="F159" s="63">
        <f t="shared" si="11"/>
        <v>582.11173799999995</v>
      </c>
      <c r="G159" s="195"/>
      <c r="H159" s="196"/>
      <c r="I159" s="64"/>
      <c r="S159" s="110" t="str">
        <f t="shared" ca="1" si="10"/>
        <v>304,..,604</v>
      </c>
      <c r="T159" s="110"/>
      <c r="U159" s="64">
        <f t="shared" si="12"/>
        <v>4</v>
      </c>
      <c r="V159" s="62">
        <f t="shared" ca="1" si="12"/>
        <v>304</v>
      </c>
      <c r="W159" s="62">
        <f t="shared" ca="1" si="12"/>
        <v>604</v>
      </c>
    </row>
    <row r="160" spans="1:23" s="62" customFormat="1" ht="15.75" hidden="1" customHeight="1" x14ac:dyDescent="0.35">
      <c r="A160" s="111" t="str">
        <f t="shared" ca="1" si="9"/>
        <v>305,..,605</v>
      </c>
      <c r="B160" s="113"/>
      <c r="C160" s="63" t="s">
        <v>201</v>
      </c>
      <c r="D160" s="63">
        <f>32.53*10.764</f>
        <v>350.15291999999999</v>
      </c>
      <c r="E160" s="63">
        <v>0</v>
      </c>
      <c r="F160" s="63">
        <f t="shared" si="11"/>
        <v>542.73702600000001</v>
      </c>
      <c r="G160" s="195"/>
      <c r="H160" s="196"/>
      <c r="I160" s="64"/>
      <c r="S160" s="110" t="str">
        <f t="shared" ca="1" si="10"/>
        <v>305,..,605</v>
      </c>
      <c r="T160" s="110"/>
      <c r="U160" s="64">
        <f t="shared" si="12"/>
        <v>5</v>
      </c>
      <c r="V160" s="62">
        <f t="shared" ca="1" si="12"/>
        <v>305</v>
      </c>
      <c r="W160" s="62">
        <f t="shared" ca="1" si="12"/>
        <v>605</v>
      </c>
    </row>
    <row r="161" spans="1:23" s="62" customFormat="1" ht="15.75" hidden="1" customHeight="1" x14ac:dyDescent="0.35">
      <c r="A161" s="111" t="str">
        <f t="shared" ca="1" si="9"/>
        <v>306,..,606</v>
      </c>
      <c r="B161" s="113"/>
      <c r="C161" s="63" t="s">
        <v>201</v>
      </c>
      <c r="D161" s="63">
        <f>31.21*10.764</f>
        <v>335.94443999999999</v>
      </c>
      <c r="E161" s="63">
        <v>0</v>
      </c>
      <c r="F161" s="63">
        <f t="shared" si="11"/>
        <v>520.71388200000001</v>
      </c>
      <c r="G161" s="195"/>
      <c r="H161" s="196"/>
      <c r="I161" s="64"/>
      <c r="S161" s="110" t="str">
        <f t="shared" ca="1" si="10"/>
        <v>306,..,606</v>
      </c>
      <c r="T161" s="110"/>
      <c r="U161" s="64">
        <f t="shared" si="12"/>
        <v>6</v>
      </c>
      <c r="V161" s="62">
        <f t="shared" ca="1" si="12"/>
        <v>306</v>
      </c>
      <c r="W161" s="62">
        <f t="shared" ca="1" si="12"/>
        <v>606</v>
      </c>
    </row>
    <row r="162" spans="1:23" s="62" customFormat="1" ht="15.75" hidden="1" customHeight="1" x14ac:dyDescent="0.35">
      <c r="A162" s="111" t="str">
        <f t="shared" ca="1" si="9"/>
        <v>307,..,607</v>
      </c>
      <c r="B162" s="113"/>
      <c r="C162" s="63" t="s">
        <v>201</v>
      </c>
      <c r="D162" s="63">
        <f>29.93*10.764</f>
        <v>322.16651999999999</v>
      </c>
      <c r="E162" s="63">
        <v>0</v>
      </c>
      <c r="F162" s="63">
        <f t="shared" si="11"/>
        <v>499.35810600000002</v>
      </c>
      <c r="G162" s="195"/>
      <c r="H162" s="196"/>
      <c r="I162" s="64"/>
      <c r="S162" s="110" t="str">
        <f t="shared" ca="1" si="10"/>
        <v>307,..,607</v>
      </c>
      <c r="T162" s="110"/>
      <c r="U162" s="64">
        <f t="shared" si="12"/>
        <v>7</v>
      </c>
      <c r="V162" s="62">
        <f t="shared" ca="1" si="12"/>
        <v>307</v>
      </c>
      <c r="W162" s="62">
        <f t="shared" ca="1" si="12"/>
        <v>607</v>
      </c>
    </row>
    <row r="163" spans="1:23" s="62" customFormat="1" ht="15.75" hidden="1" customHeight="1" x14ac:dyDescent="0.35">
      <c r="A163" s="111" t="str">
        <f t="shared" ca="1" si="9"/>
        <v>308,..,608</v>
      </c>
      <c r="B163" s="113"/>
      <c r="C163" s="63" t="s">
        <v>201</v>
      </c>
      <c r="D163" s="63">
        <f>28.7*10.764</f>
        <v>308.92679999999996</v>
      </c>
      <c r="E163" s="63">
        <v>0</v>
      </c>
      <c r="F163" s="63">
        <f t="shared" si="11"/>
        <v>478.83653999999996</v>
      </c>
      <c r="G163" s="181"/>
      <c r="H163" s="182"/>
      <c r="I163" s="64"/>
      <c r="S163" s="110" t="str">
        <f t="shared" ca="1" si="10"/>
        <v>308,..,608</v>
      </c>
      <c r="T163" s="110"/>
      <c r="U163" s="64">
        <f t="shared" si="12"/>
        <v>8</v>
      </c>
      <c r="V163" s="62">
        <f t="shared" ca="1" si="12"/>
        <v>308</v>
      </c>
      <c r="W163" s="62">
        <f t="shared" ca="1" si="12"/>
        <v>608</v>
      </c>
    </row>
    <row r="164" spans="1:23" s="62" customFormat="1" hidden="1" x14ac:dyDescent="0.35">
      <c r="A164" s="197" t="s">
        <v>206</v>
      </c>
      <c r="B164" s="197"/>
      <c r="C164" s="197"/>
      <c r="D164" s="197"/>
      <c r="E164" s="197"/>
      <c r="F164" s="197"/>
      <c r="G164" s="197"/>
      <c r="H164" s="197"/>
      <c r="I164" s="64"/>
      <c r="S164" s="110"/>
      <c r="T164" s="110"/>
      <c r="V164" s="62" t="str">
        <f>LEFT(A164,SUM(LEN(A164)-LEN(SUBSTITUTE(A164,{"0","1","2","3","4","5","6","7","8","9"},""))))</f>
        <v>4</v>
      </c>
    </row>
    <row r="165" spans="1:23" s="62" customFormat="1" hidden="1" x14ac:dyDescent="0.35">
      <c r="A165" s="194">
        <f t="shared" ref="A165:A172" ca="1" si="13">S165</f>
        <v>401</v>
      </c>
      <c r="B165" s="194"/>
      <c r="C165" s="63" t="s">
        <v>201</v>
      </c>
      <c r="D165" s="63">
        <f>18.67*10.764</f>
        <v>200.96388000000002</v>
      </c>
      <c r="E165" s="63">
        <v>0</v>
      </c>
      <c r="F165" s="63">
        <f>D165*(($F$130)+1)+E165</f>
        <v>311.49401400000005</v>
      </c>
      <c r="G165" s="179" t="str">
        <f>A164</f>
        <v>4th Floor</v>
      </c>
      <c r="H165" s="180"/>
      <c r="I165" s="64"/>
      <c r="S165" s="110">
        <f t="shared" ref="S165:S172" ca="1" si="14">V165</f>
        <v>401</v>
      </c>
      <c r="T165" s="110"/>
      <c r="U165" s="64">
        <v>1</v>
      </c>
      <c r="V165" s="62">
        <f ca="1">(SUMPRODUCT(MID(0&amp;V164, LARGE(INDEX(ISNUMBER(--MID(V164, ROW(INDIRECT("1:"&amp;LEN(V164))), 1)) * ROW(INDIRECT("1:"&amp;LEN(V164))), 0), ROW(INDIRECT("1:"&amp;LEN(V164))))+1, 1) * 10^ROW(INDIRECT("1:"&amp;LEN(V164)))/10))*U165*100+1</f>
        <v>401</v>
      </c>
    </row>
    <row r="166" spans="1:23" s="62" customFormat="1" hidden="1" x14ac:dyDescent="0.35">
      <c r="A166" s="194">
        <f t="shared" ca="1" si="13"/>
        <v>402</v>
      </c>
      <c r="B166" s="194"/>
      <c r="C166" s="63" t="s">
        <v>201</v>
      </c>
      <c r="D166" s="63">
        <f>24.47*10.764</f>
        <v>263.39507999999995</v>
      </c>
      <c r="E166" s="63">
        <v>0</v>
      </c>
      <c r="F166" s="63">
        <f t="shared" ref="F166:F172" si="15">D166*(($F$130)+1)+E166</f>
        <v>408.26237399999991</v>
      </c>
      <c r="G166" s="195"/>
      <c r="H166" s="196"/>
      <c r="I166" s="64"/>
      <c r="S166" s="110">
        <f t="shared" ca="1" si="14"/>
        <v>402</v>
      </c>
      <c r="T166" s="110"/>
      <c r="U166" s="64">
        <f>U165+1</f>
        <v>2</v>
      </c>
      <c r="V166" s="62">
        <f ca="1">V165+1</f>
        <v>402</v>
      </c>
    </row>
    <row r="167" spans="1:23" s="62" customFormat="1" hidden="1" x14ac:dyDescent="0.35">
      <c r="A167" s="194">
        <f t="shared" ca="1" si="13"/>
        <v>403</v>
      </c>
      <c r="B167" s="194"/>
      <c r="C167" s="63" t="s">
        <v>201</v>
      </c>
      <c r="D167" s="63">
        <f>24.47*10.764</f>
        <v>263.39507999999995</v>
      </c>
      <c r="E167" s="63">
        <v>0</v>
      </c>
      <c r="F167" s="63">
        <f t="shared" si="15"/>
        <v>408.26237399999991</v>
      </c>
      <c r="G167" s="195"/>
      <c r="H167" s="196"/>
      <c r="I167" s="64"/>
      <c r="S167" s="110">
        <f t="shared" ca="1" si="14"/>
        <v>403</v>
      </c>
      <c r="T167" s="110"/>
      <c r="U167" s="64">
        <f>U166+1</f>
        <v>3</v>
      </c>
      <c r="V167" s="62">
        <f ca="1">V166+1</f>
        <v>403</v>
      </c>
    </row>
    <row r="168" spans="1:23" s="62" customFormat="1" hidden="1" x14ac:dyDescent="0.35">
      <c r="A168" s="194">
        <f t="shared" ca="1" si="13"/>
        <v>404</v>
      </c>
      <c r="B168" s="194"/>
      <c r="C168" s="63" t="s">
        <v>201</v>
      </c>
      <c r="D168" s="63">
        <f>34.89*10.764</f>
        <v>375.55595999999997</v>
      </c>
      <c r="E168" s="63">
        <v>0</v>
      </c>
      <c r="F168" s="63">
        <f t="shared" si="15"/>
        <v>582.11173799999995</v>
      </c>
      <c r="G168" s="195"/>
      <c r="H168" s="196"/>
      <c r="I168" s="64"/>
      <c r="S168" s="110">
        <f t="shared" ca="1" si="14"/>
        <v>404</v>
      </c>
      <c r="T168" s="110"/>
      <c r="U168" s="64">
        <f t="shared" ref="U168:V170" si="16">U167+1</f>
        <v>4</v>
      </c>
      <c r="V168" s="62">
        <f t="shared" ca="1" si="16"/>
        <v>404</v>
      </c>
    </row>
    <row r="169" spans="1:23" s="62" customFormat="1" hidden="1" x14ac:dyDescent="0.35">
      <c r="A169" s="194">
        <f t="shared" ca="1" si="13"/>
        <v>405</v>
      </c>
      <c r="B169" s="194"/>
      <c r="C169" s="63" t="s">
        <v>201</v>
      </c>
      <c r="D169" s="63">
        <f>32.53*10.764</f>
        <v>350.15291999999999</v>
      </c>
      <c r="E169" s="63">
        <v>0</v>
      </c>
      <c r="F169" s="63">
        <f t="shared" si="15"/>
        <v>542.73702600000001</v>
      </c>
      <c r="G169" s="195"/>
      <c r="H169" s="196"/>
      <c r="I169" s="64"/>
      <c r="S169" s="110">
        <f t="shared" ca="1" si="14"/>
        <v>405</v>
      </c>
      <c r="T169" s="110"/>
      <c r="U169" s="64">
        <f t="shared" si="16"/>
        <v>5</v>
      </c>
      <c r="V169" s="62">
        <f t="shared" ca="1" si="16"/>
        <v>405</v>
      </c>
    </row>
    <row r="170" spans="1:23" s="62" customFormat="1" hidden="1" x14ac:dyDescent="0.35">
      <c r="A170" s="194">
        <f t="shared" ca="1" si="13"/>
        <v>406</v>
      </c>
      <c r="B170" s="194"/>
      <c r="C170" s="63" t="s">
        <v>201</v>
      </c>
      <c r="D170" s="63">
        <f>31.21*10.764</f>
        <v>335.94443999999999</v>
      </c>
      <c r="E170" s="63">
        <v>0</v>
      </c>
      <c r="F170" s="63">
        <f t="shared" si="15"/>
        <v>520.71388200000001</v>
      </c>
      <c r="G170" s="195"/>
      <c r="H170" s="196"/>
      <c r="I170" s="64"/>
      <c r="S170" s="110">
        <f t="shared" ca="1" si="14"/>
        <v>406</v>
      </c>
      <c r="T170" s="110"/>
      <c r="U170" s="64">
        <f>U169+1</f>
        <v>6</v>
      </c>
      <c r="V170" s="62">
        <f t="shared" ca="1" si="16"/>
        <v>406</v>
      </c>
    </row>
    <row r="171" spans="1:23" s="62" customFormat="1" hidden="1" x14ac:dyDescent="0.35">
      <c r="A171" s="194">
        <f t="shared" ca="1" si="13"/>
        <v>407</v>
      </c>
      <c r="B171" s="194"/>
      <c r="C171" s="63" t="s">
        <v>201</v>
      </c>
      <c r="D171" s="63">
        <f>29.93*10.764</f>
        <v>322.16651999999999</v>
      </c>
      <c r="E171" s="63">
        <v>0</v>
      </c>
      <c r="F171" s="63">
        <f t="shared" si="15"/>
        <v>499.35810600000002</v>
      </c>
      <c r="G171" s="195"/>
      <c r="H171" s="196"/>
      <c r="I171" s="64"/>
      <c r="S171" s="110">
        <f t="shared" ca="1" si="14"/>
        <v>407</v>
      </c>
      <c r="T171" s="110"/>
      <c r="U171" s="64">
        <f t="shared" ref="U171:V172" si="17">U170+1</f>
        <v>7</v>
      </c>
      <c r="V171" s="62">
        <f t="shared" ca="1" si="17"/>
        <v>407</v>
      </c>
    </row>
    <row r="172" spans="1:23" s="62" customFormat="1" hidden="1" x14ac:dyDescent="0.35">
      <c r="A172" s="194">
        <f t="shared" ca="1" si="13"/>
        <v>408</v>
      </c>
      <c r="B172" s="194"/>
      <c r="C172" s="63" t="s">
        <v>201</v>
      </c>
      <c r="D172" s="63">
        <f>28.7*10.764</f>
        <v>308.92679999999996</v>
      </c>
      <c r="E172" s="63">
        <v>0</v>
      </c>
      <c r="F172" s="63">
        <f t="shared" si="15"/>
        <v>478.83653999999996</v>
      </c>
      <c r="G172" s="181"/>
      <c r="H172" s="182"/>
      <c r="I172" s="64"/>
      <c r="S172" s="110">
        <f t="shared" ca="1" si="14"/>
        <v>408</v>
      </c>
      <c r="T172" s="110"/>
      <c r="U172" s="64">
        <f>U171+1</f>
        <v>8</v>
      </c>
      <c r="V172" s="62">
        <f t="shared" ca="1" si="17"/>
        <v>408</v>
      </c>
    </row>
    <row r="173" spans="1:23" s="62" customFormat="1" hidden="1" x14ac:dyDescent="0.35">
      <c r="A173" s="197" t="s">
        <v>207</v>
      </c>
      <c r="B173" s="197"/>
      <c r="C173" s="197"/>
      <c r="D173" s="197"/>
      <c r="E173" s="197"/>
      <c r="F173" s="197"/>
      <c r="G173" s="197"/>
      <c r="H173" s="197"/>
      <c r="I173" s="64"/>
      <c r="S173" s="110"/>
      <c r="T173" s="110"/>
      <c r="V173" s="62" t="str">
        <f>LEFT(A173,SUM(LEN(A173)-LEN(SUBSTITUTE(A173,{"0","1","2","3","4","5","6","7","8","9"},""))))</f>
        <v>7</v>
      </c>
    </row>
    <row r="174" spans="1:23" s="62" customFormat="1" ht="15.75" hidden="1" customHeight="1" x14ac:dyDescent="0.35">
      <c r="A174" s="194">
        <f t="shared" ref="A174:A181" ca="1" si="18">S174</f>
        <v>701</v>
      </c>
      <c r="B174" s="194"/>
      <c r="C174" s="63" t="s">
        <v>201</v>
      </c>
      <c r="D174" s="63">
        <f>18.67*10.764</f>
        <v>200.96388000000002</v>
      </c>
      <c r="E174" s="63">
        <v>0</v>
      </c>
      <c r="F174" s="63">
        <f>D174*(($F$130)+1)+E174</f>
        <v>311.49401400000005</v>
      </c>
      <c r="G174" s="179" t="str">
        <f>A173</f>
        <v>7th Floor(Part Refuge Floor)</v>
      </c>
      <c r="H174" s="180"/>
      <c r="I174" s="64"/>
      <c r="S174" s="110">
        <f t="shared" ref="S174:S181" ca="1" si="19">V174</f>
        <v>701</v>
      </c>
      <c r="T174" s="110"/>
      <c r="U174" s="64">
        <v>1</v>
      </c>
      <c r="V174" s="62">
        <f ca="1">(SUMPRODUCT(MID(0&amp;V173, LARGE(INDEX(ISNUMBER(--MID(V173, ROW(INDIRECT("1:"&amp;LEN(V173))), 1)) * ROW(INDIRECT("1:"&amp;LEN(V173))), 0), ROW(INDIRECT("1:"&amp;LEN(V173))))+1, 1) * 10^ROW(INDIRECT("1:"&amp;LEN(V173)))/10))*U174*100+1</f>
        <v>701</v>
      </c>
    </row>
    <row r="175" spans="1:23" s="62" customFormat="1" ht="15.75" hidden="1" customHeight="1" x14ac:dyDescent="0.35">
      <c r="A175" s="194">
        <f t="shared" ca="1" si="18"/>
        <v>702</v>
      </c>
      <c r="B175" s="194"/>
      <c r="C175" s="63" t="s">
        <v>201</v>
      </c>
      <c r="D175" s="63">
        <f>24.47*10.764</f>
        <v>263.39507999999995</v>
      </c>
      <c r="E175" s="63">
        <v>0</v>
      </c>
      <c r="F175" s="63">
        <f t="shared" ref="F175:F181" si="20">D175*(($F$130)+1)+E175</f>
        <v>408.26237399999991</v>
      </c>
      <c r="G175" s="195"/>
      <c r="H175" s="196"/>
      <c r="I175" s="64"/>
      <c r="S175" s="110">
        <f t="shared" ca="1" si="19"/>
        <v>702</v>
      </c>
      <c r="T175" s="110"/>
      <c r="U175" s="64">
        <f>U174+1</f>
        <v>2</v>
      </c>
      <c r="V175" s="62">
        <f ca="1">V174+1</f>
        <v>702</v>
      </c>
    </row>
    <row r="176" spans="1:23" s="62" customFormat="1" ht="15.75" hidden="1" customHeight="1" x14ac:dyDescent="0.35">
      <c r="A176" s="194">
        <f t="shared" ca="1" si="18"/>
        <v>703</v>
      </c>
      <c r="B176" s="194"/>
      <c r="C176" s="63" t="s">
        <v>201</v>
      </c>
      <c r="D176" s="63">
        <f>24.47*10.764</f>
        <v>263.39507999999995</v>
      </c>
      <c r="E176" s="63">
        <v>0</v>
      </c>
      <c r="F176" s="63">
        <f t="shared" si="20"/>
        <v>408.26237399999991</v>
      </c>
      <c r="G176" s="195"/>
      <c r="H176" s="196"/>
      <c r="I176" s="64"/>
      <c r="S176" s="110">
        <f t="shared" ca="1" si="19"/>
        <v>703</v>
      </c>
      <c r="T176" s="110"/>
      <c r="U176" s="64">
        <f>U175+1</f>
        <v>3</v>
      </c>
      <c r="V176" s="62">
        <f ca="1">V175+1</f>
        <v>703</v>
      </c>
    </row>
    <row r="177" spans="1:22" s="62" customFormat="1" ht="15.75" hidden="1" customHeight="1" x14ac:dyDescent="0.35">
      <c r="A177" s="194">
        <f t="shared" ca="1" si="18"/>
        <v>704</v>
      </c>
      <c r="B177" s="194"/>
      <c r="C177" s="63" t="s">
        <v>201</v>
      </c>
      <c r="D177" s="63">
        <f>34.89*10.764</f>
        <v>375.55595999999997</v>
      </c>
      <c r="E177" s="63">
        <v>0</v>
      </c>
      <c r="F177" s="63">
        <f t="shared" si="20"/>
        <v>582.11173799999995</v>
      </c>
      <c r="G177" s="195"/>
      <c r="H177" s="196"/>
      <c r="I177" s="64"/>
      <c r="S177" s="110">
        <f t="shared" ca="1" si="19"/>
        <v>704</v>
      </c>
      <c r="T177" s="110"/>
      <c r="U177" s="64">
        <f t="shared" ref="U177:V179" si="21">U176+1</f>
        <v>4</v>
      </c>
      <c r="V177" s="62">
        <f t="shared" ca="1" si="21"/>
        <v>704</v>
      </c>
    </row>
    <row r="178" spans="1:22" s="62" customFormat="1" ht="15.75" hidden="1" customHeight="1" x14ac:dyDescent="0.35">
      <c r="A178" s="194">
        <f t="shared" ca="1" si="18"/>
        <v>705</v>
      </c>
      <c r="B178" s="194"/>
      <c r="C178" s="63" t="s">
        <v>201</v>
      </c>
      <c r="D178" s="63">
        <f>32.53*10.764</f>
        <v>350.15291999999999</v>
      </c>
      <c r="E178" s="63">
        <v>0</v>
      </c>
      <c r="F178" s="63">
        <f t="shared" si="20"/>
        <v>542.73702600000001</v>
      </c>
      <c r="G178" s="195"/>
      <c r="H178" s="196"/>
      <c r="I178" s="64"/>
      <c r="S178" s="110">
        <f t="shared" ca="1" si="19"/>
        <v>705</v>
      </c>
      <c r="T178" s="110"/>
      <c r="U178" s="64">
        <f t="shared" si="21"/>
        <v>5</v>
      </c>
      <c r="V178" s="62">
        <f t="shared" ca="1" si="21"/>
        <v>705</v>
      </c>
    </row>
    <row r="179" spans="1:22" s="62" customFormat="1" ht="15.75" hidden="1" customHeight="1" x14ac:dyDescent="0.35">
      <c r="A179" s="194">
        <f t="shared" ca="1" si="18"/>
        <v>706</v>
      </c>
      <c r="B179" s="194"/>
      <c r="C179" s="63" t="s">
        <v>201</v>
      </c>
      <c r="D179" s="63">
        <f>31.21*10.764</f>
        <v>335.94443999999999</v>
      </c>
      <c r="E179" s="63">
        <v>0</v>
      </c>
      <c r="F179" s="63">
        <f t="shared" si="20"/>
        <v>520.71388200000001</v>
      </c>
      <c r="G179" s="195"/>
      <c r="H179" s="196"/>
      <c r="I179" s="64"/>
      <c r="S179" s="110">
        <f t="shared" ca="1" si="19"/>
        <v>706</v>
      </c>
      <c r="T179" s="110"/>
      <c r="U179" s="64">
        <f>U178+1</f>
        <v>6</v>
      </c>
      <c r="V179" s="62">
        <f t="shared" ca="1" si="21"/>
        <v>706</v>
      </c>
    </row>
    <row r="180" spans="1:22" s="62" customFormat="1" ht="15.75" hidden="1" customHeight="1" x14ac:dyDescent="0.35">
      <c r="A180" s="194">
        <f t="shared" ca="1" si="18"/>
        <v>707</v>
      </c>
      <c r="B180" s="194"/>
      <c r="C180" s="63" t="s">
        <v>201</v>
      </c>
      <c r="D180" s="63">
        <f>29.93*10.764</f>
        <v>322.16651999999999</v>
      </c>
      <c r="E180" s="63">
        <v>0</v>
      </c>
      <c r="F180" s="63">
        <f t="shared" si="20"/>
        <v>499.35810600000002</v>
      </c>
      <c r="G180" s="195"/>
      <c r="H180" s="196"/>
      <c r="I180" s="64"/>
      <c r="S180" s="110">
        <f t="shared" ca="1" si="19"/>
        <v>707</v>
      </c>
      <c r="T180" s="110"/>
      <c r="U180" s="64">
        <f t="shared" ref="U180:V181" si="22">U179+1</f>
        <v>7</v>
      </c>
      <c r="V180" s="62">
        <f t="shared" ca="1" si="22"/>
        <v>707</v>
      </c>
    </row>
    <row r="181" spans="1:22" s="62" customFormat="1" ht="15.75" hidden="1" customHeight="1" x14ac:dyDescent="0.35">
      <c r="A181" s="194">
        <f t="shared" ca="1" si="18"/>
        <v>708</v>
      </c>
      <c r="B181" s="194"/>
      <c r="C181" s="63" t="s">
        <v>201</v>
      </c>
      <c r="D181" s="63">
        <f>28.7*10.764</f>
        <v>308.92679999999996</v>
      </c>
      <c r="E181" s="63">
        <v>0</v>
      </c>
      <c r="F181" s="63">
        <f t="shared" si="20"/>
        <v>478.83653999999996</v>
      </c>
      <c r="G181" s="181"/>
      <c r="H181" s="182"/>
      <c r="I181" s="64"/>
      <c r="S181" s="110">
        <f t="shared" ca="1" si="19"/>
        <v>708</v>
      </c>
      <c r="T181" s="110"/>
      <c r="U181" s="64">
        <f>U180+1</f>
        <v>8</v>
      </c>
      <c r="V181" s="62">
        <f t="shared" ca="1" si="22"/>
        <v>708</v>
      </c>
    </row>
    <row r="182" spans="1:22" s="62" customFormat="1" hidden="1" x14ac:dyDescent="0.35">
      <c r="A182" s="197" t="s">
        <v>245</v>
      </c>
      <c r="B182" s="197"/>
      <c r="C182" s="197"/>
      <c r="D182" s="197"/>
      <c r="E182" s="197"/>
      <c r="F182" s="197"/>
      <c r="G182" s="197"/>
      <c r="H182" s="197"/>
      <c r="I182" s="64"/>
      <c r="S182" s="110"/>
      <c r="T182" s="110"/>
      <c r="V182" s="62" t="str">
        <f>LEFT(A182,SUM(LEN(A182)-LEN(SUBSTITUTE(A182,{"0","1","2","3","4","5","6","7","8","9"},""))))</f>
        <v>8</v>
      </c>
    </row>
    <row r="183" spans="1:22" s="62" customFormat="1" ht="15.75" hidden="1" customHeight="1" x14ac:dyDescent="0.35">
      <c r="A183" s="194">
        <f t="shared" ref="A183:A190" ca="1" si="23">S183</f>
        <v>801</v>
      </c>
      <c r="B183" s="194"/>
      <c r="C183" s="63" t="s">
        <v>201</v>
      </c>
      <c r="D183" s="63">
        <f>18.67*10.764</f>
        <v>200.96388000000002</v>
      </c>
      <c r="E183" s="63">
        <v>0</v>
      </c>
      <c r="F183" s="63">
        <f>D183*(($F$130)+1)+E183</f>
        <v>311.49401400000005</v>
      </c>
      <c r="G183" s="179" t="str">
        <f>A182</f>
        <v>8th Floor</v>
      </c>
      <c r="H183" s="180"/>
      <c r="I183" s="64"/>
      <c r="S183" s="110">
        <f t="shared" ref="S183:S190" ca="1" si="24">V183</f>
        <v>801</v>
      </c>
      <c r="T183" s="110"/>
      <c r="U183" s="64">
        <v>1</v>
      </c>
      <c r="V183" s="62">
        <f ca="1">(SUMPRODUCT(MID(0&amp;V182, LARGE(INDEX(ISNUMBER(--MID(V182, ROW(INDIRECT("1:"&amp;LEN(V182))), 1)) * ROW(INDIRECT("1:"&amp;LEN(V182))), 0), ROW(INDIRECT("1:"&amp;LEN(V182))))+1, 1) * 10^ROW(INDIRECT("1:"&amp;LEN(V182)))/10))*U183*100+1</f>
        <v>801</v>
      </c>
    </row>
    <row r="184" spans="1:22" s="62" customFormat="1" ht="15.75" hidden="1" customHeight="1" x14ac:dyDescent="0.35">
      <c r="A184" s="194">
        <f t="shared" ca="1" si="23"/>
        <v>802</v>
      </c>
      <c r="B184" s="194"/>
      <c r="C184" s="63" t="s">
        <v>201</v>
      </c>
      <c r="D184" s="63">
        <f>24.47*10.764</f>
        <v>263.39507999999995</v>
      </c>
      <c r="E184" s="63">
        <v>0</v>
      </c>
      <c r="F184" s="63">
        <f t="shared" ref="F184:F190" si="25">D184*(($F$130)+1)+E184</f>
        <v>408.26237399999991</v>
      </c>
      <c r="G184" s="195"/>
      <c r="H184" s="196"/>
      <c r="I184" s="64"/>
      <c r="S184" s="110">
        <f t="shared" ca="1" si="24"/>
        <v>802</v>
      </c>
      <c r="T184" s="110"/>
      <c r="U184" s="64">
        <f>U183+1</f>
        <v>2</v>
      </c>
      <c r="V184" s="62">
        <f ca="1">V183+1</f>
        <v>802</v>
      </c>
    </row>
    <row r="185" spans="1:22" s="62" customFormat="1" ht="15.75" hidden="1" customHeight="1" x14ac:dyDescent="0.35">
      <c r="A185" s="194">
        <f t="shared" ca="1" si="23"/>
        <v>803</v>
      </c>
      <c r="B185" s="194"/>
      <c r="C185" s="63" t="s">
        <v>201</v>
      </c>
      <c r="D185" s="63">
        <f>24.47*10.764</f>
        <v>263.39507999999995</v>
      </c>
      <c r="E185" s="63">
        <v>0</v>
      </c>
      <c r="F185" s="63">
        <f t="shared" si="25"/>
        <v>408.26237399999991</v>
      </c>
      <c r="G185" s="195"/>
      <c r="H185" s="196"/>
      <c r="I185" s="64"/>
      <c r="S185" s="110">
        <f t="shared" ca="1" si="24"/>
        <v>803</v>
      </c>
      <c r="T185" s="110"/>
      <c r="U185" s="64">
        <f>U184+1</f>
        <v>3</v>
      </c>
      <c r="V185" s="62">
        <f ca="1">V184+1</f>
        <v>803</v>
      </c>
    </row>
    <row r="186" spans="1:22" s="62" customFormat="1" ht="15.75" hidden="1" customHeight="1" x14ac:dyDescent="0.35">
      <c r="A186" s="194">
        <f t="shared" ca="1" si="23"/>
        <v>804</v>
      </c>
      <c r="B186" s="194"/>
      <c r="C186" s="63" t="s">
        <v>201</v>
      </c>
      <c r="D186" s="63">
        <f>34.89*10.764</f>
        <v>375.55595999999997</v>
      </c>
      <c r="E186" s="63">
        <v>0</v>
      </c>
      <c r="F186" s="63">
        <f t="shared" si="25"/>
        <v>582.11173799999995</v>
      </c>
      <c r="G186" s="195"/>
      <c r="H186" s="196"/>
      <c r="I186" s="64"/>
      <c r="S186" s="110">
        <f t="shared" ca="1" si="24"/>
        <v>804</v>
      </c>
      <c r="T186" s="110"/>
      <c r="U186" s="64">
        <f t="shared" ref="U186:V186" si="26">U185+1</f>
        <v>4</v>
      </c>
      <c r="V186" s="62">
        <f t="shared" ca="1" si="26"/>
        <v>804</v>
      </c>
    </row>
    <row r="187" spans="1:22" s="62" customFormat="1" ht="15.75" hidden="1" customHeight="1" x14ac:dyDescent="0.35">
      <c r="A187" s="194">
        <f t="shared" ca="1" si="23"/>
        <v>805</v>
      </c>
      <c r="B187" s="194"/>
      <c r="C187" s="63" t="s">
        <v>201</v>
      </c>
      <c r="D187" s="63">
        <f>32.53*10.764</f>
        <v>350.15291999999999</v>
      </c>
      <c r="E187" s="63">
        <v>0</v>
      </c>
      <c r="F187" s="63">
        <f t="shared" si="25"/>
        <v>542.73702600000001</v>
      </c>
      <c r="G187" s="195"/>
      <c r="H187" s="196"/>
      <c r="I187" s="64"/>
      <c r="S187" s="110">
        <f t="shared" ca="1" si="24"/>
        <v>805</v>
      </c>
      <c r="T187" s="110"/>
      <c r="U187" s="64">
        <f t="shared" ref="U187:V187" si="27">U186+1</f>
        <v>5</v>
      </c>
      <c r="V187" s="62">
        <f t="shared" ca="1" si="27"/>
        <v>805</v>
      </c>
    </row>
    <row r="188" spans="1:22" s="62" customFormat="1" ht="15.75" hidden="1" customHeight="1" x14ac:dyDescent="0.35">
      <c r="A188" s="194">
        <f t="shared" ca="1" si="23"/>
        <v>806</v>
      </c>
      <c r="B188" s="194"/>
      <c r="C188" s="63" t="s">
        <v>201</v>
      </c>
      <c r="D188" s="63">
        <f>31.21*10.764</f>
        <v>335.94443999999999</v>
      </c>
      <c r="E188" s="63">
        <v>0</v>
      </c>
      <c r="F188" s="63">
        <f t="shared" si="25"/>
        <v>520.71388200000001</v>
      </c>
      <c r="G188" s="195"/>
      <c r="H188" s="196"/>
      <c r="I188" s="64"/>
      <c r="S188" s="110">
        <f t="shared" ca="1" si="24"/>
        <v>806</v>
      </c>
      <c r="T188" s="110"/>
      <c r="U188" s="64">
        <f>U187+1</f>
        <v>6</v>
      </c>
      <c r="V188" s="62">
        <f t="shared" ref="V188" ca="1" si="28">V187+1</f>
        <v>806</v>
      </c>
    </row>
    <row r="189" spans="1:22" s="62" customFormat="1" ht="15.75" hidden="1" customHeight="1" x14ac:dyDescent="0.35">
      <c r="A189" s="194">
        <f t="shared" ca="1" si="23"/>
        <v>807</v>
      </c>
      <c r="B189" s="194"/>
      <c r="C189" s="63" t="s">
        <v>201</v>
      </c>
      <c r="D189" s="63">
        <f>29.93*10.764</f>
        <v>322.16651999999999</v>
      </c>
      <c r="E189" s="63">
        <v>0</v>
      </c>
      <c r="F189" s="63">
        <f t="shared" si="25"/>
        <v>499.35810600000002</v>
      </c>
      <c r="G189" s="195"/>
      <c r="H189" s="196"/>
      <c r="I189" s="64"/>
      <c r="S189" s="110">
        <f t="shared" ca="1" si="24"/>
        <v>807</v>
      </c>
      <c r="T189" s="110"/>
      <c r="U189" s="64">
        <f t="shared" ref="U189:V189" si="29">U188+1</f>
        <v>7</v>
      </c>
      <c r="V189" s="62">
        <f t="shared" ca="1" si="29"/>
        <v>807</v>
      </c>
    </row>
    <row r="190" spans="1:22" s="62" customFormat="1" ht="15.75" hidden="1" customHeight="1" x14ac:dyDescent="0.35">
      <c r="A190" s="194">
        <f t="shared" ca="1" si="23"/>
        <v>808</v>
      </c>
      <c r="B190" s="194"/>
      <c r="C190" s="63" t="s">
        <v>201</v>
      </c>
      <c r="D190" s="63">
        <f>28.7*10.764</f>
        <v>308.92679999999996</v>
      </c>
      <c r="E190" s="63">
        <v>0</v>
      </c>
      <c r="F190" s="63">
        <f t="shared" si="25"/>
        <v>478.83653999999996</v>
      </c>
      <c r="G190" s="181"/>
      <c r="H190" s="182"/>
      <c r="I190" s="64"/>
      <c r="S190" s="110">
        <f t="shared" ca="1" si="24"/>
        <v>808</v>
      </c>
      <c r="T190" s="110"/>
      <c r="U190" s="64">
        <f>U189+1</f>
        <v>8</v>
      </c>
      <c r="V190" s="62">
        <f t="shared" ref="V190:V191" ca="1" si="30">V189+1</f>
        <v>808</v>
      </c>
    </row>
    <row r="191" spans="1:22" s="62" customFormat="1" ht="15.75" hidden="1" customHeight="1" x14ac:dyDescent="0.35">
      <c r="A191" s="111"/>
      <c r="B191" s="112"/>
      <c r="C191" s="112"/>
      <c r="D191" s="112"/>
      <c r="E191" s="112"/>
      <c r="F191" s="112"/>
      <c r="G191" s="112"/>
      <c r="H191" s="113"/>
      <c r="I191" s="64"/>
      <c r="S191" s="110">
        <f t="shared" ref="S191" ca="1" si="31">V191</f>
        <v>809</v>
      </c>
      <c r="T191" s="110"/>
      <c r="U191" s="64">
        <f>U190+1</f>
        <v>9</v>
      </c>
      <c r="V191" s="62">
        <f t="shared" ca="1" si="30"/>
        <v>809</v>
      </c>
    </row>
    <row r="192" spans="1:22" ht="45" hidden="1" x14ac:dyDescent="0.35">
      <c r="A192" s="186" t="s">
        <v>226</v>
      </c>
      <c r="B192" s="186" t="s">
        <v>179</v>
      </c>
      <c r="C192" s="188" t="s">
        <v>71</v>
      </c>
      <c r="D192" s="188" t="s">
        <v>72</v>
      </c>
      <c r="E192" s="190" t="s">
        <v>73</v>
      </c>
      <c r="F192" s="60" t="s">
        <v>175</v>
      </c>
      <c r="G192" s="186" t="s">
        <v>74</v>
      </c>
      <c r="H192" s="192"/>
      <c r="I192" s="64"/>
    </row>
    <row r="193" spans="1:23" s="62" customFormat="1" hidden="1" x14ac:dyDescent="0.35">
      <c r="A193" s="187"/>
      <c r="B193" s="187"/>
      <c r="C193" s="189"/>
      <c r="D193" s="189"/>
      <c r="E193" s="191"/>
      <c r="F193" s="61">
        <v>0.5</v>
      </c>
      <c r="G193" s="187"/>
      <c r="H193" s="193"/>
      <c r="I193" s="64"/>
    </row>
    <row r="194" spans="1:23" s="62" customFormat="1" hidden="1" x14ac:dyDescent="0.35">
      <c r="A194" s="183" t="s">
        <v>247</v>
      </c>
      <c r="B194" s="184"/>
      <c r="C194" s="184"/>
      <c r="D194" s="184"/>
      <c r="E194" s="184"/>
      <c r="F194" s="184"/>
      <c r="G194" s="184"/>
      <c r="H194" s="185"/>
      <c r="I194" s="64"/>
      <c r="U194" s="64"/>
    </row>
    <row r="195" spans="1:23" s="62" customFormat="1" hidden="1" x14ac:dyDescent="0.35">
      <c r="A195" s="183" t="s">
        <v>194</v>
      </c>
      <c r="B195" s="184"/>
      <c r="C195" s="184"/>
      <c r="D195" s="184"/>
      <c r="E195" s="184"/>
      <c r="F195" s="184"/>
      <c r="G195" s="184"/>
      <c r="H195" s="185"/>
      <c r="I195" s="64"/>
      <c r="U195" s="64"/>
    </row>
    <row r="196" spans="1:23" s="62" customFormat="1" hidden="1" x14ac:dyDescent="0.35">
      <c r="A196" s="183" t="s">
        <v>199</v>
      </c>
      <c r="B196" s="184"/>
      <c r="C196" s="184"/>
      <c r="D196" s="184"/>
      <c r="E196" s="184"/>
      <c r="F196" s="184"/>
      <c r="G196" s="184"/>
      <c r="H196" s="185"/>
      <c r="I196" s="64"/>
      <c r="U196" s="64"/>
    </row>
    <row r="197" spans="1:23" s="62" customFormat="1" hidden="1" x14ac:dyDescent="0.35">
      <c r="A197" s="197" t="s">
        <v>202</v>
      </c>
      <c r="B197" s="197"/>
      <c r="C197" s="197"/>
      <c r="D197" s="197"/>
      <c r="E197" s="197"/>
      <c r="F197" s="197"/>
      <c r="G197" s="197"/>
      <c r="H197" s="197"/>
      <c r="I197" s="64"/>
      <c r="S197" s="110"/>
      <c r="T197" s="110"/>
      <c r="V197" s="62" t="str">
        <f>LEFT(A197,SUM(LEN(A197)-LEN(SUBSTITUTE(A197,{"0","1","2","3","4","5","6","7","8","9"},""))))</f>
        <v>1</v>
      </c>
    </row>
    <row r="198" spans="1:23" s="62" customFormat="1" ht="15.75" hidden="1" customHeight="1" x14ac:dyDescent="0.35">
      <c r="A198" s="194">
        <f t="shared" ref="A198:A200" ca="1" si="32">S198</f>
        <v>101</v>
      </c>
      <c r="B198" s="194"/>
      <c r="C198" s="63" t="s">
        <v>203</v>
      </c>
      <c r="D198" s="63">
        <f>37.01*10.764</f>
        <v>398.37563999999998</v>
      </c>
      <c r="E198" s="63">
        <v>0</v>
      </c>
      <c r="F198" s="63">
        <f>D198*(($F$193)+1)+E198</f>
        <v>597.56345999999996</v>
      </c>
      <c r="G198" s="179" t="str">
        <f>A197</f>
        <v>1st Floor for Residential</v>
      </c>
      <c r="H198" s="180"/>
      <c r="I198" s="64"/>
      <c r="S198" s="110">
        <f t="shared" ref="S198:S200" ca="1" si="33">V198</f>
        <v>101</v>
      </c>
      <c r="T198" s="110"/>
      <c r="U198" s="64">
        <v>1</v>
      </c>
      <c r="V198" s="62">
        <f ca="1">(SUMPRODUCT(MID(0&amp;V197, LARGE(INDEX(ISNUMBER(--MID(V197, ROW(INDIRECT("1:"&amp;LEN(V197))), 1)) * ROW(INDIRECT("1:"&amp;LEN(V197))), 0), ROW(INDIRECT("1:"&amp;LEN(V197))))+1, 1) * 10^ROW(INDIRECT("1:"&amp;LEN(V197)))/10))*U198*100+1</f>
        <v>101</v>
      </c>
    </row>
    <row r="199" spans="1:23" s="62" customFormat="1" ht="15.75" hidden="1" customHeight="1" x14ac:dyDescent="0.35">
      <c r="A199" s="194">
        <f t="shared" ca="1" si="32"/>
        <v>102</v>
      </c>
      <c r="B199" s="194"/>
      <c r="C199" s="63" t="s">
        <v>204</v>
      </c>
      <c r="D199" s="63">
        <f>46.28*10.764</f>
        <v>498.15791999999999</v>
      </c>
      <c r="E199" s="63">
        <f>3.07*1.7*10.764</f>
        <v>56.17731599999999</v>
      </c>
      <c r="F199" s="63">
        <f>D199*(($F$193)+1)+E199</f>
        <v>803.41419599999995</v>
      </c>
      <c r="G199" s="195"/>
      <c r="H199" s="196"/>
      <c r="I199" s="64"/>
      <c r="S199" s="110">
        <f t="shared" ca="1" si="33"/>
        <v>102</v>
      </c>
      <c r="T199" s="110"/>
      <c r="U199" s="64">
        <f>U198+1</f>
        <v>2</v>
      </c>
      <c r="V199" s="62">
        <f ca="1">V198+1</f>
        <v>102</v>
      </c>
    </row>
    <row r="200" spans="1:23" s="62" customFormat="1" ht="15.75" hidden="1" customHeight="1" x14ac:dyDescent="0.35">
      <c r="A200" s="194">
        <f t="shared" ca="1" si="32"/>
        <v>103</v>
      </c>
      <c r="B200" s="194"/>
      <c r="C200" s="63" t="s">
        <v>204</v>
      </c>
      <c r="D200" s="63">
        <f>46.71*10.764</f>
        <v>502.78643999999997</v>
      </c>
      <c r="E200" s="63">
        <f>3.07*1.7*10.764</f>
        <v>56.17731599999999</v>
      </c>
      <c r="F200" s="63">
        <f>D200*(($F$193)+1)+E200</f>
        <v>810.35697600000003</v>
      </c>
      <c r="G200" s="181"/>
      <c r="H200" s="182"/>
      <c r="I200" s="64"/>
      <c r="S200" s="110">
        <f t="shared" ca="1" si="33"/>
        <v>103</v>
      </c>
      <c r="T200" s="110"/>
      <c r="U200" s="64">
        <f>U199+1</f>
        <v>3</v>
      </c>
      <c r="V200" s="62">
        <f ca="1">V199+1</f>
        <v>103</v>
      </c>
    </row>
    <row r="201" spans="1:23" s="62" customFormat="1" hidden="1" x14ac:dyDescent="0.35">
      <c r="A201" s="197" t="s">
        <v>177</v>
      </c>
      <c r="B201" s="197"/>
      <c r="C201" s="197"/>
      <c r="D201" s="197"/>
      <c r="E201" s="197"/>
      <c r="F201" s="197"/>
      <c r="G201" s="197"/>
      <c r="H201" s="197"/>
      <c r="I201" s="64"/>
      <c r="S201" s="110"/>
      <c r="T201" s="110"/>
      <c r="V201" s="62" t="str">
        <f>LEFT(A201,SUM(LEN(A201)-LEN(SUBSTITUTE(A201,{"0","1","2","3","4","5","6","7","8","9"},""))))</f>
        <v>2</v>
      </c>
    </row>
    <row r="202" spans="1:23" s="62" customFormat="1" hidden="1" x14ac:dyDescent="0.35">
      <c r="A202" s="194">
        <f t="shared" ref="A202:A204" ca="1" si="34">S202</f>
        <v>201</v>
      </c>
      <c r="B202" s="194"/>
      <c r="C202" s="63" t="s">
        <v>203</v>
      </c>
      <c r="D202" s="63">
        <f>37.01*10.764</f>
        <v>398.37563999999998</v>
      </c>
      <c r="E202" s="63">
        <v>0</v>
      </c>
      <c r="F202" s="63">
        <f>D202*(($F$193)+1)+E202</f>
        <v>597.56345999999996</v>
      </c>
      <c r="G202" s="179" t="str">
        <f>A201</f>
        <v>2nd Floor</v>
      </c>
      <c r="H202" s="180"/>
      <c r="I202" s="64"/>
      <c r="S202" s="110">
        <f t="shared" ref="S202:S204" ca="1" si="35">V202</f>
        <v>201</v>
      </c>
      <c r="T202" s="110"/>
      <c r="U202" s="64">
        <v>1</v>
      </c>
      <c r="V202" s="62">
        <f ca="1">(SUMPRODUCT(MID(0&amp;V201, LARGE(INDEX(ISNUMBER(--MID(V201, ROW(INDIRECT("1:"&amp;LEN(V201))), 1)) * ROW(INDIRECT("1:"&amp;LEN(V201))), 0), ROW(INDIRECT("1:"&amp;LEN(V201))))+1, 1) * 10^ROW(INDIRECT("1:"&amp;LEN(V201)))/10))*U202*100+1</f>
        <v>201</v>
      </c>
    </row>
    <row r="203" spans="1:23" s="62" customFormat="1" hidden="1" x14ac:dyDescent="0.35">
      <c r="A203" s="194">
        <f t="shared" ca="1" si="34"/>
        <v>202</v>
      </c>
      <c r="B203" s="194"/>
      <c r="C203" s="63" t="s">
        <v>204</v>
      </c>
      <c r="D203" s="63">
        <f>46.28*10.764</f>
        <v>498.15791999999999</v>
      </c>
      <c r="E203" s="63">
        <v>0</v>
      </c>
      <c r="F203" s="63">
        <f t="shared" ref="F203:F204" si="36">D203*(($F$193)+1)+E203</f>
        <v>747.23687999999993</v>
      </c>
      <c r="G203" s="195"/>
      <c r="H203" s="196"/>
      <c r="I203" s="64"/>
      <c r="S203" s="110">
        <f t="shared" ca="1" si="35"/>
        <v>202</v>
      </c>
      <c r="T203" s="110"/>
      <c r="U203" s="64">
        <f>U202+1</f>
        <v>2</v>
      </c>
      <c r="V203" s="62">
        <f ca="1">V202+1</f>
        <v>202</v>
      </c>
    </row>
    <row r="204" spans="1:23" s="62" customFormat="1" hidden="1" x14ac:dyDescent="0.35">
      <c r="A204" s="194">
        <f t="shared" ca="1" si="34"/>
        <v>203</v>
      </c>
      <c r="B204" s="194"/>
      <c r="C204" s="63" t="s">
        <v>204</v>
      </c>
      <c r="D204" s="63">
        <f>46.71*10.764</f>
        <v>502.78643999999997</v>
      </c>
      <c r="E204" s="63">
        <v>0</v>
      </c>
      <c r="F204" s="63">
        <f t="shared" si="36"/>
        <v>754.17966000000001</v>
      </c>
      <c r="G204" s="181"/>
      <c r="H204" s="182"/>
      <c r="I204" s="64"/>
      <c r="S204" s="110">
        <f t="shared" ca="1" si="35"/>
        <v>203</v>
      </c>
      <c r="T204" s="110"/>
      <c r="U204" s="64">
        <f>U203+1</f>
        <v>3</v>
      </c>
      <c r="V204" s="62">
        <f ca="1">V203+1</f>
        <v>203</v>
      </c>
    </row>
    <row r="205" spans="1:23" s="62" customFormat="1" ht="15.75" hidden="1" customHeight="1" x14ac:dyDescent="0.35">
      <c r="A205" s="183" t="s">
        <v>244</v>
      </c>
      <c r="B205" s="184"/>
      <c r="C205" s="184"/>
      <c r="D205" s="184"/>
      <c r="E205" s="184"/>
      <c r="F205" s="184"/>
      <c r="G205" s="184"/>
      <c r="H205" s="185"/>
      <c r="I205" s="64"/>
      <c r="S205" s="110" t="s">
        <v>176</v>
      </c>
      <c r="T205" s="110"/>
      <c r="V205" s="62" t="str">
        <f>LEFT(A205,SUM(LEN(A205)-LEN(SUBSTITUTE(A205,{"0","1","2","3","4","5","6","7","8","9"},""))))</f>
        <v>3rd</v>
      </c>
      <c r="W205" s="62">
        <f ca="1">--TRIM(RIGHT(SUBSTITUTE(LEFT(A205,_xlfn.AGGREGATE(16,6,FIND({0,1,2,3,4,5,6,7,8,9},A205,ROW(INDIRECT("1:"&amp;LEN(A205)))),1))," ",REPT(" ",LEN(A205))),LEN(A205)))</f>
        <v>6</v>
      </c>
    </row>
    <row r="206" spans="1:23" s="62" customFormat="1" ht="15.75" hidden="1" customHeight="1" x14ac:dyDescent="0.35">
      <c r="A206" s="111" t="str">
        <f t="shared" ref="A206:A208" ca="1" si="37">S206</f>
        <v>301,..,601</v>
      </c>
      <c r="B206" s="113"/>
      <c r="C206" s="63" t="s">
        <v>203</v>
      </c>
      <c r="D206" s="63">
        <f>37.01*10.764</f>
        <v>398.37563999999998</v>
      </c>
      <c r="E206" s="63">
        <v>0</v>
      </c>
      <c r="F206" s="63">
        <f>D206*(($F$193)+1)+E206</f>
        <v>597.56345999999996</v>
      </c>
      <c r="G206" s="179" t="str">
        <f>A205</f>
        <v>3rd, 5th &amp; 6th Floor</v>
      </c>
      <c r="H206" s="180"/>
      <c r="I206" s="64"/>
      <c r="S206" s="110" t="str">
        <f ca="1">V206&amp;""&amp;$S$205&amp;""&amp;W206</f>
        <v>301,..,601</v>
      </c>
      <c r="T206" s="110"/>
      <c r="U206" s="64">
        <v>1</v>
      </c>
      <c r="V206" s="62">
        <f ca="1">(SUMPRODUCT(MID(0&amp;V205, LARGE(INDEX(ISNUMBER(--MID(V205, ROW(INDIRECT("1:"&amp;LEN(V205))), 1)) * ROW(INDIRECT("1:"&amp;LEN(V205))), 0), ROW(INDIRECT("1:"&amp;LEN(V205))))+1, 1) * 10^ROW(INDIRECT("1:"&amp;LEN(V205)))/10))*U206*100+1</f>
        <v>301</v>
      </c>
      <c r="W206" s="62">
        <f ca="1">(SUMPRODUCT(MID(0&amp;W205, LARGE(INDEX(ISNUMBER(--MID(W205, ROW(INDIRECT("1:"&amp;LEN(W205))), 1)) * ROW(INDIRECT("1:"&amp;LEN(W205))), 0), ROW(INDIRECT("1:"&amp;LEN(W205))))+1, 1) * 10^ROW(INDIRECT("1:"&amp;LEN(W205)))/10))*U206*100+1</f>
        <v>601</v>
      </c>
    </row>
    <row r="207" spans="1:23" s="62" customFormat="1" ht="15.75" hidden="1" customHeight="1" x14ac:dyDescent="0.35">
      <c r="A207" s="111" t="str">
        <f t="shared" ca="1" si="37"/>
        <v>302,..,602</v>
      </c>
      <c r="B207" s="113"/>
      <c r="C207" s="63" t="s">
        <v>204</v>
      </c>
      <c r="D207" s="63">
        <f>61.66*10.764</f>
        <v>663.70823999999993</v>
      </c>
      <c r="E207" s="63">
        <v>0</v>
      </c>
      <c r="F207" s="63">
        <f t="shared" ref="F207:F208" si="38">D207*(($F$193)+1)+E207</f>
        <v>995.5623599999999</v>
      </c>
      <c r="G207" s="195"/>
      <c r="H207" s="196"/>
      <c r="I207" s="64"/>
      <c r="S207" s="110" t="str">
        <f ca="1">V207&amp;""&amp;$S$205&amp;""&amp;W207</f>
        <v>302,..,602</v>
      </c>
      <c r="T207" s="110"/>
      <c r="U207" s="64">
        <f t="shared" ref="U207:W208" si="39">U206+1</f>
        <v>2</v>
      </c>
      <c r="V207" s="62">
        <f t="shared" ca="1" si="39"/>
        <v>302</v>
      </c>
      <c r="W207" s="62">
        <f t="shared" ca="1" si="39"/>
        <v>602</v>
      </c>
    </row>
    <row r="208" spans="1:23" s="62" customFormat="1" ht="15.75" hidden="1" customHeight="1" x14ac:dyDescent="0.35">
      <c r="A208" s="111" t="str">
        <f t="shared" ca="1" si="37"/>
        <v>303,..,603</v>
      </c>
      <c r="B208" s="113"/>
      <c r="C208" s="63" t="s">
        <v>204</v>
      </c>
      <c r="D208" s="63">
        <f>61.8*10.764</f>
        <v>665.21519999999998</v>
      </c>
      <c r="E208" s="63">
        <v>0</v>
      </c>
      <c r="F208" s="63">
        <f t="shared" si="38"/>
        <v>997.82279999999992</v>
      </c>
      <c r="G208" s="181"/>
      <c r="H208" s="182"/>
      <c r="I208" s="64"/>
      <c r="S208" s="110" t="str">
        <f ca="1">V208&amp;""&amp;$S$205&amp;""&amp;W208</f>
        <v>303,..,603</v>
      </c>
      <c r="T208" s="110"/>
      <c r="U208" s="64">
        <f t="shared" si="39"/>
        <v>3</v>
      </c>
      <c r="V208" s="62">
        <f t="shared" ca="1" si="39"/>
        <v>303</v>
      </c>
      <c r="W208" s="62">
        <f t="shared" ca="1" si="39"/>
        <v>603</v>
      </c>
    </row>
    <row r="209" spans="1:22" s="62" customFormat="1" hidden="1" x14ac:dyDescent="0.35">
      <c r="A209" s="197" t="s">
        <v>206</v>
      </c>
      <c r="B209" s="197"/>
      <c r="C209" s="197"/>
      <c r="D209" s="197"/>
      <c r="E209" s="197"/>
      <c r="F209" s="197"/>
      <c r="G209" s="197"/>
      <c r="H209" s="197"/>
      <c r="I209" s="64"/>
      <c r="S209" s="110"/>
      <c r="T209" s="110"/>
      <c r="V209" s="62" t="str">
        <f>LEFT(A209,SUM(LEN(A209)-LEN(SUBSTITUTE(A209,{"0","1","2","3","4","5","6","7","8","9"},""))))</f>
        <v>4</v>
      </c>
    </row>
    <row r="210" spans="1:22" s="62" customFormat="1" hidden="1" x14ac:dyDescent="0.35">
      <c r="A210" s="194">
        <f t="shared" ref="A210:A212" ca="1" si="40">S210</f>
        <v>401</v>
      </c>
      <c r="B210" s="194"/>
      <c r="C210" s="63" t="s">
        <v>203</v>
      </c>
      <c r="D210" s="63">
        <f>37.01*10.764</f>
        <v>398.37563999999998</v>
      </c>
      <c r="E210" s="63">
        <v>0</v>
      </c>
      <c r="F210" s="63">
        <f>D210*(($F$193)+1)+E210</f>
        <v>597.56345999999996</v>
      </c>
      <c r="G210" s="179" t="str">
        <f>A209</f>
        <v>4th Floor</v>
      </c>
      <c r="H210" s="180"/>
      <c r="I210" s="64"/>
      <c r="S210" s="110">
        <f t="shared" ref="S210:S212" ca="1" si="41">V210</f>
        <v>401</v>
      </c>
      <c r="T210" s="110"/>
      <c r="U210" s="64">
        <v>1</v>
      </c>
      <c r="V210" s="62">
        <f ca="1">(SUMPRODUCT(MID(0&amp;V209, LARGE(INDEX(ISNUMBER(--MID(V209, ROW(INDIRECT("1:"&amp;LEN(V209))), 1)) * ROW(INDIRECT("1:"&amp;LEN(V209))), 0), ROW(INDIRECT("1:"&amp;LEN(V209))))+1, 1) * 10^ROW(INDIRECT("1:"&amp;LEN(V209)))/10))*U210*100+1</f>
        <v>401</v>
      </c>
    </row>
    <row r="211" spans="1:22" s="62" customFormat="1" hidden="1" x14ac:dyDescent="0.35">
      <c r="A211" s="194">
        <f t="shared" ca="1" si="40"/>
        <v>402</v>
      </c>
      <c r="B211" s="194"/>
      <c r="C211" s="63" t="s">
        <v>204</v>
      </c>
      <c r="D211" s="63">
        <f>61.66*10.764</f>
        <v>663.70823999999993</v>
      </c>
      <c r="E211" s="63">
        <v>0</v>
      </c>
      <c r="F211" s="63">
        <f t="shared" ref="F211:F212" si="42">D211*(($F$193)+1)+E211</f>
        <v>995.5623599999999</v>
      </c>
      <c r="G211" s="195"/>
      <c r="H211" s="196"/>
      <c r="I211" s="64"/>
      <c r="S211" s="110">
        <f t="shared" ca="1" si="41"/>
        <v>402</v>
      </c>
      <c r="T211" s="110"/>
      <c r="U211" s="64">
        <f>U210+1</f>
        <v>2</v>
      </c>
      <c r="V211" s="62">
        <f ca="1">V210+1</f>
        <v>402</v>
      </c>
    </row>
    <row r="212" spans="1:22" s="62" customFormat="1" hidden="1" x14ac:dyDescent="0.35">
      <c r="A212" s="194">
        <f t="shared" ca="1" si="40"/>
        <v>403</v>
      </c>
      <c r="B212" s="194"/>
      <c r="C212" s="63" t="s">
        <v>204</v>
      </c>
      <c r="D212" s="63">
        <f>61.8*10.764</f>
        <v>665.21519999999998</v>
      </c>
      <c r="E212" s="63">
        <v>0</v>
      </c>
      <c r="F212" s="63">
        <f t="shared" si="42"/>
        <v>997.82279999999992</v>
      </c>
      <c r="G212" s="181"/>
      <c r="H212" s="182"/>
      <c r="I212" s="64"/>
      <c r="S212" s="110">
        <f t="shared" ca="1" si="41"/>
        <v>403</v>
      </c>
      <c r="T212" s="110"/>
      <c r="U212" s="64">
        <f>U211+1</f>
        <v>3</v>
      </c>
      <c r="V212" s="62">
        <f ca="1">V211+1</f>
        <v>403</v>
      </c>
    </row>
    <row r="213" spans="1:22" s="62" customFormat="1" hidden="1" x14ac:dyDescent="0.35">
      <c r="A213" s="197" t="s">
        <v>207</v>
      </c>
      <c r="B213" s="197"/>
      <c r="C213" s="197"/>
      <c r="D213" s="197"/>
      <c r="E213" s="197"/>
      <c r="F213" s="197"/>
      <c r="G213" s="197"/>
      <c r="H213" s="197"/>
      <c r="I213" s="64"/>
      <c r="S213" s="110"/>
      <c r="T213" s="110"/>
      <c r="V213" s="62" t="str">
        <f>LEFT(A213,SUM(LEN(A213)-LEN(SUBSTITUTE(A213,{"0","1","2","3","4","5","6","7","8","9"},""))))</f>
        <v>7</v>
      </c>
    </row>
    <row r="214" spans="1:22" s="62" customFormat="1" ht="15.75" hidden="1" customHeight="1" x14ac:dyDescent="0.35">
      <c r="A214" s="194">
        <f t="shared" ref="A214:A216" ca="1" si="43">S214</f>
        <v>701</v>
      </c>
      <c r="B214" s="194"/>
      <c r="C214" s="63" t="s">
        <v>203</v>
      </c>
      <c r="D214" s="63">
        <f>37.01*10.764</f>
        <v>398.37563999999998</v>
      </c>
      <c r="E214" s="63">
        <v>0</v>
      </c>
      <c r="F214" s="63">
        <f>D214*(($F$193)+1)+E214</f>
        <v>597.56345999999996</v>
      </c>
      <c r="G214" s="179" t="str">
        <f>A213</f>
        <v>7th Floor(Part Refuge Floor)</v>
      </c>
      <c r="H214" s="180"/>
      <c r="I214" s="64"/>
      <c r="S214" s="110">
        <f t="shared" ref="S214:S216" ca="1" si="44">V214</f>
        <v>701</v>
      </c>
      <c r="T214" s="110"/>
      <c r="U214" s="64">
        <v>1</v>
      </c>
      <c r="V214" s="62">
        <f ca="1">(SUMPRODUCT(MID(0&amp;V213, LARGE(INDEX(ISNUMBER(--MID(V213, ROW(INDIRECT("1:"&amp;LEN(V213))), 1)) * ROW(INDIRECT("1:"&amp;LEN(V213))), 0), ROW(INDIRECT("1:"&amp;LEN(V213))))+1, 1) * 10^ROW(INDIRECT("1:"&amp;LEN(V213)))/10))*U214*100+1</f>
        <v>701</v>
      </c>
    </row>
    <row r="215" spans="1:22" s="62" customFormat="1" ht="15.75" hidden="1" customHeight="1" x14ac:dyDescent="0.35">
      <c r="A215" s="194">
        <f t="shared" ca="1" si="43"/>
        <v>702</v>
      </c>
      <c r="B215" s="194"/>
      <c r="C215" s="63" t="s">
        <v>204</v>
      </c>
      <c r="D215" s="63">
        <f>87.46*10.764</f>
        <v>941.4194399999999</v>
      </c>
      <c r="E215" s="63">
        <v>0</v>
      </c>
      <c r="F215" s="63">
        <f>D215*(($F$193)+1)+E215</f>
        <v>1412.12916</v>
      </c>
      <c r="G215" s="195"/>
      <c r="H215" s="196"/>
      <c r="I215" s="64"/>
      <c r="S215" s="110">
        <f t="shared" ca="1" si="44"/>
        <v>702</v>
      </c>
      <c r="T215" s="110"/>
      <c r="U215" s="64">
        <f>U214+1</f>
        <v>2</v>
      </c>
      <c r="V215" s="62">
        <f ca="1">V214+1</f>
        <v>702</v>
      </c>
    </row>
    <row r="216" spans="1:22" s="62" customFormat="1" ht="15.75" hidden="1" customHeight="1" x14ac:dyDescent="0.35">
      <c r="A216" s="194">
        <f t="shared" ca="1" si="43"/>
        <v>703</v>
      </c>
      <c r="B216" s="194"/>
      <c r="C216" s="111" t="s">
        <v>248</v>
      </c>
      <c r="D216" s="112"/>
      <c r="E216" s="112"/>
      <c r="F216" s="113"/>
      <c r="G216" s="181"/>
      <c r="H216" s="182"/>
      <c r="I216" s="64"/>
      <c r="S216" s="110">
        <f t="shared" ca="1" si="44"/>
        <v>703</v>
      </c>
      <c r="T216" s="110"/>
      <c r="U216" s="64">
        <f>U215+1</f>
        <v>3</v>
      </c>
      <c r="V216" s="62">
        <f ca="1">V215+1</f>
        <v>703</v>
      </c>
    </row>
    <row r="217" spans="1:22" s="62" customFormat="1" hidden="1" x14ac:dyDescent="0.35">
      <c r="A217" s="197" t="s">
        <v>245</v>
      </c>
      <c r="B217" s="197"/>
      <c r="C217" s="197"/>
      <c r="D217" s="197"/>
      <c r="E217" s="197"/>
      <c r="F217" s="197"/>
      <c r="G217" s="197"/>
      <c r="H217" s="197"/>
      <c r="I217" s="64"/>
      <c r="S217" s="110"/>
      <c r="T217" s="110"/>
      <c r="V217" s="62" t="str">
        <f>LEFT(A217,SUM(LEN(A217)-LEN(SUBSTITUTE(A217,{"0","1","2","3","4","5","6","7","8","9"},""))))</f>
        <v>8</v>
      </c>
    </row>
    <row r="218" spans="1:22" s="62" customFormat="1" hidden="1" x14ac:dyDescent="0.35">
      <c r="A218" s="194">
        <f t="shared" ref="A218:A220" ca="1" si="45">S218</f>
        <v>801</v>
      </c>
      <c r="B218" s="194"/>
      <c r="C218" s="63" t="s">
        <v>203</v>
      </c>
      <c r="D218" s="63">
        <f>37.01*10.764</f>
        <v>398.37563999999998</v>
      </c>
      <c r="E218" s="63">
        <v>0</v>
      </c>
      <c r="F218" s="63">
        <f>D218*(($F$193)+1)+E218</f>
        <v>597.56345999999996</v>
      </c>
      <c r="G218" s="179" t="str">
        <f>A217</f>
        <v>8th Floor</v>
      </c>
      <c r="H218" s="180"/>
      <c r="I218" s="64"/>
      <c r="S218" s="110">
        <f t="shared" ref="S218:S220" ca="1" si="46">V218</f>
        <v>801</v>
      </c>
      <c r="T218" s="110"/>
      <c r="U218" s="64">
        <v>1</v>
      </c>
      <c r="V218" s="62">
        <f ca="1">(SUMPRODUCT(MID(0&amp;V217, LARGE(INDEX(ISNUMBER(--MID(V217, ROW(INDIRECT("1:"&amp;LEN(V217))), 1)) * ROW(INDIRECT("1:"&amp;LEN(V217))), 0), ROW(INDIRECT("1:"&amp;LEN(V217))))+1, 1) * 10^ROW(INDIRECT("1:"&amp;LEN(V217)))/10))*U218*100+1</f>
        <v>801</v>
      </c>
    </row>
    <row r="219" spans="1:22" s="62" customFormat="1" hidden="1" x14ac:dyDescent="0.35">
      <c r="A219" s="194">
        <f t="shared" ca="1" si="45"/>
        <v>802</v>
      </c>
      <c r="B219" s="194"/>
      <c r="C219" s="63" t="s">
        <v>204</v>
      </c>
      <c r="D219" s="63">
        <f>61.66*10.764</f>
        <v>663.70823999999993</v>
      </c>
      <c r="E219" s="63">
        <v>0</v>
      </c>
      <c r="F219" s="63">
        <f t="shared" ref="F219:F220" si="47">D219*(($F$193)+1)+E219</f>
        <v>995.5623599999999</v>
      </c>
      <c r="G219" s="195"/>
      <c r="H219" s="196"/>
      <c r="I219" s="64"/>
      <c r="S219" s="110">
        <f t="shared" ca="1" si="46"/>
        <v>802</v>
      </c>
      <c r="T219" s="110"/>
      <c r="U219" s="64">
        <f>U218+1</f>
        <v>2</v>
      </c>
      <c r="V219" s="62">
        <f ca="1">V218+1</f>
        <v>802</v>
      </c>
    </row>
    <row r="220" spans="1:22" s="62" customFormat="1" hidden="1" x14ac:dyDescent="0.35">
      <c r="A220" s="194">
        <f t="shared" ca="1" si="45"/>
        <v>803</v>
      </c>
      <c r="B220" s="194"/>
      <c r="C220" s="63" t="s">
        <v>204</v>
      </c>
      <c r="D220" s="63">
        <f>61.8*10.764</f>
        <v>665.21519999999998</v>
      </c>
      <c r="E220" s="63">
        <v>0</v>
      </c>
      <c r="F220" s="63">
        <f t="shared" si="47"/>
        <v>997.82279999999992</v>
      </c>
      <c r="G220" s="181"/>
      <c r="H220" s="182"/>
      <c r="I220" s="64"/>
      <c r="S220" s="110">
        <f t="shared" ca="1" si="46"/>
        <v>803</v>
      </c>
      <c r="T220" s="110"/>
      <c r="U220" s="64">
        <f>U219+1</f>
        <v>3</v>
      </c>
      <c r="V220" s="62">
        <f ca="1">V219+1</f>
        <v>803</v>
      </c>
    </row>
    <row r="221" spans="1:22" s="1" customFormat="1" ht="15.75" customHeight="1" x14ac:dyDescent="0.35">
      <c r="A221" s="207" t="s">
        <v>295</v>
      </c>
      <c r="B221" s="207"/>
      <c r="C221" s="207"/>
      <c r="D221" s="207"/>
      <c r="E221" s="207"/>
      <c r="F221" s="207"/>
      <c r="G221" s="207"/>
      <c r="H221" s="207"/>
      <c r="R221"/>
      <c r="S221" s="8"/>
      <c r="T221"/>
      <c r="U221"/>
      <c r="V221" s="8"/>
    </row>
    <row r="222" spans="1:22" s="1" customFormat="1" ht="15.75" customHeight="1" x14ac:dyDescent="0.35">
      <c r="A222" s="208" t="s">
        <v>64</v>
      </c>
      <c r="B222" s="208"/>
      <c r="C222" s="209" t="s">
        <v>118</v>
      </c>
      <c r="D222" s="209"/>
      <c r="E222" s="210" t="s">
        <v>65</v>
      </c>
      <c r="F222" s="210"/>
      <c r="G222" s="208" t="s">
        <v>66</v>
      </c>
      <c r="H222" s="208"/>
      <c r="R222"/>
      <c r="S222" s="8"/>
      <c r="T222"/>
      <c r="U222" s="8"/>
      <c r="V222" s="8"/>
    </row>
    <row r="223" spans="1:22" s="1" customFormat="1" x14ac:dyDescent="0.35">
      <c r="A223" s="211" t="s">
        <v>322</v>
      </c>
      <c r="B223" s="211"/>
      <c r="C223" s="212">
        <f>COUNT(D236:D238)</f>
        <v>3</v>
      </c>
      <c r="D223" s="213"/>
      <c r="E223" s="212">
        <f t="shared" ref="E223" si="48">SUM(F236:F238)</f>
        <v>2863.5996636</v>
      </c>
      <c r="F223" s="213"/>
      <c r="G223" s="212">
        <f>SUM(H236:H238)</f>
        <v>4438.5794785799999</v>
      </c>
      <c r="H223" s="213"/>
      <c r="R223"/>
      <c r="S223" s="8"/>
      <c r="T223"/>
      <c r="U223" s="8"/>
      <c r="V223" s="8"/>
    </row>
    <row r="224" spans="1:22" s="1" customFormat="1" x14ac:dyDescent="0.35">
      <c r="A224" s="211" t="s">
        <v>323</v>
      </c>
      <c r="B224" s="211"/>
      <c r="C224" s="212">
        <f>COUNT(D245:D252)+COUNT(D254:D261)+COUNT(D263:D270)*2+COUNT(D272:D279)*2+COUNT(D281:D286)+COUNT(D290:D297)+COUNT(D299:D306)</f>
        <v>70</v>
      </c>
      <c r="D224" s="212"/>
      <c r="E224" s="212">
        <f t="shared" ref="E224" si="49">SUM(F245:F252)+SUM(F254:F261)+SUM(F263:F270)*2+SUM(F272:F279)*2+SUM(F281:F286)+SUM(F290:F297)+SUM(F299:F306)</f>
        <v>21169.881719999994</v>
      </c>
      <c r="F224" s="212"/>
      <c r="G224" s="212">
        <f>SUM(H245:H252)+SUM(H254:H261)+SUM(H263:H270)*2+SUM(H272:H279)*2+SUM(H281:H286)+SUM(H290:H297)+SUM(H299:H306)</f>
        <v>32813.316666000006</v>
      </c>
      <c r="H224" s="212"/>
      <c r="R224"/>
      <c r="S224" s="8"/>
      <c r="T224"/>
      <c r="U224" s="8"/>
      <c r="V224" s="8"/>
    </row>
    <row r="225" spans="1:22" s="1" customFormat="1" x14ac:dyDescent="0.35">
      <c r="A225" s="207" t="s">
        <v>68</v>
      </c>
      <c r="B225" s="207"/>
      <c r="C225" s="214">
        <f>SUM(C223:D224)</f>
        <v>73</v>
      </c>
      <c r="D225" s="209"/>
      <c r="E225" s="214">
        <f>SUM(E223:F224)</f>
        <v>24033.481383599996</v>
      </c>
      <c r="F225" s="209"/>
      <c r="G225" s="214">
        <f>SUM(G223:H224)</f>
        <v>37251.896144580009</v>
      </c>
      <c r="H225" s="209"/>
      <c r="R225"/>
      <c r="S225" s="8"/>
      <c r="T225"/>
      <c r="U225" s="8"/>
      <c r="V225" s="8"/>
    </row>
    <row r="226" spans="1:22" s="1" customFormat="1" x14ac:dyDescent="0.35">
      <c r="A226" s="207" t="s">
        <v>107</v>
      </c>
      <c r="B226" s="207"/>
      <c r="C226" s="207"/>
      <c r="D226" s="207"/>
      <c r="E226" s="207"/>
      <c r="F226" s="207"/>
      <c r="G226" s="207"/>
      <c r="H226" s="207"/>
      <c r="T226"/>
    </row>
    <row r="227" spans="1:22" s="1" customFormat="1" ht="15.75" customHeight="1" x14ac:dyDescent="0.35">
      <c r="A227" s="208" t="s">
        <v>64</v>
      </c>
      <c r="B227" s="208"/>
      <c r="C227" s="209" t="s">
        <v>118</v>
      </c>
      <c r="D227" s="209"/>
      <c r="E227" s="210" t="s">
        <v>65</v>
      </c>
      <c r="F227" s="210"/>
      <c r="G227" s="208" t="s">
        <v>66</v>
      </c>
      <c r="H227" s="208"/>
      <c r="T227"/>
    </row>
    <row r="228" spans="1:22" s="1" customFormat="1" ht="16" thickBot="1" x14ac:dyDescent="0.4">
      <c r="A228" s="211" t="s">
        <v>324</v>
      </c>
      <c r="B228" s="211"/>
      <c r="C228" s="212">
        <f>COUNT(D314:D316)+COUNT(D318:D320)+COUNT(D322:D324)+COUNT(D326:D328)*2+COUNT(D330:D332)*2+COUNT(D334:D335)+COUNT(D338:D340)+COUNT(D342:D344)*2</f>
        <v>32</v>
      </c>
      <c r="D228" s="212"/>
      <c r="E228" s="212">
        <f t="shared" ref="E228" si="50">SUM(F314:F316)+SUM(F318:F320)+SUM(F322:F324)+SUM(F326:F328)*2+SUM(F330:F332)*2+SUM(F334:F335)+SUM(F338:F340)+SUM(F342:F344)*2</f>
        <v>18569.19168</v>
      </c>
      <c r="F228" s="212"/>
      <c r="G228" s="212">
        <f>SUM(H314:H316)+SUM(H318:H320)+SUM(H322:H324)+SUM(H326:H328)*2+SUM(H330:H332)*2+SUM(H334:H335)+SUM(H338:H340)+SUM(H342:H344)*2</f>
        <v>27853.787520000005</v>
      </c>
      <c r="H228" s="212"/>
      <c r="T228"/>
    </row>
    <row r="229" spans="1:22" s="1" customFormat="1" ht="16" thickBot="1" x14ac:dyDescent="0.4">
      <c r="A229" s="215" t="s">
        <v>296</v>
      </c>
      <c r="B229" s="216"/>
      <c r="C229" s="217">
        <f>C225+C228</f>
        <v>105</v>
      </c>
      <c r="D229" s="218"/>
      <c r="E229" s="217">
        <f>E225+E228</f>
        <v>42602.673063599999</v>
      </c>
      <c r="F229" s="218"/>
      <c r="G229" s="217">
        <f>G225+G228</f>
        <v>65105.683664580014</v>
      </c>
      <c r="H229" s="218"/>
      <c r="T229"/>
    </row>
    <row r="230" spans="1:22" s="9" customFormat="1" x14ac:dyDescent="0.35">
      <c r="A230" s="219" t="s">
        <v>297</v>
      </c>
      <c r="B230" s="219"/>
      <c r="C230" s="219"/>
      <c r="D230" s="219"/>
      <c r="E230" s="219"/>
      <c r="F230" s="219"/>
      <c r="G230" s="219"/>
      <c r="H230" s="219"/>
      <c r="T230" s="1"/>
    </row>
    <row r="231" spans="1:22" s="8" customFormat="1" x14ac:dyDescent="0.35">
      <c r="A231" s="115" t="s">
        <v>298</v>
      </c>
      <c r="B231" s="115"/>
      <c r="C231" s="115"/>
      <c r="D231" s="115"/>
      <c r="E231" s="115"/>
      <c r="F231" s="115"/>
      <c r="G231" s="115"/>
      <c r="H231" s="115"/>
      <c r="T231" s="1"/>
    </row>
    <row r="232" spans="1:22" s="8" customFormat="1" ht="47.25" customHeight="1" x14ac:dyDescent="0.35">
      <c r="A232" s="188" t="s">
        <v>225</v>
      </c>
      <c r="B232" s="188" t="s">
        <v>299</v>
      </c>
      <c r="C232" s="188" t="s">
        <v>71</v>
      </c>
      <c r="D232" s="188" t="s">
        <v>300</v>
      </c>
      <c r="E232" s="190" t="s">
        <v>301</v>
      </c>
      <c r="F232" s="188" t="s">
        <v>72</v>
      </c>
      <c r="G232" s="190" t="s">
        <v>73</v>
      </c>
      <c r="H232" s="60" t="s">
        <v>302</v>
      </c>
      <c r="T232" s="1"/>
    </row>
    <row r="233" spans="1:22" s="2" customFormat="1" x14ac:dyDescent="0.35">
      <c r="A233" s="189"/>
      <c r="B233" s="189"/>
      <c r="C233" s="189"/>
      <c r="D233" s="189"/>
      <c r="E233" s="191"/>
      <c r="F233" s="189"/>
      <c r="G233" s="191"/>
      <c r="H233" s="61">
        <v>0.55000000000000004</v>
      </c>
      <c r="T233" s="1"/>
    </row>
    <row r="234" spans="1:22" s="62" customFormat="1" x14ac:dyDescent="0.35">
      <c r="A234" s="183" t="s">
        <v>246</v>
      </c>
      <c r="B234" s="184"/>
      <c r="C234" s="184"/>
      <c r="D234" s="184"/>
      <c r="E234" s="184"/>
      <c r="F234" s="184"/>
      <c r="G234" s="184"/>
      <c r="H234" s="185"/>
    </row>
    <row r="235" spans="1:22" s="2" customFormat="1" ht="15.65" customHeight="1" x14ac:dyDescent="0.35">
      <c r="A235" s="183" t="s">
        <v>274</v>
      </c>
      <c r="B235" s="184"/>
      <c r="C235" s="184"/>
      <c r="D235" s="184"/>
      <c r="E235" s="184"/>
      <c r="F235" s="184"/>
      <c r="G235" s="184"/>
      <c r="H235" s="185"/>
      <c r="J235" s="31"/>
      <c r="T235" s="1"/>
    </row>
    <row r="236" spans="1:22" s="2" customFormat="1" ht="15.75" customHeight="1" x14ac:dyDescent="0.35">
      <c r="A236" s="220">
        <v>1</v>
      </c>
      <c r="B236" s="222"/>
      <c r="C236" s="63" t="s">
        <v>197</v>
      </c>
      <c r="D236" s="63">
        <f>(8.94*7.55+3.06*6.75+9.14*4.4+6.55*1.35+1.85*1.3+0.9*1.2+0.9*1.2)*10.764</f>
        <v>1526.0714820000001</v>
      </c>
      <c r="E236" s="100">
        <v>0</v>
      </c>
      <c r="F236" s="100">
        <f>D236+(IF(E236&lt;201,E236,IF(E236&lt;301,E236/2,E236/3)))</f>
        <v>1526.0714820000001</v>
      </c>
      <c r="G236" s="100">
        <v>0</v>
      </c>
      <c r="H236" s="100">
        <f>(F236+(IF(G236&lt;101,G236,IF(G236&lt;201,G236/2,IF(G236&lt;=301,G236/3,G236/4)))))*(($H$233)+1)</f>
        <v>2365.4107971000003</v>
      </c>
      <c r="I236" s="31"/>
      <c r="L236" s="223"/>
      <c r="M236" s="223"/>
      <c r="N236" s="31"/>
      <c r="T236" s="1"/>
    </row>
    <row r="237" spans="1:22" s="2" customFormat="1" ht="15.75" customHeight="1" x14ac:dyDescent="0.35">
      <c r="A237" s="220">
        <f>A236+1</f>
        <v>2</v>
      </c>
      <c r="B237" s="222"/>
      <c r="C237" s="63" t="s">
        <v>197</v>
      </c>
      <c r="D237" s="63">
        <f>(10.31*3.72+1.15*1.5)*10.764</f>
        <v>431.40174480000002</v>
      </c>
      <c r="E237" s="100">
        <v>0</v>
      </c>
      <c r="F237" s="100">
        <f>D237+(IF(E237&lt;201,E237,IF(E237&lt;301,E237/2,E237/3)))</f>
        <v>431.40174480000002</v>
      </c>
      <c r="G237" s="100">
        <v>0</v>
      </c>
      <c r="H237" s="100">
        <f t="shared" ref="H237:H238" si="51">(F237+(IF(G237&lt;101,G237,IF(G237&lt;201,G237/2,IF(G237&lt;=301,G237/3,G237/4)))))*(($H$233)+1)</f>
        <v>668.67270444000008</v>
      </c>
      <c r="I237" s="31"/>
      <c r="L237" s="223"/>
      <c r="M237" s="223"/>
      <c r="N237" s="31"/>
      <c r="T237" s="9"/>
    </row>
    <row r="238" spans="1:22" s="2" customFormat="1" ht="15.75" customHeight="1" x14ac:dyDescent="0.35">
      <c r="A238" s="220">
        <f>A237+1</f>
        <v>3</v>
      </c>
      <c r="B238" s="222"/>
      <c r="C238" s="63" t="s">
        <v>197</v>
      </c>
      <c r="D238" s="63">
        <f>(11.08*7.39+1.15*2)*10.764</f>
        <v>906.12643679999985</v>
      </c>
      <c r="E238" s="100">
        <v>0</v>
      </c>
      <c r="F238" s="100">
        <f>D238+(IF(E238&lt;201,E238,IF(E238&lt;301,E238/2,E238/3)))</f>
        <v>906.12643679999985</v>
      </c>
      <c r="G238" s="100">
        <v>0</v>
      </c>
      <c r="H238" s="100">
        <f t="shared" si="51"/>
        <v>1404.4959770399998</v>
      </c>
      <c r="I238" s="31"/>
      <c r="L238" s="223"/>
      <c r="M238" s="223"/>
      <c r="N238" s="31"/>
      <c r="T238" s="8"/>
    </row>
    <row r="239" spans="1:22" s="2" customFormat="1" ht="15.65" customHeight="1" x14ac:dyDescent="0.35">
      <c r="A239" s="183" t="s">
        <v>305</v>
      </c>
      <c r="B239" s="184"/>
      <c r="C239" s="184"/>
      <c r="D239" s="184"/>
      <c r="E239" s="184"/>
      <c r="F239" s="184"/>
      <c r="G239" s="184"/>
      <c r="H239" s="185"/>
      <c r="J239" s="31"/>
      <c r="T239" s="1"/>
    </row>
    <row r="240" spans="1:22" s="2" customFormat="1" ht="15.75" customHeight="1" x14ac:dyDescent="0.35">
      <c r="A240" s="220">
        <v>1</v>
      </c>
      <c r="B240" s="222"/>
      <c r="C240" s="194" t="s">
        <v>325</v>
      </c>
      <c r="D240" s="194"/>
      <c r="E240" s="194"/>
      <c r="F240" s="194"/>
      <c r="G240" s="194"/>
      <c r="H240" s="194"/>
      <c r="I240" s="31"/>
      <c r="L240" s="223"/>
      <c r="M240" s="223"/>
      <c r="N240" s="31"/>
      <c r="T240" s="1"/>
    </row>
    <row r="241" spans="1:20" s="2" customFormat="1" ht="15.75" customHeight="1" x14ac:dyDescent="0.35">
      <c r="A241" s="220">
        <f>A240+1</f>
        <v>2</v>
      </c>
      <c r="B241" s="222"/>
      <c r="C241" s="194" t="s">
        <v>326</v>
      </c>
      <c r="D241" s="194"/>
      <c r="E241" s="194"/>
      <c r="F241" s="194"/>
      <c r="G241" s="194"/>
      <c r="H241" s="194"/>
      <c r="I241" s="31"/>
      <c r="L241" s="223"/>
      <c r="M241" s="223"/>
      <c r="N241" s="31"/>
      <c r="T241" s="9"/>
    </row>
    <row r="242" spans="1:20" s="2" customFormat="1" ht="15.75" customHeight="1" x14ac:dyDescent="0.35">
      <c r="A242" s="220">
        <f>A241+1</f>
        <v>3</v>
      </c>
      <c r="B242" s="222"/>
      <c r="C242" s="194"/>
      <c r="D242" s="194"/>
      <c r="E242" s="194"/>
      <c r="F242" s="194"/>
      <c r="G242" s="194"/>
      <c r="H242" s="194"/>
      <c r="I242" s="31"/>
      <c r="L242" s="223"/>
      <c r="M242" s="223"/>
      <c r="N242" s="31"/>
      <c r="T242" s="8"/>
    </row>
    <row r="243" spans="1:20" s="2" customFormat="1" ht="15.65" customHeight="1" x14ac:dyDescent="0.35">
      <c r="A243" s="183" t="s">
        <v>306</v>
      </c>
      <c r="B243" s="184"/>
      <c r="C243" s="184"/>
      <c r="D243" s="184"/>
      <c r="E243" s="184"/>
      <c r="F243" s="184"/>
      <c r="G243" s="184"/>
      <c r="H243" s="185"/>
      <c r="J243" s="31"/>
      <c r="T243" s="1"/>
    </row>
    <row r="244" spans="1:20" s="2" customFormat="1" ht="15.65" customHeight="1" x14ac:dyDescent="0.35">
      <c r="A244" s="183" t="s">
        <v>307</v>
      </c>
      <c r="B244" s="184"/>
      <c r="C244" s="184"/>
      <c r="D244" s="184"/>
      <c r="E244" s="184"/>
      <c r="F244" s="184"/>
      <c r="G244" s="184"/>
      <c r="H244" s="185"/>
      <c r="J244" s="31"/>
      <c r="L244" s="63">
        <v>10.763999999999999</v>
      </c>
      <c r="T244" s="1"/>
    </row>
    <row r="245" spans="1:20" s="2" customFormat="1" ht="15.75" customHeight="1" x14ac:dyDescent="0.35">
      <c r="A245" s="220">
        <v>1</v>
      </c>
      <c r="B245" s="222"/>
      <c r="C245" s="63" t="s">
        <v>201</v>
      </c>
      <c r="D245" s="63">
        <f>(18.84)*10.764</f>
        <v>202.79375999999999</v>
      </c>
      <c r="E245" s="100">
        <v>0</v>
      </c>
      <c r="F245" s="100">
        <f>D245+(IF(E245&lt;201,E245,IF(E245&lt;301,E245/2,E245/3)))</f>
        <v>202.79375999999999</v>
      </c>
      <c r="G245" s="100">
        <v>0</v>
      </c>
      <c r="H245" s="100">
        <f t="shared" ref="H245:H252" si="52">(F245+(IF(G245&lt;101,G245,IF(G245&lt;201,G245/2,IF(G245&lt;=301,G245/3,G245/4)))))*(($H$233)+1)</f>
        <v>314.33032800000001</v>
      </c>
      <c r="I245" s="31"/>
      <c r="J245" s="31">
        <f>3.05*2.6+1.9*3.13+1.12*1.7+1.1*2.35</f>
        <v>18.366</v>
      </c>
      <c r="L245" s="223"/>
      <c r="M245" s="223"/>
      <c r="N245" s="31"/>
      <c r="T245" s="1"/>
    </row>
    <row r="246" spans="1:20" s="2" customFormat="1" ht="15.75" customHeight="1" x14ac:dyDescent="0.35">
      <c r="A246" s="220">
        <f>A245+1</f>
        <v>2</v>
      </c>
      <c r="B246" s="222"/>
      <c r="C246" s="63" t="s">
        <v>201</v>
      </c>
      <c r="D246" s="63">
        <f>(24.47)*10.764</f>
        <v>263.39507999999995</v>
      </c>
      <c r="E246" s="100">
        <v>0</v>
      </c>
      <c r="F246" s="100">
        <f>D246+(IF(E246&lt;201,E246,IF(E246&lt;301,E246/2,E246/3)))</f>
        <v>263.39507999999995</v>
      </c>
      <c r="G246" s="100">
        <v>0</v>
      </c>
      <c r="H246" s="100">
        <f t="shared" si="52"/>
        <v>408.26237399999991</v>
      </c>
      <c r="I246" s="31"/>
      <c r="L246" s="223"/>
      <c r="M246" s="223"/>
      <c r="N246" s="31"/>
      <c r="T246" s="9"/>
    </row>
    <row r="247" spans="1:20" s="2" customFormat="1" ht="15.65" customHeight="1" x14ac:dyDescent="0.35">
      <c r="A247" s="220">
        <f>A246+1</f>
        <v>3</v>
      </c>
      <c r="B247" s="222"/>
      <c r="C247" s="63" t="s">
        <v>201</v>
      </c>
      <c r="D247" s="63">
        <f>(24.47)*10.764</f>
        <v>263.39507999999995</v>
      </c>
      <c r="E247" s="100">
        <v>0</v>
      </c>
      <c r="F247" s="100">
        <f>D247+(IF(E247&lt;201,E247,IF(E247&lt;301,E247/2,E247/3)))</f>
        <v>263.39507999999995</v>
      </c>
      <c r="G247" s="100">
        <v>0</v>
      </c>
      <c r="H247" s="100">
        <f t="shared" si="52"/>
        <v>408.26237399999991</v>
      </c>
      <c r="I247" s="31"/>
      <c r="L247" s="223"/>
      <c r="M247" s="223"/>
      <c r="N247" s="31"/>
      <c r="T247" s="8"/>
    </row>
    <row r="248" spans="1:20" s="2" customFormat="1" ht="15.65" customHeight="1" x14ac:dyDescent="0.35">
      <c r="A248" s="220">
        <f t="shared" ref="A248:A252" si="53">A247+1</f>
        <v>4</v>
      </c>
      <c r="B248" s="222"/>
      <c r="C248" s="63" t="s">
        <v>201</v>
      </c>
      <c r="D248" s="63">
        <f>(34.89)*10.764</f>
        <v>375.55595999999997</v>
      </c>
      <c r="E248" s="100">
        <v>0</v>
      </c>
      <c r="F248" s="100">
        <f t="shared" ref="F248:F252" si="54">D248+(IF(E248&lt;201,E248,IF(E248&lt;301,E248/2,E248/3)))</f>
        <v>375.55595999999997</v>
      </c>
      <c r="G248" s="100">
        <v>0</v>
      </c>
      <c r="H248" s="100">
        <f t="shared" si="52"/>
        <v>582.11173799999995</v>
      </c>
      <c r="I248" s="31"/>
      <c r="L248" s="223"/>
      <c r="M248" s="223"/>
      <c r="N248" s="31"/>
      <c r="T248" s="8"/>
    </row>
    <row r="249" spans="1:20" s="2" customFormat="1" ht="15.65" customHeight="1" x14ac:dyDescent="0.35">
      <c r="A249" s="220">
        <f t="shared" si="53"/>
        <v>5</v>
      </c>
      <c r="B249" s="222"/>
      <c r="C249" s="63" t="s">
        <v>201</v>
      </c>
      <c r="D249" s="63">
        <f>(32.53)*10.764</f>
        <v>350.15291999999999</v>
      </c>
      <c r="E249" s="100">
        <v>0</v>
      </c>
      <c r="F249" s="100">
        <f t="shared" si="54"/>
        <v>350.15291999999999</v>
      </c>
      <c r="G249" s="100">
        <v>0</v>
      </c>
      <c r="H249" s="100">
        <f t="shared" si="52"/>
        <v>542.73702600000001</v>
      </c>
      <c r="I249" s="31"/>
      <c r="J249" s="31">
        <f>5.77*3.65+3.45*2.35+1.5*1.2+0.75*1.2</f>
        <v>31.867999999999999</v>
      </c>
      <c r="L249" s="223"/>
      <c r="M249" s="223"/>
      <c r="N249" s="31"/>
      <c r="T249" s="8"/>
    </row>
    <row r="250" spans="1:20" s="2" customFormat="1" ht="15.65" customHeight="1" x14ac:dyDescent="0.35">
      <c r="A250" s="220">
        <f t="shared" si="53"/>
        <v>6</v>
      </c>
      <c r="B250" s="222"/>
      <c r="C250" s="63" t="s">
        <v>201</v>
      </c>
      <c r="D250" s="63">
        <f>(31.21)*10.764</f>
        <v>335.94443999999999</v>
      </c>
      <c r="E250" s="100">
        <v>0</v>
      </c>
      <c r="F250" s="100">
        <f t="shared" si="54"/>
        <v>335.94443999999999</v>
      </c>
      <c r="G250" s="100">
        <v>0</v>
      </c>
      <c r="H250" s="100">
        <f t="shared" si="52"/>
        <v>520.71388200000001</v>
      </c>
      <c r="I250" s="31"/>
      <c r="L250" s="223"/>
      <c r="M250" s="223"/>
      <c r="N250" s="31"/>
      <c r="T250" s="8"/>
    </row>
    <row r="251" spans="1:20" s="2" customFormat="1" ht="15.65" customHeight="1" x14ac:dyDescent="0.35">
      <c r="A251" s="220">
        <f t="shared" si="53"/>
        <v>7</v>
      </c>
      <c r="B251" s="222"/>
      <c r="C251" s="63" t="s">
        <v>201</v>
      </c>
      <c r="D251" s="63">
        <f>(29.93)*10.764</f>
        <v>322.16651999999999</v>
      </c>
      <c r="E251" s="100">
        <v>0</v>
      </c>
      <c r="F251" s="100">
        <f t="shared" si="54"/>
        <v>322.16651999999999</v>
      </c>
      <c r="G251" s="100">
        <v>0</v>
      </c>
      <c r="H251" s="100">
        <f t="shared" si="52"/>
        <v>499.35810600000002</v>
      </c>
      <c r="I251" s="31"/>
      <c r="L251" s="223"/>
      <c r="M251" s="223"/>
      <c r="N251" s="31"/>
      <c r="T251" s="8"/>
    </row>
    <row r="252" spans="1:20" s="2" customFormat="1" ht="15.65" customHeight="1" x14ac:dyDescent="0.35">
      <c r="A252" s="220">
        <f t="shared" si="53"/>
        <v>8</v>
      </c>
      <c r="B252" s="222"/>
      <c r="C252" s="63" t="s">
        <v>201</v>
      </c>
      <c r="D252" s="63">
        <f>(28.7)*10.764</f>
        <v>308.92679999999996</v>
      </c>
      <c r="E252" s="100">
        <v>0</v>
      </c>
      <c r="F252" s="100">
        <f t="shared" si="54"/>
        <v>308.92679999999996</v>
      </c>
      <c r="G252" s="100">
        <v>0</v>
      </c>
      <c r="H252" s="100">
        <f t="shared" si="52"/>
        <v>478.83653999999996</v>
      </c>
      <c r="I252" s="31"/>
      <c r="L252" s="223"/>
      <c r="M252" s="223"/>
      <c r="N252" s="31"/>
      <c r="T252" s="8"/>
    </row>
    <row r="253" spans="1:20" s="2" customFormat="1" ht="15.65" customHeight="1" x14ac:dyDescent="0.35">
      <c r="A253" s="183" t="s">
        <v>308</v>
      </c>
      <c r="B253" s="184"/>
      <c r="C253" s="184"/>
      <c r="D253" s="184"/>
      <c r="E253" s="184"/>
      <c r="F253" s="184"/>
      <c r="G253" s="184"/>
      <c r="H253" s="185"/>
      <c r="J253" s="31"/>
      <c r="T253" s="1"/>
    </row>
    <row r="254" spans="1:20" s="2" customFormat="1" ht="15.75" customHeight="1" x14ac:dyDescent="0.35">
      <c r="A254" s="220">
        <v>1</v>
      </c>
      <c r="B254" s="222"/>
      <c r="C254" s="63" t="s">
        <v>201</v>
      </c>
      <c r="D254" s="63">
        <f>(18.84)*10.764</f>
        <v>202.79375999999999</v>
      </c>
      <c r="E254" s="100">
        <v>0</v>
      </c>
      <c r="F254" s="100">
        <f>D254+(IF(E254&lt;201,E254,IF(E254&lt;301,E254/2,E254/3)))</f>
        <v>202.79375999999999</v>
      </c>
      <c r="G254" s="100">
        <v>0</v>
      </c>
      <c r="H254" s="100">
        <f t="shared" ref="H254:H261" si="55">(F254+(IF(G254&lt;101,G254,IF(G254&lt;201,G254/2,IF(G254&lt;=301,G254/3,G254/4)))))*(($H$233)+1)</f>
        <v>314.33032800000001</v>
      </c>
      <c r="I254" s="31"/>
      <c r="J254" s="31"/>
      <c r="L254" s="223"/>
      <c r="M254" s="223"/>
      <c r="N254" s="31"/>
      <c r="T254" s="1"/>
    </row>
    <row r="255" spans="1:20" s="2" customFormat="1" ht="15.75" customHeight="1" x14ac:dyDescent="0.35">
      <c r="A255" s="220">
        <f>A254+1</f>
        <v>2</v>
      </c>
      <c r="B255" s="222"/>
      <c r="C255" s="63" t="s">
        <v>201</v>
      </c>
      <c r="D255" s="63">
        <f>(24.47)*10.764</f>
        <v>263.39507999999995</v>
      </c>
      <c r="E255" s="100">
        <v>0</v>
      </c>
      <c r="F255" s="100">
        <f>D255+(IF(E255&lt;201,E255,IF(E255&lt;301,E255/2,E255/3)))</f>
        <v>263.39507999999995</v>
      </c>
      <c r="G255" s="100">
        <v>0</v>
      </c>
      <c r="H255" s="100">
        <f t="shared" si="55"/>
        <v>408.26237399999991</v>
      </c>
      <c r="I255" s="31"/>
      <c r="L255" s="223"/>
      <c r="M255" s="223"/>
      <c r="N255" s="31"/>
      <c r="T255" s="9"/>
    </row>
    <row r="256" spans="1:20" s="2" customFormat="1" ht="15.65" customHeight="1" x14ac:dyDescent="0.35">
      <c r="A256" s="220">
        <f>A255+1</f>
        <v>3</v>
      </c>
      <c r="B256" s="222"/>
      <c r="C256" s="63" t="s">
        <v>201</v>
      </c>
      <c r="D256" s="63">
        <f>(24.47)*10.764</f>
        <v>263.39507999999995</v>
      </c>
      <c r="E256" s="100">
        <v>0</v>
      </c>
      <c r="F256" s="100">
        <f>D256+(IF(E256&lt;201,E256,IF(E256&lt;301,E256/2,E256/3)))</f>
        <v>263.39507999999995</v>
      </c>
      <c r="G256" s="100">
        <v>0</v>
      </c>
      <c r="H256" s="100">
        <f t="shared" si="55"/>
        <v>408.26237399999991</v>
      </c>
      <c r="I256" s="31"/>
      <c r="L256" s="223"/>
      <c r="M256" s="223"/>
      <c r="N256" s="31"/>
      <c r="T256" s="8"/>
    </row>
    <row r="257" spans="1:20" s="2" customFormat="1" ht="15.65" customHeight="1" x14ac:dyDescent="0.35">
      <c r="A257" s="220">
        <f t="shared" ref="A257:A261" si="56">A256+1</f>
        <v>4</v>
      </c>
      <c r="B257" s="222"/>
      <c r="C257" s="63" t="s">
        <v>201</v>
      </c>
      <c r="D257" s="63">
        <f>(34.89)*10.764</f>
        <v>375.55595999999997</v>
      </c>
      <c r="E257" s="100">
        <v>0</v>
      </c>
      <c r="F257" s="100">
        <f t="shared" ref="F257:F261" si="57">D257+(IF(E257&lt;201,E257,IF(E257&lt;301,E257/2,E257/3)))</f>
        <v>375.55595999999997</v>
      </c>
      <c r="G257" s="100">
        <v>0</v>
      </c>
      <c r="H257" s="100">
        <f t="shared" si="55"/>
        <v>582.11173799999995</v>
      </c>
      <c r="I257" s="31"/>
      <c r="L257" s="223"/>
      <c r="M257" s="223"/>
      <c r="N257" s="31"/>
      <c r="T257" s="8"/>
    </row>
    <row r="258" spans="1:20" s="2" customFormat="1" ht="15.65" customHeight="1" x14ac:dyDescent="0.35">
      <c r="A258" s="220">
        <f t="shared" si="56"/>
        <v>5</v>
      </c>
      <c r="B258" s="222"/>
      <c r="C258" s="63" t="s">
        <v>201</v>
      </c>
      <c r="D258" s="63">
        <f>(32.53)*10.764</f>
        <v>350.15291999999999</v>
      </c>
      <c r="E258" s="100">
        <v>0</v>
      </c>
      <c r="F258" s="100">
        <f t="shared" si="57"/>
        <v>350.15291999999999</v>
      </c>
      <c r="G258" s="100">
        <v>0</v>
      </c>
      <c r="H258" s="100">
        <f t="shared" si="55"/>
        <v>542.73702600000001</v>
      </c>
      <c r="I258" s="31"/>
      <c r="J258" s="31"/>
      <c r="L258" s="223"/>
      <c r="M258" s="223"/>
      <c r="N258" s="31"/>
      <c r="T258" s="8"/>
    </row>
    <row r="259" spans="1:20" s="2" customFormat="1" ht="15.65" customHeight="1" x14ac:dyDescent="0.35">
      <c r="A259" s="220">
        <f t="shared" si="56"/>
        <v>6</v>
      </c>
      <c r="B259" s="222"/>
      <c r="C259" s="63" t="s">
        <v>201</v>
      </c>
      <c r="D259" s="63">
        <f>(31.21)*10.764</f>
        <v>335.94443999999999</v>
      </c>
      <c r="E259" s="100">
        <v>0</v>
      </c>
      <c r="F259" s="100">
        <f t="shared" si="57"/>
        <v>335.94443999999999</v>
      </c>
      <c r="G259" s="100">
        <v>0</v>
      </c>
      <c r="H259" s="100">
        <f t="shared" si="55"/>
        <v>520.71388200000001</v>
      </c>
      <c r="I259" s="31"/>
      <c r="L259" s="223"/>
      <c r="M259" s="223"/>
      <c r="N259" s="31"/>
      <c r="T259" s="8"/>
    </row>
    <row r="260" spans="1:20" s="2" customFormat="1" ht="15.65" customHeight="1" x14ac:dyDescent="0.35">
      <c r="A260" s="220">
        <f t="shared" si="56"/>
        <v>7</v>
      </c>
      <c r="B260" s="222"/>
      <c r="C260" s="63" t="s">
        <v>201</v>
      </c>
      <c r="D260" s="63">
        <f>(29.93)*10.764</f>
        <v>322.16651999999999</v>
      </c>
      <c r="E260" s="100">
        <v>0</v>
      </c>
      <c r="F260" s="100">
        <f t="shared" si="57"/>
        <v>322.16651999999999</v>
      </c>
      <c r="G260" s="100">
        <v>0</v>
      </c>
      <c r="H260" s="100">
        <f t="shared" si="55"/>
        <v>499.35810600000002</v>
      </c>
      <c r="I260" s="31"/>
      <c r="L260" s="223"/>
      <c r="M260" s="223"/>
      <c r="N260" s="31"/>
      <c r="T260" s="8"/>
    </row>
    <row r="261" spans="1:20" s="2" customFormat="1" ht="15.65" customHeight="1" x14ac:dyDescent="0.35">
      <c r="A261" s="220">
        <f t="shared" si="56"/>
        <v>8</v>
      </c>
      <c r="B261" s="222"/>
      <c r="C261" s="63" t="s">
        <v>201</v>
      </c>
      <c r="D261" s="63">
        <f>(28.7)*10.764</f>
        <v>308.92679999999996</v>
      </c>
      <c r="E261" s="100">
        <v>0</v>
      </c>
      <c r="F261" s="100">
        <f t="shared" si="57"/>
        <v>308.92679999999996</v>
      </c>
      <c r="G261" s="100">
        <v>0</v>
      </c>
      <c r="H261" s="100">
        <f t="shared" si="55"/>
        <v>478.83653999999996</v>
      </c>
      <c r="I261" s="31"/>
      <c r="L261" s="223"/>
      <c r="M261" s="223"/>
      <c r="N261" s="31"/>
      <c r="T261" s="8"/>
    </row>
    <row r="262" spans="1:20" s="2" customFormat="1" ht="15.65" customHeight="1" x14ac:dyDescent="0.35">
      <c r="A262" s="183" t="s">
        <v>309</v>
      </c>
      <c r="B262" s="184"/>
      <c r="C262" s="184"/>
      <c r="D262" s="184"/>
      <c r="E262" s="184"/>
      <c r="F262" s="184"/>
      <c r="G262" s="184"/>
      <c r="H262" s="185"/>
      <c r="J262" s="31"/>
      <c r="T262" s="1"/>
    </row>
    <row r="263" spans="1:20" s="2" customFormat="1" ht="15.75" customHeight="1" x14ac:dyDescent="0.35">
      <c r="A263" s="220">
        <v>1</v>
      </c>
      <c r="B263" s="222"/>
      <c r="C263" s="63" t="s">
        <v>201</v>
      </c>
      <c r="D263" s="63">
        <f>(18.84)*10.764</f>
        <v>202.79375999999999</v>
      </c>
      <c r="E263" s="100">
        <v>0</v>
      </c>
      <c r="F263" s="100">
        <f>D263+(IF(E263&lt;201,E263,IF(E263&lt;301,E263/2,E263/3)))</f>
        <v>202.79375999999999</v>
      </c>
      <c r="G263" s="100">
        <v>0</v>
      </c>
      <c r="H263" s="100">
        <f t="shared" ref="H263:H270" si="58">(F263+(IF(G263&lt;101,G263,IF(G263&lt;201,G263/2,IF(G263&lt;=301,G263/3,G263/4)))))*(($H$233)+1)</f>
        <v>314.33032800000001</v>
      </c>
      <c r="I263" s="31"/>
      <c r="J263" s="31"/>
      <c r="L263" s="223"/>
      <c r="M263" s="223"/>
      <c r="N263" s="31"/>
      <c r="T263" s="1"/>
    </row>
    <row r="264" spans="1:20" s="2" customFormat="1" ht="15.75" customHeight="1" x14ac:dyDescent="0.35">
      <c r="A264" s="220">
        <f>A263+1</f>
        <v>2</v>
      </c>
      <c r="B264" s="222"/>
      <c r="C264" s="63" t="s">
        <v>201</v>
      </c>
      <c r="D264" s="63">
        <f>(24.47)*10.764</f>
        <v>263.39507999999995</v>
      </c>
      <c r="E264" s="100">
        <v>0</v>
      </c>
      <c r="F264" s="100">
        <f>D264+(IF(E264&lt;201,E264,IF(E264&lt;301,E264/2,E264/3)))</f>
        <v>263.39507999999995</v>
      </c>
      <c r="G264" s="100">
        <v>0</v>
      </c>
      <c r="H264" s="100">
        <f t="shared" si="58"/>
        <v>408.26237399999991</v>
      </c>
      <c r="I264" s="31"/>
      <c r="L264" s="223"/>
      <c r="M264" s="223"/>
      <c r="N264" s="31"/>
      <c r="T264" s="9"/>
    </row>
    <row r="265" spans="1:20" s="2" customFormat="1" ht="15.65" customHeight="1" x14ac:dyDescent="0.35">
      <c r="A265" s="220">
        <f>A264+1</f>
        <v>3</v>
      </c>
      <c r="B265" s="222"/>
      <c r="C265" s="63" t="s">
        <v>201</v>
      </c>
      <c r="D265" s="63">
        <f>(24.47)*10.764</f>
        <v>263.39507999999995</v>
      </c>
      <c r="E265" s="100">
        <v>0</v>
      </c>
      <c r="F265" s="100">
        <f>D265+(IF(E265&lt;201,E265,IF(E265&lt;301,E265/2,E265/3)))</f>
        <v>263.39507999999995</v>
      </c>
      <c r="G265" s="100">
        <v>0</v>
      </c>
      <c r="H265" s="100">
        <f t="shared" si="58"/>
        <v>408.26237399999991</v>
      </c>
      <c r="I265" s="31"/>
      <c r="L265" s="223"/>
      <c r="M265" s="223"/>
      <c r="N265" s="31"/>
      <c r="T265" s="8"/>
    </row>
    <row r="266" spans="1:20" s="2" customFormat="1" ht="15.65" customHeight="1" x14ac:dyDescent="0.35">
      <c r="A266" s="220">
        <f t="shared" ref="A266:A270" si="59">A265+1</f>
        <v>4</v>
      </c>
      <c r="B266" s="222"/>
      <c r="C266" s="63" t="s">
        <v>201</v>
      </c>
      <c r="D266" s="63">
        <f>(34.89)*10.764</f>
        <v>375.55595999999997</v>
      </c>
      <c r="E266" s="100">
        <v>0</v>
      </c>
      <c r="F266" s="100">
        <f t="shared" ref="F266:F270" si="60">D266+(IF(E266&lt;201,E266,IF(E266&lt;301,E266/2,E266/3)))</f>
        <v>375.55595999999997</v>
      </c>
      <c r="G266" s="100">
        <v>0</v>
      </c>
      <c r="H266" s="100">
        <f t="shared" si="58"/>
        <v>582.11173799999995</v>
      </c>
      <c r="I266" s="31"/>
      <c r="L266" s="223"/>
      <c r="M266" s="223"/>
      <c r="N266" s="31"/>
      <c r="T266" s="8"/>
    </row>
    <row r="267" spans="1:20" s="2" customFormat="1" ht="15.65" customHeight="1" x14ac:dyDescent="0.35">
      <c r="A267" s="220">
        <f t="shared" si="59"/>
        <v>5</v>
      </c>
      <c r="B267" s="222"/>
      <c r="C267" s="63" t="s">
        <v>201</v>
      </c>
      <c r="D267" s="63">
        <f>(32.53)*10.764</f>
        <v>350.15291999999999</v>
      </c>
      <c r="E267" s="100">
        <v>0</v>
      </c>
      <c r="F267" s="100">
        <f t="shared" si="60"/>
        <v>350.15291999999999</v>
      </c>
      <c r="G267" s="100">
        <v>0</v>
      </c>
      <c r="H267" s="100">
        <f t="shared" si="58"/>
        <v>542.73702600000001</v>
      </c>
      <c r="I267" s="31"/>
      <c r="J267" s="31"/>
      <c r="L267" s="223"/>
      <c r="M267" s="223"/>
      <c r="N267" s="31"/>
      <c r="T267" s="8"/>
    </row>
    <row r="268" spans="1:20" s="2" customFormat="1" ht="15.65" customHeight="1" x14ac:dyDescent="0.35">
      <c r="A268" s="220">
        <f t="shared" si="59"/>
        <v>6</v>
      </c>
      <c r="B268" s="222"/>
      <c r="C268" s="63" t="s">
        <v>201</v>
      </c>
      <c r="D268" s="63">
        <f>(31.21)*10.764</f>
        <v>335.94443999999999</v>
      </c>
      <c r="E268" s="100">
        <v>0</v>
      </c>
      <c r="F268" s="100">
        <f t="shared" si="60"/>
        <v>335.94443999999999</v>
      </c>
      <c r="G268" s="100">
        <v>0</v>
      </c>
      <c r="H268" s="100">
        <f t="shared" si="58"/>
        <v>520.71388200000001</v>
      </c>
      <c r="I268" s="31"/>
      <c r="L268" s="223"/>
      <c r="M268" s="223"/>
      <c r="N268" s="31"/>
      <c r="T268" s="8"/>
    </row>
    <row r="269" spans="1:20" s="2" customFormat="1" ht="15.65" customHeight="1" x14ac:dyDescent="0.35">
      <c r="A269" s="220">
        <f t="shared" si="59"/>
        <v>7</v>
      </c>
      <c r="B269" s="222"/>
      <c r="C269" s="63" t="s">
        <v>201</v>
      </c>
      <c r="D269" s="63">
        <f>(29.93)*10.764</f>
        <v>322.16651999999999</v>
      </c>
      <c r="E269" s="100">
        <v>0</v>
      </c>
      <c r="F269" s="100">
        <f t="shared" si="60"/>
        <v>322.16651999999999</v>
      </c>
      <c r="G269" s="100">
        <v>0</v>
      </c>
      <c r="H269" s="100">
        <f t="shared" si="58"/>
        <v>499.35810600000002</v>
      </c>
      <c r="I269" s="31"/>
      <c r="L269" s="223"/>
      <c r="M269" s="223"/>
      <c r="N269" s="31"/>
      <c r="T269" s="8"/>
    </row>
    <row r="270" spans="1:20" s="2" customFormat="1" ht="15.65" customHeight="1" x14ac:dyDescent="0.35">
      <c r="A270" s="220">
        <f t="shared" si="59"/>
        <v>8</v>
      </c>
      <c r="B270" s="222"/>
      <c r="C270" s="63" t="s">
        <v>201</v>
      </c>
      <c r="D270" s="63">
        <f>(28.7)*10.764</f>
        <v>308.92679999999996</v>
      </c>
      <c r="E270" s="100">
        <v>0</v>
      </c>
      <c r="F270" s="100">
        <f t="shared" si="60"/>
        <v>308.92679999999996</v>
      </c>
      <c r="G270" s="100">
        <v>0</v>
      </c>
      <c r="H270" s="100">
        <f t="shared" si="58"/>
        <v>478.83653999999996</v>
      </c>
      <c r="I270" s="31"/>
      <c r="L270" s="223"/>
      <c r="M270" s="223"/>
      <c r="N270" s="31"/>
      <c r="T270" s="8"/>
    </row>
    <row r="271" spans="1:20" s="2" customFormat="1" ht="15.65" customHeight="1" x14ac:dyDescent="0.35">
      <c r="A271" s="183" t="s">
        <v>310</v>
      </c>
      <c r="B271" s="184"/>
      <c r="C271" s="184"/>
      <c r="D271" s="184"/>
      <c r="E271" s="184"/>
      <c r="F271" s="184"/>
      <c r="G271" s="184"/>
      <c r="H271" s="185"/>
      <c r="J271" s="31"/>
      <c r="T271" s="1"/>
    </row>
    <row r="272" spans="1:20" s="2" customFormat="1" ht="15.75" customHeight="1" x14ac:dyDescent="0.35">
      <c r="A272" s="220">
        <v>1</v>
      </c>
      <c r="B272" s="222"/>
      <c r="C272" s="63" t="s">
        <v>201</v>
      </c>
      <c r="D272" s="63">
        <f>(18.84)*10.764</f>
        <v>202.79375999999999</v>
      </c>
      <c r="E272" s="100">
        <v>0</v>
      </c>
      <c r="F272" s="100">
        <f>D272+(IF(E272&lt;201,E272,IF(E272&lt;301,E272/2,E272/3)))</f>
        <v>202.79375999999999</v>
      </c>
      <c r="G272" s="100">
        <v>0</v>
      </c>
      <c r="H272" s="100">
        <f t="shared" ref="H272:H279" si="61">(F272+(IF(G272&lt;101,G272,IF(G272&lt;201,G272/2,IF(G272&lt;=301,G272/3,G272/4)))))*(($H$233)+1)</f>
        <v>314.33032800000001</v>
      </c>
      <c r="I272" s="31"/>
      <c r="J272" s="31"/>
      <c r="L272" s="223"/>
      <c r="M272" s="223"/>
      <c r="N272" s="31"/>
      <c r="T272" s="1"/>
    </row>
    <row r="273" spans="1:20" s="2" customFormat="1" ht="15.75" customHeight="1" x14ac:dyDescent="0.35">
      <c r="A273" s="220">
        <f>A272+1</f>
        <v>2</v>
      </c>
      <c r="B273" s="222"/>
      <c r="C273" s="63" t="s">
        <v>201</v>
      </c>
      <c r="D273" s="63">
        <f>(24.47)*10.764</f>
        <v>263.39507999999995</v>
      </c>
      <c r="E273" s="100">
        <v>0</v>
      </c>
      <c r="F273" s="100">
        <f>D273+(IF(E273&lt;201,E273,IF(E273&lt;301,E273/2,E273/3)))</f>
        <v>263.39507999999995</v>
      </c>
      <c r="G273" s="100">
        <v>0</v>
      </c>
      <c r="H273" s="100">
        <f t="shared" si="61"/>
        <v>408.26237399999991</v>
      </c>
      <c r="I273" s="31"/>
      <c r="L273" s="223"/>
      <c r="M273" s="223"/>
      <c r="N273" s="31"/>
      <c r="T273" s="9"/>
    </row>
    <row r="274" spans="1:20" s="2" customFormat="1" ht="15.65" customHeight="1" x14ac:dyDescent="0.35">
      <c r="A274" s="220">
        <f>A273+1</f>
        <v>3</v>
      </c>
      <c r="B274" s="222"/>
      <c r="C274" s="63" t="s">
        <v>201</v>
      </c>
      <c r="D274" s="63">
        <f>(24.47)*10.764</f>
        <v>263.39507999999995</v>
      </c>
      <c r="E274" s="100">
        <v>0</v>
      </c>
      <c r="F274" s="100">
        <f>D274+(IF(E274&lt;201,E274,IF(E274&lt;301,E274/2,E274/3)))</f>
        <v>263.39507999999995</v>
      </c>
      <c r="G274" s="100">
        <v>0</v>
      </c>
      <c r="H274" s="100">
        <f t="shared" si="61"/>
        <v>408.26237399999991</v>
      </c>
      <c r="I274" s="31"/>
      <c r="L274" s="223"/>
      <c r="M274" s="223"/>
      <c r="N274" s="31"/>
      <c r="T274" s="8"/>
    </row>
    <row r="275" spans="1:20" s="2" customFormat="1" ht="15.65" customHeight="1" x14ac:dyDescent="0.35">
      <c r="A275" s="220">
        <f t="shared" ref="A275:A279" si="62">A274+1</f>
        <v>4</v>
      </c>
      <c r="B275" s="222"/>
      <c r="C275" s="63" t="s">
        <v>201</v>
      </c>
      <c r="D275" s="63">
        <f>(34.89)*10.764</f>
        <v>375.55595999999997</v>
      </c>
      <c r="E275" s="100">
        <v>0</v>
      </c>
      <c r="F275" s="100">
        <f t="shared" ref="F275:F279" si="63">D275+(IF(E275&lt;201,E275,IF(E275&lt;301,E275/2,E275/3)))</f>
        <v>375.55595999999997</v>
      </c>
      <c r="G275" s="100">
        <v>0</v>
      </c>
      <c r="H275" s="100">
        <f t="shared" si="61"/>
        <v>582.11173799999995</v>
      </c>
      <c r="I275" s="31"/>
      <c r="L275" s="223"/>
      <c r="M275" s="223"/>
      <c r="N275" s="31"/>
      <c r="T275" s="8"/>
    </row>
    <row r="276" spans="1:20" s="2" customFormat="1" ht="15.65" customHeight="1" x14ac:dyDescent="0.35">
      <c r="A276" s="220">
        <f t="shared" si="62"/>
        <v>5</v>
      </c>
      <c r="B276" s="222"/>
      <c r="C276" s="63" t="s">
        <v>201</v>
      </c>
      <c r="D276" s="63">
        <f>(32.53)*10.764</f>
        <v>350.15291999999999</v>
      </c>
      <c r="E276" s="100">
        <v>0</v>
      </c>
      <c r="F276" s="100">
        <f t="shared" si="63"/>
        <v>350.15291999999999</v>
      </c>
      <c r="G276" s="100">
        <v>0</v>
      </c>
      <c r="H276" s="100">
        <f t="shared" si="61"/>
        <v>542.73702600000001</v>
      </c>
      <c r="I276" s="31"/>
      <c r="J276" s="31"/>
      <c r="L276" s="223"/>
      <c r="M276" s="223"/>
      <c r="N276" s="31"/>
      <c r="T276" s="8"/>
    </row>
    <row r="277" spans="1:20" s="2" customFormat="1" ht="15.65" customHeight="1" x14ac:dyDescent="0.35">
      <c r="A277" s="220">
        <f t="shared" si="62"/>
        <v>6</v>
      </c>
      <c r="B277" s="222"/>
      <c r="C277" s="63" t="s">
        <v>201</v>
      </c>
      <c r="D277" s="63">
        <f>(31.21)*10.764</f>
        <v>335.94443999999999</v>
      </c>
      <c r="E277" s="100">
        <v>0</v>
      </c>
      <c r="F277" s="100">
        <f t="shared" si="63"/>
        <v>335.94443999999999</v>
      </c>
      <c r="G277" s="100">
        <v>0</v>
      </c>
      <c r="H277" s="100">
        <f t="shared" si="61"/>
        <v>520.71388200000001</v>
      </c>
      <c r="I277" s="31"/>
      <c r="L277" s="223"/>
      <c r="M277" s="223"/>
      <c r="N277" s="31"/>
      <c r="T277" s="8"/>
    </row>
    <row r="278" spans="1:20" s="2" customFormat="1" ht="15.65" customHeight="1" x14ac:dyDescent="0.35">
      <c r="A278" s="220">
        <f t="shared" si="62"/>
        <v>7</v>
      </c>
      <c r="B278" s="222"/>
      <c r="C278" s="63" t="s">
        <v>201</v>
      </c>
      <c r="D278" s="63">
        <f>(29.93)*10.764</f>
        <v>322.16651999999999</v>
      </c>
      <c r="E278" s="100">
        <v>0</v>
      </c>
      <c r="F278" s="100">
        <f t="shared" si="63"/>
        <v>322.16651999999999</v>
      </c>
      <c r="G278" s="100">
        <v>0</v>
      </c>
      <c r="H278" s="100">
        <f t="shared" si="61"/>
        <v>499.35810600000002</v>
      </c>
      <c r="I278" s="31"/>
      <c r="L278" s="223"/>
      <c r="M278" s="223"/>
      <c r="N278" s="31"/>
      <c r="T278" s="8"/>
    </row>
    <row r="279" spans="1:20" s="2" customFormat="1" ht="15.65" customHeight="1" x14ac:dyDescent="0.35">
      <c r="A279" s="220">
        <f t="shared" si="62"/>
        <v>8</v>
      </c>
      <c r="B279" s="222"/>
      <c r="C279" s="63" t="s">
        <v>201</v>
      </c>
      <c r="D279" s="63">
        <f>(28.7)*10.764</f>
        <v>308.92679999999996</v>
      </c>
      <c r="E279" s="100">
        <v>0</v>
      </c>
      <c r="F279" s="100">
        <f t="shared" si="63"/>
        <v>308.92679999999996</v>
      </c>
      <c r="G279" s="100">
        <v>0</v>
      </c>
      <c r="H279" s="100">
        <f t="shared" si="61"/>
        <v>478.83653999999996</v>
      </c>
      <c r="I279" s="31"/>
      <c r="L279" s="223"/>
      <c r="M279" s="223"/>
      <c r="N279" s="31"/>
      <c r="T279" s="8"/>
    </row>
    <row r="280" spans="1:20" s="2" customFormat="1" ht="15.65" customHeight="1" x14ac:dyDescent="0.35">
      <c r="A280" s="183" t="s">
        <v>311</v>
      </c>
      <c r="B280" s="184"/>
      <c r="C280" s="184"/>
      <c r="D280" s="184"/>
      <c r="E280" s="184"/>
      <c r="F280" s="184"/>
      <c r="G280" s="184"/>
      <c r="H280" s="185"/>
      <c r="J280" s="31"/>
      <c r="T280" s="1"/>
    </row>
    <row r="281" spans="1:20" s="2" customFormat="1" ht="15.75" customHeight="1" x14ac:dyDescent="0.35">
      <c r="A281" s="220">
        <v>1</v>
      </c>
      <c r="B281" s="222"/>
      <c r="C281" s="63" t="s">
        <v>201</v>
      </c>
      <c r="D281" s="63">
        <f>(18.84)*10.764</f>
        <v>202.79375999999999</v>
      </c>
      <c r="E281" s="100">
        <v>0</v>
      </c>
      <c r="F281" s="100">
        <f>D281+(IF(E281&lt;201,E281,IF(E281&lt;301,E281/2,E281/3)))</f>
        <v>202.79375999999999</v>
      </c>
      <c r="G281" s="100">
        <v>0</v>
      </c>
      <c r="H281" s="100">
        <f t="shared" ref="H281:H286" si="64">(F281+(IF(G281&lt;101,G281,IF(G281&lt;201,G281/2,IF(G281&lt;=301,G281/3,G281/4)))))*(($H$233)+1)</f>
        <v>314.33032800000001</v>
      </c>
      <c r="I281" s="31"/>
      <c r="J281" s="31"/>
      <c r="L281" s="223"/>
      <c r="M281" s="223"/>
      <c r="N281" s="31"/>
      <c r="T281" s="1"/>
    </row>
    <row r="282" spans="1:20" s="2" customFormat="1" ht="15.75" customHeight="1" x14ac:dyDescent="0.35">
      <c r="A282" s="220">
        <f>A281+1</f>
        <v>2</v>
      </c>
      <c r="B282" s="222"/>
      <c r="C282" s="63" t="s">
        <v>201</v>
      </c>
      <c r="D282" s="63">
        <f>(24.47)*10.764</f>
        <v>263.39507999999995</v>
      </c>
      <c r="E282" s="100">
        <v>0</v>
      </c>
      <c r="F282" s="100">
        <f>D282+(IF(E282&lt;201,E282,IF(E282&lt;301,E282/2,E282/3)))</f>
        <v>263.39507999999995</v>
      </c>
      <c r="G282" s="100">
        <v>0</v>
      </c>
      <c r="H282" s="100">
        <f t="shared" si="64"/>
        <v>408.26237399999991</v>
      </c>
      <c r="I282" s="31"/>
      <c r="L282" s="223"/>
      <c r="M282" s="223"/>
      <c r="N282" s="31"/>
      <c r="T282" s="9"/>
    </row>
    <row r="283" spans="1:20" s="2" customFormat="1" ht="15.65" customHeight="1" x14ac:dyDescent="0.35">
      <c r="A283" s="220">
        <f>A282+1</f>
        <v>3</v>
      </c>
      <c r="B283" s="222"/>
      <c r="C283" s="63" t="s">
        <v>201</v>
      </c>
      <c r="D283" s="63">
        <f>(24.47)*10.764</f>
        <v>263.39507999999995</v>
      </c>
      <c r="E283" s="100">
        <v>0</v>
      </c>
      <c r="F283" s="100">
        <f>D283+(IF(E283&lt;201,E283,IF(E283&lt;301,E283/2,E283/3)))</f>
        <v>263.39507999999995</v>
      </c>
      <c r="G283" s="100">
        <v>0</v>
      </c>
      <c r="H283" s="100">
        <f t="shared" si="64"/>
        <v>408.26237399999991</v>
      </c>
      <c r="I283" s="31"/>
      <c r="L283" s="223"/>
      <c r="M283" s="223"/>
      <c r="N283" s="31"/>
      <c r="T283" s="8"/>
    </row>
    <row r="284" spans="1:20" s="2" customFormat="1" ht="15.65" customHeight="1" x14ac:dyDescent="0.35">
      <c r="A284" s="220">
        <f t="shared" ref="A284:A288" si="65">A283+1</f>
        <v>4</v>
      </c>
      <c r="B284" s="222"/>
      <c r="C284" s="63" t="s">
        <v>201</v>
      </c>
      <c r="D284" s="63">
        <f>(34.89)*10.764</f>
        <v>375.55595999999997</v>
      </c>
      <c r="E284" s="100">
        <v>0</v>
      </c>
      <c r="F284" s="100">
        <f t="shared" ref="F284:F286" si="66">D284+(IF(E284&lt;201,E284,IF(E284&lt;301,E284/2,E284/3)))</f>
        <v>375.55595999999997</v>
      </c>
      <c r="G284" s="100">
        <v>0</v>
      </c>
      <c r="H284" s="100">
        <f t="shared" si="64"/>
        <v>582.11173799999995</v>
      </c>
      <c r="I284" s="31"/>
      <c r="L284" s="223"/>
      <c r="M284" s="223"/>
      <c r="N284" s="31"/>
      <c r="T284" s="8"/>
    </row>
    <row r="285" spans="1:20" s="2" customFormat="1" ht="15.65" customHeight="1" x14ac:dyDescent="0.35">
      <c r="A285" s="220">
        <f t="shared" si="65"/>
        <v>5</v>
      </c>
      <c r="B285" s="222"/>
      <c r="C285" s="63" t="s">
        <v>201</v>
      </c>
      <c r="D285" s="63">
        <f>(32.53)*10.764</f>
        <v>350.15291999999999</v>
      </c>
      <c r="E285" s="100">
        <v>0</v>
      </c>
      <c r="F285" s="100">
        <f t="shared" si="66"/>
        <v>350.15291999999999</v>
      </c>
      <c r="G285" s="100">
        <v>0</v>
      </c>
      <c r="H285" s="100">
        <f t="shared" si="64"/>
        <v>542.73702600000001</v>
      </c>
      <c r="I285" s="31"/>
      <c r="J285" s="31"/>
      <c r="L285" s="223"/>
      <c r="M285" s="223"/>
      <c r="N285" s="31"/>
      <c r="T285" s="8"/>
    </row>
    <row r="286" spans="1:20" s="2" customFormat="1" ht="15.65" customHeight="1" x14ac:dyDescent="0.35">
      <c r="A286" s="220">
        <f t="shared" si="65"/>
        <v>6</v>
      </c>
      <c r="B286" s="222"/>
      <c r="C286" s="63" t="s">
        <v>201</v>
      </c>
      <c r="D286" s="63">
        <f>(31.21)*10.764</f>
        <v>335.94443999999999</v>
      </c>
      <c r="E286" s="100">
        <v>0</v>
      </c>
      <c r="F286" s="100">
        <f t="shared" si="66"/>
        <v>335.94443999999999</v>
      </c>
      <c r="G286" s="100">
        <v>0</v>
      </c>
      <c r="H286" s="100">
        <f t="shared" si="64"/>
        <v>520.71388200000001</v>
      </c>
      <c r="I286" s="31"/>
      <c r="L286" s="223"/>
      <c r="M286" s="223"/>
      <c r="N286" s="31"/>
      <c r="T286" s="8"/>
    </row>
    <row r="287" spans="1:20" s="2" customFormat="1" ht="15.65" customHeight="1" x14ac:dyDescent="0.35">
      <c r="A287" s="220">
        <f t="shared" si="65"/>
        <v>7</v>
      </c>
      <c r="B287" s="222"/>
      <c r="C287" s="179" t="s">
        <v>248</v>
      </c>
      <c r="D287" s="228"/>
      <c r="E287" s="228"/>
      <c r="F287" s="228"/>
      <c r="G287" s="228"/>
      <c r="H287" s="180"/>
      <c r="I287" s="31"/>
      <c r="L287" s="223"/>
      <c r="M287" s="223"/>
      <c r="N287" s="31"/>
      <c r="T287" s="8"/>
    </row>
    <row r="288" spans="1:20" s="2" customFormat="1" ht="15.65" customHeight="1" x14ac:dyDescent="0.35">
      <c r="A288" s="220">
        <f t="shared" si="65"/>
        <v>8</v>
      </c>
      <c r="B288" s="222"/>
      <c r="C288" s="181"/>
      <c r="D288" s="229"/>
      <c r="E288" s="229"/>
      <c r="F288" s="229"/>
      <c r="G288" s="229"/>
      <c r="H288" s="182"/>
      <c r="I288" s="31"/>
      <c r="L288" s="223"/>
      <c r="M288" s="223"/>
      <c r="N288" s="31"/>
      <c r="T288" s="8"/>
    </row>
    <row r="289" spans="1:20" s="2" customFormat="1" ht="15.65" customHeight="1" x14ac:dyDescent="0.35">
      <c r="A289" s="183" t="s">
        <v>312</v>
      </c>
      <c r="B289" s="184"/>
      <c r="C289" s="184"/>
      <c r="D289" s="184"/>
      <c r="E289" s="184"/>
      <c r="F289" s="184"/>
      <c r="G289" s="184"/>
      <c r="H289" s="185"/>
      <c r="I289" s="230" t="s">
        <v>343</v>
      </c>
      <c r="J289" s="231"/>
      <c r="K289" s="231"/>
      <c r="L289" s="231"/>
      <c r="M289" s="231"/>
      <c r="N289" s="231"/>
      <c r="O289" s="231"/>
      <c r="T289" s="1"/>
    </row>
    <row r="290" spans="1:20" s="2" customFormat="1" ht="15.75" customHeight="1" x14ac:dyDescent="0.35">
      <c r="A290" s="220">
        <v>1</v>
      </c>
      <c r="B290" s="222"/>
      <c r="C290" s="63" t="s">
        <v>201</v>
      </c>
      <c r="D290" s="63">
        <f>(18.84)*10.764</f>
        <v>202.79375999999999</v>
      </c>
      <c r="E290" s="100">
        <v>0</v>
      </c>
      <c r="F290" s="100">
        <f>D290+(IF(E290&lt;201,E290,IF(E290&lt;301,E290/2,E290/3)))</f>
        <v>202.79375999999999</v>
      </c>
      <c r="G290" s="100">
        <v>0</v>
      </c>
      <c r="H290" s="100">
        <f t="shared" ref="H290:H297" si="67">(F290+(IF(G290&lt;101,G290,IF(G290&lt;201,G290/2,IF(G290&lt;=301,G290/3,G290/4)))))*(($H$233)+1)</f>
        <v>314.33032800000001</v>
      </c>
      <c r="I290" s="230"/>
      <c r="J290" s="231"/>
      <c r="K290" s="231"/>
      <c r="L290" s="231"/>
      <c r="M290" s="231"/>
      <c r="N290" s="231"/>
      <c r="O290" s="231"/>
      <c r="T290" s="1"/>
    </row>
    <row r="291" spans="1:20" s="2" customFormat="1" ht="15.75" customHeight="1" x14ac:dyDescent="0.35">
      <c r="A291" s="220">
        <f>A290+1</f>
        <v>2</v>
      </c>
      <c r="B291" s="222"/>
      <c r="C291" s="63" t="s">
        <v>201</v>
      </c>
      <c r="D291" s="63">
        <f>(24.47)*10.764</f>
        <v>263.39507999999995</v>
      </c>
      <c r="E291" s="100">
        <v>0</v>
      </c>
      <c r="F291" s="100">
        <f>D291+(IF(E291&lt;201,E291,IF(E291&lt;301,E291/2,E291/3)))</f>
        <v>263.39507999999995</v>
      </c>
      <c r="G291" s="100">
        <v>0</v>
      </c>
      <c r="H291" s="100">
        <f t="shared" si="67"/>
        <v>408.26237399999991</v>
      </c>
      <c r="I291" s="230"/>
      <c r="J291" s="231"/>
      <c r="K291" s="231"/>
      <c r="L291" s="231"/>
      <c r="M291" s="231"/>
      <c r="N291" s="231"/>
      <c r="O291" s="231"/>
      <c r="T291" s="9"/>
    </row>
    <row r="292" spans="1:20" s="2" customFormat="1" ht="15.65" customHeight="1" x14ac:dyDescent="0.35">
      <c r="A292" s="220">
        <f>A291+1</f>
        <v>3</v>
      </c>
      <c r="B292" s="222"/>
      <c r="C292" s="63" t="s">
        <v>201</v>
      </c>
      <c r="D292" s="63">
        <f>(24.47)*10.764</f>
        <v>263.39507999999995</v>
      </c>
      <c r="E292" s="100">
        <v>0</v>
      </c>
      <c r="F292" s="100">
        <f>D292+(IF(E292&lt;201,E292,IF(E292&lt;301,E292/2,E292/3)))</f>
        <v>263.39507999999995</v>
      </c>
      <c r="G292" s="100">
        <v>0</v>
      </c>
      <c r="H292" s="100">
        <f t="shared" si="67"/>
        <v>408.26237399999991</v>
      </c>
      <c r="I292" s="31"/>
      <c r="L292" s="223"/>
      <c r="M292" s="223"/>
      <c r="N292" s="31"/>
      <c r="T292" s="8"/>
    </row>
    <row r="293" spans="1:20" s="2" customFormat="1" ht="15.65" customHeight="1" x14ac:dyDescent="0.35">
      <c r="A293" s="220">
        <f t="shared" ref="A293:A297" si="68">A292+1</f>
        <v>4</v>
      </c>
      <c r="B293" s="222"/>
      <c r="C293" s="63" t="s">
        <v>201</v>
      </c>
      <c r="D293" s="63">
        <f>(34.89)*10.764</f>
        <v>375.55595999999997</v>
      </c>
      <c r="E293" s="100">
        <v>0</v>
      </c>
      <c r="F293" s="100">
        <f t="shared" ref="F293:F297" si="69">D293+(IF(E293&lt;201,E293,IF(E293&lt;301,E293/2,E293/3)))</f>
        <v>375.55595999999997</v>
      </c>
      <c r="G293" s="100">
        <v>0</v>
      </c>
      <c r="H293" s="100">
        <f t="shared" si="67"/>
        <v>582.11173799999995</v>
      </c>
      <c r="I293" s="31"/>
      <c r="L293" s="223"/>
      <c r="M293" s="223"/>
      <c r="N293" s="31"/>
      <c r="T293" s="8"/>
    </row>
    <row r="294" spans="1:20" s="2" customFormat="1" ht="15.65" customHeight="1" x14ac:dyDescent="0.35">
      <c r="A294" s="220">
        <f t="shared" si="68"/>
        <v>5</v>
      </c>
      <c r="B294" s="222"/>
      <c r="C294" s="63" t="s">
        <v>201</v>
      </c>
      <c r="D294" s="63">
        <f>(32.53)*10.764</f>
        <v>350.15291999999999</v>
      </c>
      <c r="E294" s="100">
        <v>0</v>
      </c>
      <c r="F294" s="100">
        <f t="shared" si="69"/>
        <v>350.15291999999999</v>
      </c>
      <c r="G294" s="100">
        <v>0</v>
      </c>
      <c r="H294" s="100">
        <f t="shared" si="67"/>
        <v>542.73702600000001</v>
      </c>
      <c r="I294" s="31"/>
      <c r="J294" s="31"/>
      <c r="L294" s="223"/>
      <c r="M294" s="223"/>
      <c r="N294" s="31"/>
      <c r="T294" s="8"/>
    </row>
    <row r="295" spans="1:20" s="2" customFormat="1" ht="15.65" customHeight="1" x14ac:dyDescent="0.35">
      <c r="A295" s="220">
        <f t="shared" si="68"/>
        <v>6</v>
      </c>
      <c r="B295" s="222"/>
      <c r="C295" s="63" t="s">
        <v>201</v>
      </c>
      <c r="D295" s="63">
        <f>(31.21)*10.764</f>
        <v>335.94443999999999</v>
      </c>
      <c r="E295" s="100">
        <v>0</v>
      </c>
      <c r="F295" s="100">
        <f t="shared" si="69"/>
        <v>335.94443999999999</v>
      </c>
      <c r="G295" s="100">
        <v>0</v>
      </c>
      <c r="H295" s="100">
        <f t="shared" si="67"/>
        <v>520.71388200000001</v>
      </c>
      <c r="I295" s="31"/>
      <c r="L295" s="223"/>
      <c r="M295" s="223"/>
      <c r="N295" s="31"/>
      <c r="T295" s="8"/>
    </row>
    <row r="296" spans="1:20" s="2" customFormat="1" ht="15.65" customHeight="1" x14ac:dyDescent="0.35">
      <c r="A296" s="220">
        <f t="shared" si="68"/>
        <v>7</v>
      </c>
      <c r="B296" s="222"/>
      <c r="C296" s="63" t="s">
        <v>201</v>
      </c>
      <c r="D296" s="63">
        <f>(29.93)*10.764</f>
        <v>322.16651999999999</v>
      </c>
      <c r="E296" s="100">
        <v>0</v>
      </c>
      <c r="F296" s="100">
        <f t="shared" si="69"/>
        <v>322.16651999999999</v>
      </c>
      <c r="G296" s="100">
        <v>0</v>
      </c>
      <c r="H296" s="100">
        <f t="shared" si="67"/>
        <v>499.35810600000002</v>
      </c>
      <c r="I296" s="31"/>
      <c r="L296" s="223"/>
      <c r="M296" s="223"/>
      <c r="N296" s="31"/>
      <c r="T296" s="8"/>
    </row>
    <row r="297" spans="1:20" s="2" customFormat="1" ht="15.65" customHeight="1" x14ac:dyDescent="0.35">
      <c r="A297" s="220">
        <f t="shared" si="68"/>
        <v>8</v>
      </c>
      <c r="B297" s="222"/>
      <c r="C297" s="63" t="s">
        <v>201</v>
      </c>
      <c r="D297" s="63">
        <f>(28.7)*10.764</f>
        <v>308.92679999999996</v>
      </c>
      <c r="E297" s="100">
        <v>0</v>
      </c>
      <c r="F297" s="100">
        <f t="shared" si="69"/>
        <v>308.92679999999996</v>
      </c>
      <c r="G297" s="100">
        <v>0</v>
      </c>
      <c r="H297" s="100">
        <f t="shared" si="67"/>
        <v>478.83653999999996</v>
      </c>
      <c r="I297" s="31"/>
      <c r="L297" s="223"/>
      <c r="M297" s="223"/>
      <c r="N297" s="31"/>
      <c r="T297" s="8"/>
    </row>
    <row r="298" spans="1:20" s="2" customFormat="1" ht="15.65" customHeight="1" x14ac:dyDescent="0.35">
      <c r="A298" s="183" t="s">
        <v>313</v>
      </c>
      <c r="B298" s="184"/>
      <c r="C298" s="184"/>
      <c r="D298" s="184"/>
      <c r="E298" s="184"/>
      <c r="F298" s="184"/>
      <c r="G298" s="184"/>
      <c r="H298" s="185"/>
      <c r="I298" s="102"/>
      <c r="J298" s="103"/>
      <c r="K298" s="103"/>
      <c r="L298" s="103"/>
      <c r="M298" s="103"/>
      <c r="N298" s="103"/>
      <c r="O298" s="103"/>
      <c r="T298" s="1"/>
    </row>
    <row r="299" spans="1:20" s="2" customFormat="1" ht="15.75" customHeight="1" x14ac:dyDescent="0.35">
      <c r="A299" s="220">
        <v>1</v>
      </c>
      <c r="B299" s="222"/>
      <c r="C299" s="63" t="s">
        <v>201</v>
      </c>
      <c r="D299" s="63">
        <f>(18.84)*10.764</f>
        <v>202.79375999999999</v>
      </c>
      <c r="E299" s="100">
        <v>0</v>
      </c>
      <c r="F299" s="100">
        <f>D299+(IF(E299&lt;201,E299,IF(E299&lt;301,E299/2,E299/3)))</f>
        <v>202.79375999999999</v>
      </c>
      <c r="G299" s="100">
        <v>0</v>
      </c>
      <c r="H299" s="100">
        <f t="shared" ref="H299:H306" si="70">(F299+(IF(G299&lt;101,G299,IF(G299&lt;201,G299/2,IF(G299&lt;=301,G299/3,G299/4)))))*(($H$233)+1)</f>
        <v>314.33032800000001</v>
      </c>
      <c r="I299" s="102"/>
      <c r="J299" s="103"/>
      <c r="K299" s="103"/>
      <c r="L299" s="103"/>
      <c r="M299" s="103"/>
      <c r="N299" s="103"/>
      <c r="O299" s="103"/>
      <c r="T299" s="1"/>
    </row>
    <row r="300" spans="1:20" s="2" customFormat="1" ht="15.75" customHeight="1" x14ac:dyDescent="0.35">
      <c r="A300" s="220">
        <f>A299+1</f>
        <v>2</v>
      </c>
      <c r="B300" s="222"/>
      <c r="C300" s="63" t="s">
        <v>201</v>
      </c>
      <c r="D300" s="63">
        <f>(24.47)*10.764</f>
        <v>263.39507999999995</v>
      </c>
      <c r="E300" s="100">
        <v>0</v>
      </c>
      <c r="F300" s="100">
        <f>D300+(IF(E300&lt;201,E300,IF(E300&lt;301,E300/2,E300/3)))</f>
        <v>263.39507999999995</v>
      </c>
      <c r="G300" s="100">
        <v>0</v>
      </c>
      <c r="H300" s="100">
        <f t="shared" si="70"/>
        <v>408.26237399999991</v>
      </c>
      <c r="I300" s="102"/>
      <c r="J300" s="103"/>
      <c r="K300" s="103"/>
      <c r="L300" s="103"/>
      <c r="M300" s="103"/>
      <c r="N300" s="103"/>
      <c r="O300" s="103"/>
      <c r="T300" s="9"/>
    </row>
    <row r="301" spans="1:20" s="2" customFormat="1" ht="15.65" customHeight="1" x14ac:dyDescent="0.35">
      <c r="A301" s="220">
        <f>A300+1</f>
        <v>3</v>
      </c>
      <c r="B301" s="222"/>
      <c r="C301" s="63" t="s">
        <v>201</v>
      </c>
      <c r="D301" s="63">
        <f>(24.47)*10.764</f>
        <v>263.39507999999995</v>
      </c>
      <c r="E301" s="100">
        <v>0</v>
      </c>
      <c r="F301" s="100">
        <f>D301+(IF(E301&lt;201,E301,IF(E301&lt;301,E301/2,E301/3)))</f>
        <v>263.39507999999995</v>
      </c>
      <c r="G301" s="100">
        <v>0</v>
      </c>
      <c r="H301" s="100">
        <f t="shared" si="70"/>
        <v>408.26237399999991</v>
      </c>
      <c r="I301" s="31"/>
      <c r="L301" s="223"/>
      <c r="M301" s="223"/>
      <c r="N301" s="31"/>
      <c r="T301" s="8"/>
    </row>
    <row r="302" spans="1:20" s="2" customFormat="1" ht="15.65" customHeight="1" x14ac:dyDescent="0.35">
      <c r="A302" s="220">
        <f t="shared" ref="A302:A306" si="71">A301+1</f>
        <v>4</v>
      </c>
      <c r="B302" s="222"/>
      <c r="C302" s="63" t="s">
        <v>201</v>
      </c>
      <c r="D302" s="63">
        <f>(34.89)*10.764</f>
        <v>375.55595999999997</v>
      </c>
      <c r="E302" s="100">
        <v>0</v>
      </c>
      <c r="F302" s="100">
        <f t="shared" ref="F302:F306" si="72">D302+(IF(E302&lt;201,E302,IF(E302&lt;301,E302/2,E302/3)))</f>
        <v>375.55595999999997</v>
      </c>
      <c r="G302" s="100">
        <v>0</v>
      </c>
      <c r="H302" s="100">
        <f t="shared" si="70"/>
        <v>582.11173799999995</v>
      </c>
      <c r="I302" s="31"/>
      <c r="L302" s="223"/>
      <c r="M302" s="223"/>
      <c r="N302" s="31"/>
      <c r="T302" s="8"/>
    </row>
    <row r="303" spans="1:20" s="2" customFormat="1" ht="15.65" customHeight="1" x14ac:dyDescent="0.35">
      <c r="A303" s="220">
        <f t="shared" si="71"/>
        <v>5</v>
      </c>
      <c r="B303" s="222"/>
      <c r="C303" s="63" t="s">
        <v>201</v>
      </c>
      <c r="D303" s="63">
        <f>(32.53)*10.764</f>
        <v>350.15291999999999</v>
      </c>
      <c r="E303" s="100">
        <v>0</v>
      </c>
      <c r="F303" s="100">
        <f t="shared" si="72"/>
        <v>350.15291999999999</v>
      </c>
      <c r="G303" s="100">
        <v>0</v>
      </c>
      <c r="H303" s="100">
        <f t="shared" si="70"/>
        <v>542.73702600000001</v>
      </c>
      <c r="I303" s="31"/>
      <c r="J303" s="31"/>
      <c r="L303" s="223"/>
      <c r="M303" s="223"/>
      <c r="N303" s="31"/>
      <c r="T303" s="8"/>
    </row>
    <row r="304" spans="1:20" s="2" customFormat="1" ht="15.65" customHeight="1" x14ac:dyDescent="0.35">
      <c r="A304" s="220">
        <f t="shared" si="71"/>
        <v>6</v>
      </c>
      <c r="B304" s="222"/>
      <c r="C304" s="63" t="s">
        <v>201</v>
      </c>
      <c r="D304" s="63">
        <f>(31.21)*10.764</f>
        <v>335.94443999999999</v>
      </c>
      <c r="E304" s="100">
        <v>0</v>
      </c>
      <c r="F304" s="100">
        <f t="shared" si="72"/>
        <v>335.94443999999999</v>
      </c>
      <c r="G304" s="100">
        <v>0</v>
      </c>
      <c r="H304" s="100">
        <f t="shared" si="70"/>
        <v>520.71388200000001</v>
      </c>
      <c r="I304" s="31"/>
      <c r="L304" s="223"/>
      <c r="M304" s="223"/>
      <c r="N304" s="31"/>
      <c r="T304" s="8"/>
    </row>
    <row r="305" spans="1:21" s="2" customFormat="1" ht="15.65" customHeight="1" x14ac:dyDescent="0.35">
      <c r="A305" s="220">
        <f t="shared" si="71"/>
        <v>7</v>
      </c>
      <c r="B305" s="222"/>
      <c r="C305" s="63" t="s">
        <v>201</v>
      </c>
      <c r="D305" s="63">
        <f>(29.93)*10.764</f>
        <v>322.16651999999999</v>
      </c>
      <c r="E305" s="100">
        <v>0</v>
      </c>
      <c r="F305" s="100">
        <f t="shared" si="72"/>
        <v>322.16651999999999</v>
      </c>
      <c r="G305" s="100">
        <v>0</v>
      </c>
      <c r="H305" s="100">
        <f t="shared" si="70"/>
        <v>499.35810600000002</v>
      </c>
      <c r="I305" s="31"/>
      <c r="L305" s="223"/>
      <c r="M305" s="223"/>
      <c r="N305" s="31"/>
      <c r="T305" s="8"/>
    </row>
    <row r="306" spans="1:21" s="2" customFormat="1" ht="15.65" customHeight="1" x14ac:dyDescent="0.35">
      <c r="A306" s="220">
        <f t="shared" si="71"/>
        <v>8</v>
      </c>
      <c r="B306" s="222"/>
      <c r="C306" s="63" t="s">
        <v>201</v>
      </c>
      <c r="D306" s="63">
        <f>(28.7)*10.764</f>
        <v>308.92679999999996</v>
      </c>
      <c r="E306" s="100">
        <v>0</v>
      </c>
      <c r="F306" s="100">
        <f t="shared" si="72"/>
        <v>308.92679999999996</v>
      </c>
      <c r="G306" s="100">
        <v>0</v>
      </c>
      <c r="H306" s="100">
        <f t="shared" si="70"/>
        <v>478.83653999999996</v>
      </c>
      <c r="I306" s="31"/>
      <c r="L306" s="223"/>
      <c r="M306" s="223"/>
      <c r="N306" s="31"/>
      <c r="T306" s="8"/>
    </row>
    <row r="307" spans="1:21" s="2" customFormat="1" x14ac:dyDescent="0.35">
      <c r="A307" s="220"/>
      <c r="B307" s="221"/>
      <c r="C307" s="221"/>
      <c r="D307" s="221"/>
      <c r="E307" s="221"/>
      <c r="F307" s="221"/>
      <c r="G307" s="221"/>
      <c r="H307" s="222"/>
      <c r="I307" s="31"/>
      <c r="N307" s="31"/>
    </row>
    <row r="308" spans="1:21" s="8" customFormat="1" ht="47.25" customHeight="1" x14ac:dyDescent="0.35">
      <c r="A308" s="186" t="s">
        <v>226</v>
      </c>
      <c r="B308" s="188" t="s">
        <v>303</v>
      </c>
      <c r="C308" s="188" t="s">
        <v>71</v>
      </c>
      <c r="D308" s="188" t="s">
        <v>304</v>
      </c>
      <c r="E308" s="188" t="s">
        <v>319</v>
      </c>
      <c r="F308" s="188" t="s">
        <v>72</v>
      </c>
      <c r="G308" s="190" t="s">
        <v>73</v>
      </c>
      <c r="H308" s="60" t="s">
        <v>302</v>
      </c>
      <c r="I308" s="31"/>
      <c r="T308" s="2"/>
    </row>
    <row r="309" spans="1:21" s="2" customFormat="1" x14ac:dyDescent="0.35">
      <c r="A309" s="187"/>
      <c r="B309" s="189"/>
      <c r="C309" s="189"/>
      <c r="D309" s="189"/>
      <c r="E309" s="189"/>
      <c r="F309" s="189"/>
      <c r="G309" s="191"/>
      <c r="H309" s="61">
        <v>0.5</v>
      </c>
      <c r="I309" s="31"/>
    </row>
    <row r="310" spans="1:21" s="62" customFormat="1" x14ac:dyDescent="0.35">
      <c r="A310" s="183" t="s">
        <v>247</v>
      </c>
      <c r="B310" s="184"/>
      <c r="C310" s="184"/>
      <c r="D310" s="184"/>
      <c r="E310" s="184"/>
      <c r="F310" s="184"/>
      <c r="G310" s="184"/>
      <c r="H310" s="185"/>
      <c r="I310" s="64"/>
      <c r="U310" s="64"/>
    </row>
    <row r="311" spans="1:21" s="62" customFormat="1" x14ac:dyDescent="0.35">
      <c r="A311" s="183" t="s">
        <v>315</v>
      </c>
      <c r="B311" s="184"/>
      <c r="C311" s="184"/>
      <c r="D311" s="184"/>
      <c r="E311" s="184"/>
      <c r="F311" s="184"/>
      <c r="G311" s="184"/>
      <c r="H311" s="185"/>
      <c r="I311" s="64"/>
      <c r="U311" s="64"/>
    </row>
    <row r="312" spans="1:21" s="62" customFormat="1" x14ac:dyDescent="0.35">
      <c r="A312" s="183" t="s">
        <v>316</v>
      </c>
      <c r="B312" s="184"/>
      <c r="C312" s="184"/>
      <c r="D312" s="184"/>
      <c r="E312" s="184"/>
      <c r="F312" s="184"/>
      <c r="G312" s="184"/>
      <c r="H312" s="185"/>
      <c r="I312" s="64"/>
      <c r="U312" s="64"/>
    </row>
    <row r="313" spans="1:21" s="2" customFormat="1" x14ac:dyDescent="0.35">
      <c r="A313" s="224" t="s">
        <v>317</v>
      </c>
      <c r="B313" s="225"/>
      <c r="C313" s="225"/>
      <c r="D313" s="225"/>
      <c r="E313" s="225"/>
      <c r="F313" s="225"/>
      <c r="G313" s="225"/>
      <c r="H313" s="226"/>
      <c r="J313" s="31"/>
      <c r="K313" s="62"/>
    </row>
    <row r="314" spans="1:21" s="2" customFormat="1" ht="15.75" customHeight="1" x14ac:dyDescent="0.35">
      <c r="A314" s="220">
        <v>4</v>
      </c>
      <c r="B314" s="222"/>
      <c r="C314" s="100" t="s">
        <v>203</v>
      </c>
      <c r="D314" s="100">
        <f>(37.42)*10.764</f>
        <v>402.78888000000001</v>
      </c>
      <c r="E314" s="100">
        <f>(3.18*1.5)*10.764</f>
        <v>51.344280000000005</v>
      </c>
      <c r="F314" s="100">
        <f>D314+E314</f>
        <v>454.13316000000003</v>
      </c>
      <c r="G314" s="100">
        <v>0</v>
      </c>
      <c r="H314" s="100">
        <f>F314*(($H$309)+1)+(IF(G314&lt;101,G314,IF(G314&lt;201,G314/2,IF(G314&lt;=301,G314/3,G314/4))))</f>
        <v>681.19974000000002</v>
      </c>
      <c r="I314" s="31"/>
      <c r="J314" s="2">
        <f>2.9*4.05+2.25*3.2+3.65*3.05+1.05*1.6+2.1*1.35+1.75*1.45</f>
        <v>37.130000000000003</v>
      </c>
      <c r="K314" s="100">
        <v>10.763999999999999</v>
      </c>
      <c r="L314" s="223"/>
      <c r="M314" s="223"/>
      <c r="N314" s="31"/>
    </row>
    <row r="315" spans="1:21" s="2" customFormat="1" ht="15.75" customHeight="1" x14ac:dyDescent="0.35">
      <c r="A315" s="220">
        <f>A314+1</f>
        <v>5</v>
      </c>
      <c r="B315" s="222"/>
      <c r="C315" s="100" t="s">
        <v>318</v>
      </c>
      <c r="D315" s="100">
        <f>(46.42)*10.764</f>
        <v>499.66487999999998</v>
      </c>
      <c r="E315" s="100">
        <v>0</v>
      </c>
      <c r="F315" s="100">
        <f>D315+E315</f>
        <v>499.66487999999998</v>
      </c>
      <c r="G315" s="100">
        <v>0</v>
      </c>
      <c r="H315" s="100">
        <f>F315*(($H$309)+1)+(IF(G315&lt;101,G315,IF(G315&lt;201,G315/2,IF(G315&lt;=301,G315/3,G315/4))))</f>
        <v>749.49731999999995</v>
      </c>
      <c r="I315" s="31"/>
      <c r="J315" s="31">
        <f>3.05*3.85+2.25*2.3+3.05*2.3+3.05*3+2.45*1.27+2.05*1.35+4.71*1+0.79*1</f>
        <v>44.461499999999994</v>
      </c>
      <c r="L315" s="223"/>
      <c r="M315" s="223"/>
      <c r="N315" s="31"/>
    </row>
    <row r="316" spans="1:21" s="2" customFormat="1" ht="15.75" customHeight="1" x14ac:dyDescent="0.35">
      <c r="A316" s="220">
        <f>A315+1</f>
        <v>6</v>
      </c>
      <c r="B316" s="222"/>
      <c r="C316" s="100" t="s">
        <v>318</v>
      </c>
      <c r="D316" s="100">
        <f>(46.42)*10.764</f>
        <v>499.66487999999998</v>
      </c>
      <c r="E316" s="100">
        <v>0</v>
      </c>
      <c r="F316" s="100">
        <f>D316+E316</f>
        <v>499.66487999999998</v>
      </c>
      <c r="G316" s="100">
        <v>0</v>
      </c>
      <c r="H316" s="100">
        <f>F316*(($H$309)+1)+(IF(G316&lt;101,G316,IF(G316&lt;201,G316/2,IF(G316&lt;=301,G316/3,G316/4))))</f>
        <v>749.49731999999995</v>
      </c>
      <c r="I316" s="31"/>
      <c r="L316" s="223"/>
      <c r="M316" s="223"/>
      <c r="N316" s="31"/>
    </row>
    <row r="317" spans="1:21" s="2" customFormat="1" x14ac:dyDescent="0.35">
      <c r="A317" s="227" t="s">
        <v>177</v>
      </c>
      <c r="B317" s="227"/>
      <c r="C317" s="227"/>
      <c r="D317" s="227"/>
      <c r="E317" s="227"/>
      <c r="F317" s="227"/>
      <c r="G317" s="227"/>
      <c r="H317" s="227"/>
      <c r="J317" s="31"/>
      <c r="K317" s="62"/>
    </row>
    <row r="318" spans="1:21" s="2" customFormat="1" ht="15.75" customHeight="1" x14ac:dyDescent="0.35">
      <c r="A318" s="220">
        <v>4</v>
      </c>
      <c r="B318" s="222"/>
      <c r="C318" s="100" t="s">
        <v>203</v>
      </c>
      <c r="D318" s="100">
        <f>(37.42)*10.764</f>
        <v>402.78888000000001</v>
      </c>
      <c r="E318" s="100">
        <f>(3.18*1.5)*10.764</f>
        <v>51.344280000000005</v>
      </c>
      <c r="F318" s="100">
        <f>D318+E318</f>
        <v>454.13316000000003</v>
      </c>
      <c r="G318" s="100">
        <v>0</v>
      </c>
      <c r="H318" s="100">
        <f>F318*(($H$309)+1)+(IF(G318&lt;101,G318,IF(G318&lt;201,G318/2,IF(G318&lt;=301,G318/3,G318/4))))</f>
        <v>681.19974000000002</v>
      </c>
      <c r="I318" s="31"/>
      <c r="K318" s="104"/>
      <c r="L318" s="223"/>
      <c r="M318" s="223"/>
      <c r="N318" s="31"/>
    </row>
    <row r="319" spans="1:21" s="2" customFormat="1" ht="15.75" customHeight="1" x14ac:dyDescent="0.35">
      <c r="A319" s="220">
        <f>A318+1</f>
        <v>5</v>
      </c>
      <c r="B319" s="222"/>
      <c r="C319" s="100" t="s">
        <v>318</v>
      </c>
      <c r="D319" s="100">
        <f>(46.42)*10.764</f>
        <v>499.66487999999998</v>
      </c>
      <c r="E319" s="100">
        <v>0</v>
      </c>
      <c r="F319" s="100">
        <f>D319+E319</f>
        <v>499.66487999999998</v>
      </c>
      <c r="G319" s="100">
        <v>0</v>
      </c>
      <c r="H319" s="100">
        <f>F319*(($H$309)+1)+(IF(G319&lt;101,G319,IF(G319&lt;201,G319/2,IF(G319&lt;=301,G319/3,G319/4))))</f>
        <v>749.49731999999995</v>
      </c>
      <c r="I319" s="31"/>
      <c r="J319" s="31"/>
      <c r="L319" s="223"/>
      <c r="M319" s="223"/>
      <c r="N319" s="31"/>
    </row>
    <row r="320" spans="1:21" s="2" customFormat="1" ht="15.75" customHeight="1" x14ac:dyDescent="0.35">
      <c r="A320" s="220">
        <f>A319+1</f>
        <v>6</v>
      </c>
      <c r="B320" s="222"/>
      <c r="C320" s="100" t="s">
        <v>318</v>
      </c>
      <c r="D320" s="100">
        <f>(46.42)*10.764</f>
        <v>499.66487999999998</v>
      </c>
      <c r="E320" s="100">
        <v>0</v>
      </c>
      <c r="F320" s="100">
        <f>D320+E320</f>
        <v>499.66487999999998</v>
      </c>
      <c r="G320" s="100">
        <v>0</v>
      </c>
      <c r="H320" s="100">
        <f>F320*(($H$309)+1)+(IF(G320&lt;101,G320,IF(G320&lt;201,G320/2,IF(G320&lt;=301,G320/3,G320/4))))</f>
        <v>749.49731999999995</v>
      </c>
      <c r="I320" s="31"/>
      <c r="L320" s="223"/>
      <c r="M320" s="223"/>
      <c r="N320" s="31"/>
    </row>
    <row r="321" spans="1:14" s="2" customFormat="1" x14ac:dyDescent="0.35">
      <c r="A321" s="227" t="s">
        <v>308</v>
      </c>
      <c r="B321" s="227"/>
      <c r="C321" s="227"/>
      <c r="D321" s="227"/>
      <c r="E321" s="227"/>
      <c r="F321" s="227"/>
      <c r="G321" s="227"/>
      <c r="H321" s="227"/>
      <c r="I321" s="31"/>
      <c r="L321" s="223"/>
      <c r="M321" s="223"/>
    </row>
    <row r="322" spans="1:14" s="2" customFormat="1" x14ac:dyDescent="0.35">
      <c r="A322" s="220">
        <v>4</v>
      </c>
      <c r="B322" s="222"/>
      <c r="C322" s="100" t="s">
        <v>203</v>
      </c>
      <c r="D322" s="100">
        <f>(37.38)*10.764</f>
        <v>402.35831999999999</v>
      </c>
      <c r="E322" s="100">
        <f>(3.18*1.5)*10.764</f>
        <v>51.344280000000005</v>
      </c>
      <c r="F322" s="100">
        <f>D322+E322</f>
        <v>453.70260000000002</v>
      </c>
      <c r="G322" s="100">
        <v>0</v>
      </c>
      <c r="H322" s="100">
        <f>F322*(($H$309)+1)+(IF(G322&lt;101,G322,IF(G322&lt;201,G322/2,IF(G322&lt;=301,G322/3,G322/4))))</f>
        <v>680.5539</v>
      </c>
      <c r="I322" s="31"/>
      <c r="N322" s="31"/>
    </row>
    <row r="323" spans="1:14" s="2" customFormat="1" x14ac:dyDescent="0.35">
      <c r="A323" s="220">
        <f>A322+1</f>
        <v>5</v>
      </c>
      <c r="B323" s="222"/>
      <c r="C323" s="100" t="s">
        <v>204</v>
      </c>
      <c r="D323" s="100">
        <f>(61.76)*10.764</f>
        <v>664.78463999999997</v>
      </c>
      <c r="E323" s="100">
        <v>0</v>
      </c>
      <c r="F323" s="100">
        <f>D323+E323</f>
        <v>664.78463999999997</v>
      </c>
      <c r="G323" s="100">
        <v>0</v>
      </c>
      <c r="H323" s="100">
        <f>F323*(($H$309)+1)+(IF(G323&lt;101,G323,IF(G323&lt;201,G323/2,IF(G323&lt;=301,G323/3,G323/4))))</f>
        <v>997.17696000000001</v>
      </c>
      <c r="I323" s="31"/>
      <c r="J323" s="101">
        <f>3.05*5.75+2.25*3.15+3.05*3.15+3.05*4.3+2.53*1.27+2.55*1.35+4.71*1+0.79*1</f>
        <v>59.503099999999996</v>
      </c>
      <c r="N323" s="31"/>
    </row>
    <row r="324" spans="1:14" s="2" customFormat="1" x14ac:dyDescent="0.35">
      <c r="A324" s="220">
        <f>A323+1</f>
        <v>6</v>
      </c>
      <c r="B324" s="222"/>
      <c r="C324" s="100" t="s">
        <v>204</v>
      </c>
      <c r="D324" s="100">
        <f>(61.76)*10.764</f>
        <v>664.78463999999997</v>
      </c>
      <c r="E324" s="100">
        <v>0</v>
      </c>
      <c r="F324" s="100">
        <f>D324+E324</f>
        <v>664.78463999999997</v>
      </c>
      <c r="G324" s="100">
        <v>0</v>
      </c>
      <c r="H324" s="100">
        <f>F324*(($H$309)+1)+(IF(G324&lt;101,G324,IF(G324&lt;201,G324/2,IF(G324&lt;=301,G324/3,G324/4))))</f>
        <v>997.17696000000001</v>
      </c>
      <c r="I324" s="31"/>
      <c r="N324" s="31"/>
    </row>
    <row r="325" spans="1:14" s="2" customFormat="1" x14ac:dyDescent="0.35">
      <c r="A325" s="227" t="s">
        <v>309</v>
      </c>
      <c r="B325" s="227"/>
      <c r="C325" s="227"/>
      <c r="D325" s="227"/>
      <c r="E325" s="227"/>
      <c r="F325" s="227"/>
      <c r="G325" s="227"/>
      <c r="H325" s="227"/>
      <c r="I325" s="31"/>
      <c r="L325" s="223"/>
      <c r="M325" s="223"/>
    </row>
    <row r="326" spans="1:14" s="2" customFormat="1" x14ac:dyDescent="0.35">
      <c r="A326" s="220">
        <v>4</v>
      </c>
      <c r="B326" s="222"/>
      <c r="C326" s="100" t="s">
        <v>203</v>
      </c>
      <c r="D326" s="100">
        <f>(37.38)*10.764</f>
        <v>402.35831999999999</v>
      </c>
      <c r="E326" s="100">
        <f>(3.18*1.5)*10.764</f>
        <v>51.344280000000005</v>
      </c>
      <c r="F326" s="100">
        <f>D326+E326</f>
        <v>453.70260000000002</v>
      </c>
      <c r="G326" s="100">
        <v>0</v>
      </c>
      <c r="H326" s="100">
        <f>F326*(($H$309)+1)+(IF(G326&lt;101,G326,IF(G326&lt;201,G326/2,IF(G326&lt;=301,G326/3,G326/4))))</f>
        <v>680.5539</v>
      </c>
      <c r="I326" s="31"/>
      <c r="N326" s="31"/>
    </row>
    <row r="327" spans="1:14" s="2" customFormat="1" x14ac:dyDescent="0.35">
      <c r="A327" s="220">
        <f>A326+1</f>
        <v>5</v>
      </c>
      <c r="B327" s="222"/>
      <c r="C327" s="100" t="s">
        <v>204</v>
      </c>
      <c r="D327" s="100">
        <f>(61.76)*10.764</f>
        <v>664.78463999999997</v>
      </c>
      <c r="E327" s="100">
        <v>0</v>
      </c>
      <c r="F327" s="100">
        <f>D327+E327</f>
        <v>664.78463999999997</v>
      </c>
      <c r="G327" s="100">
        <v>0</v>
      </c>
      <c r="H327" s="100">
        <f>F327*(($H$309)+1)+(IF(G327&lt;101,G327,IF(G327&lt;201,G327/2,IF(G327&lt;=301,G327/3,G327/4))))</f>
        <v>997.17696000000001</v>
      </c>
      <c r="I327" s="31"/>
      <c r="J327" s="101"/>
      <c r="N327" s="31"/>
    </row>
    <row r="328" spans="1:14" s="2" customFormat="1" x14ac:dyDescent="0.35">
      <c r="A328" s="220">
        <f>A327+1</f>
        <v>6</v>
      </c>
      <c r="B328" s="222"/>
      <c r="C328" s="100" t="s">
        <v>204</v>
      </c>
      <c r="D328" s="100">
        <f>(61.76)*10.764</f>
        <v>664.78463999999997</v>
      </c>
      <c r="E328" s="100">
        <v>0</v>
      </c>
      <c r="F328" s="100">
        <f>D328+E328</f>
        <v>664.78463999999997</v>
      </c>
      <c r="G328" s="100">
        <v>0</v>
      </c>
      <c r="H328" s="100">
        <f>F328*(($H$309)+1)+(IF(G328&lt;101,G328,IF(G328&lt;201,G328/2,IF(G328&lt;=301,G328/3,G328/4))))</f>
        <v>997.17696000000001</v>
      </c>
      <c r="I328" s="31"/>
      <c r="N328" s="31"/>
    </row>
    <row r="329" spans="1:14" s="2" customFormat="1" x14ac:dyDescent="0.35">
      <c r="A329" s="227" t="s">
        <v>310</v>
      </c>
      <c r="B329" s="227"/>
      <c r="C329" s="227"/>
      <c r="D329" s="227"/>
      <c r="E329" s="227"/>
      <c r="F329" s="227"/>
      <c r="G329" s="227"/>
      <c r="H329" s="227"/>
      <c r="I329" s="31"/>
      <c r="L329" s="223"/>
      <c r="M329" s="223"/>
    </row>
    <row r="330" spans="1:14" s="2" customFormat="1" x14ac:dyDescent="0.35">
      <c r="A330" s="220">
        <v>4</v>
      </c>
      <c r="B330" s="222"/>
      <c r="C330" s="100" t="s">
        <v>203</v>
      </c>
      <c r="D330" s="100">
        <f>(37.38)*10.764</f>
        <v>402.35831999999999</v>
      </c>
      <c r="E330" s="100">
        <f>(3.18*1.5)*10.764</f>
        <v>51.344280000000005</v>
      </c>
      <c r="F330" s="100">
        <f>D330+E330</f>
        <v>453.70260000000002</v>
      </c>
      <c r="G330" s="100">
        <v>0</v>
      </c>
      <c r="H330" s="100">
        <f>F330*(($H$309)+1)+(IF(G330&lt;101,G330,IF(G330&lt;201,G330/2,IF(G330&lt;=301,G330/3,G330/4))))</f>
        <v>680.5539</v>
      </c>
      <c r="I330" s="31"/>
      <c r="N330" s="31"/>
    </row>
    <row r="331" spans="1:14" s="2" customFormat="1" x14ac:dyDescent="0.35">
      <c r="A331" s="220">
        <f>A330+1</f>
        <v>5</v>
      </c>
      <c r="B331" s="222"/>
      <c r="C331" s="100" t="s">
        <v>204</v>
      </c>
      <c r="D331" s="100">
        <f>(61.76)*10.764</f>
        <v>664.78463999999997</v>
      </c>
      <c r="E331" s="100">
        <v>0</v>
      </c>
      <c r="F331" s="100">
        <f>D331+E331</f>
        <v>664.78463999999997</v>
      </c>
      <c r="G331" s="100">
        <v>0</v>
      </c>
      <c r="H331" s="100">
        <f>F331*(($H$309)+1)+(IF(G331&lt;101,G331,IF(G331&lt;201,G331/2,IF(G331&lt;=301,G331/3,G331/4))))</f>
        <v>997.17696000000001</v>
      </c>
      <c r="I331" s="31"/>
      <c r="J331" s="101"/>
      <c r="N331" s="31"/>
    </row>
    <row r="332" spans="1:14" s="2" customFormat="1" x14ac:dyDescent="0.35">
      <c r="A332" s="220">
        <f>A331+1</f>
        <v>6</v>
      </c>
      <c r="B332" s="222"/>
      <c r="C332" s="100" t="s">
        <v>204</v>
      </c>
      <c r="D332" s="100">
        <f>(61.76)*10.764</f>
        <v>664.78463999999997</v>
      </c>
      <c r="E332" s="100">
        <v>0</v>
      </c>
      <c r="F332" s="100">
        <f>D332+E332</f>
        <v>664.78463999999997</v>
      </c>
      <c r="G332" s="100">
        <v>0</v>
      </c>
      <c r="H332" s="100">
        <f>F332*(($H$309)+1)+(IF(G332&lt;101,G332,IF(G332&lt;201,G332/2,IF(G332&lt;=301,G332/3,G332/4))))</f>
        <v>997.17696000000001</v>
      </c>
      <c r="I332" s="31"/>
      <c r="N332" s="31"/>
    </row>
    <row r="333" spans="1:14" s="2" customFormat="1" x14ac:dyDescent="0.35">
      <c r="A333" s="227" t="s">
        <v>311</v>
      </c>
      <c r="B333" s="227"/>
      <c r="C333" s="227"/>
      <c r="D333" s="227"/>
      <c r="E333" s="227"/>
      <c r="F333" s="227"/>
      <c r="G333" s="227"/>
      <c r="H333" s="227"/>
      <c r="I333" s="31"/>
      <c r="L333" s="223"/>
      <c r="M333" s="223"/>
    </row>
    <row r="334" spans="1:14" s="2" customFormat="1" x14ac:dyDescent="0.35">
      <c r="A334" s="220">
        <v>4</v>
      </c>
      <c r="B334" s="222"/>
      <c r="C334" s="100" t="s">
        <v>203</v>
      </c>
      <c r="D334" s="100">
        <f>(37.38)*10.764</f>
        <v>402.35831999999999</v>
      </c>
      <c r="E334" s="100">
        <f>(3.18*1.5)*10.764</f>
        <v>51.344280000000005</v>
      </c>
      <c r="F334" s="100">
        <f>D334+E334</f>
        <v>453.70260000000002</v>
      </c>
      <c r="G334" s="100">
        <v>0</v>
      </c>
      <c r="H334" s="100">
        <f>F334*(($H$309)+1)+(IF(G334&lt;101,G334,IF(G334&lt;201,G334/2,IF(G334&lt;=301,G334/3,G334/4))))</f>
        <v>680.5539</v>
      </c>
      <c r="I334" s="31"/>
      <c r="N334" s="31"/>
    </row>
    <row r="335" spans="1:14" s="2" customFormat="1" x14ac:dyDescent="0.35">
      <c r="A335" s="220">
        <f>A334+1</f>
        <v>5</v>
      </c>
      <c r="B335" s="222"/>
      <c r="C335" s="100" t="s">
        <v>167</v>
      </c>
      <c r="D335" s="100">
        <f>(87.55)*10.764</f>
        <v>942.38819999999987</v>
      </c>
      <c r="E335" s="100">
        <v>0</v>
      </c>
      <c r="F335" s="100">
        <f>D335+E335</f>
        <v>942.38819999999987</v>
      </c>
      <c r="G335" s="100">
        <v>0</v>
      </c>
      <c r="H335" s="100">
        <f>F335*(($H$309)+1)+(IF(G335&lt;101,G335,IF(G335&lt;201,G335/2,IF(G335&lt;=301,G335/3,G335/4))))</f>
        <v>1413.5822999999998</v>
      </c>
      <c r="I335" s="31"/>
      <c r="J335" s="101">
        <f>3.05*5.75+2.25*3.15+3.05*3.15+3.05*4.3+2.53*1.27+2.55*1.35+4.71*1+0.79*1+1.6*2.6+5.4*3.15+2.53*1.27</f>
        <v>83.886200000000002</v>
      </c>
      <c r="N335" s="31"/>
    </row>
    <row r="336" spans="1:14" s="2" customFormat="1" x14ac:dyDescent="0.35">
      <c r="A336" s="220" t="s">
        <v>320</v>
      </c>
      <c r="B336" s="222"/>
      <c r="C336" s="220" t="s">
        <v>248</v>
      </c>
      <c r="D336" s="221"/>
      <c r="E336" s="221"/>
      <c r="F336" s="221"/>
      <c r="G336" s="221"/>
      <c r="H336" s="222"/>
      <c r="I336" s="31"/>
      <c r="N336" s="31"/>
    </row>
    <row r="337" spans="1:14" s="2" customFormat="1" x14ac:dyDescent="0.35">
      <c r="A337" s="227" t="s">
        <v>312</v>
      </c>
      <c r="B337" s="227"/>
      <c r="C337" s="227"/>
      <c r="D337" s="227"/>
      <c r="E337" s="227"/>
      <c r="F337" s="227"/>
      <c r="G337" s="227"/>
      <c r="H337" s="227"/>
      <c r="I337" s="31"/>
      <c r="L337" s="223"/>
      <c r="M337" s="223"/>
    </row>
    <row r="338" spans="1:14" s="2" customFormat="1" x14ac:dyDescent="0.35">
      <c r="A338" s="220">
        <v>4</v>
      </c>
      <c r="B338" s="222"/>
      <c r="C338" s="100" t="s">
        <v>203</v>
      </c>
      <c r="D338" s="100">
        <f>(37.38)*10.764</f>
        <v>402.35831999999999</v>
      </c>
      <c r="E338" s="100">
        <f>(3.18*1.5)*10.764</f>
        <v>51.344280000000005</v>
      </c>
      <c r="F338" s="100">
        <f>D338+E338</f>
        <v>453.70260000000002</v>
      </c>
      <c r="G338" s="100">
        <v>0</v>
      </c>
      <c r="H338" s="100">
        <f t="shared" ref="H338:H340" si="73">F338*(($H$309)+1)+(IF(G338&lt;101,G338,IF(G338&lt;201,G338/2,IF(G338&lt;=301,G338/3,G338/4))))</f>
        <v>680.5539</v>
      </c>
      <c r="I338" s="31"/>
      <c r="N338" s="31"/>
    </row>
    <row r="339" spans="1:14" s="2" customFormat="1" x14ac:dyDescent="0.35">
      <c r="A339" s="220">
        <f>A338+1</f>
        <v>5</v>
      </c>
      <c r="B339" s="222"/>
      <c r="C339" s="100" t="s">
        <v>204</v>
      </c>
      <c r="D339" s="100">
        <f>(61.76)*10.764</f>
        <v>664.78463999999997</v>
      </c>
      <c r="E339" s="100">
        <v>0</v>
      </c>
      <c r="F339" s="100">
        <f>D339+E339</f>
        <v>664.78463999999997</v>
      </c>
      <c r="G339" s="100">
        <v>0</v>
      </c>
      <c r="H339" s="100">
        <f t="shared" si="73"/>
        <v>997.17696000000001</v>
      </c>
      <c r="I339" s="31"/>
      <c r="J339" s="101"/>
      <c r="N339" s="31"/>
    </row>
    <row r="340" spans="1:14" s="2" customFormat="1" x14ac:dyDescent="0.35">
      <c r="A340" s="220">
        <f>A339+1</f>
        <v>6</v>
      </c>
      <c r="B340" s="222"/>
      <c r="C340" s="100" t="s">
        <v>204</v>
      </c>
      <c r="D340" s="100">
        <f>(61.76)*10.764</f>
        <v>664.78463999999997</v>
      </c>
      <c r="E340" s="100">
        <v>0</v>
      </c>
      <c r="F340" s="100">
        <f>D340+E340</f>
        <v>664.78463999999997</v>
      </c>
      <c r="G340" s="100">
        <v>0</v>
      </c>
      <c r="H340" s="100">
        <f t="shared" si="73"/>
        <v>997.17696000000001</v>
      </c>
      <c r="I340" s="31"/>
      <c r="N340" s="31"/>
    </row>
    <row r="341" spans="1:14" s="2" customFormat="1" x14ac:dyDescent="0.35">
      <c r="A341" s="227" t="s">
        <v>321</v>
      </c>
      <c r="B341" s="227"/>
      <c r="C341" s="227"/>
      <c r="D341" s="227"/>
      <c r="E341" s="227"/>
      <c r="F341" s="227"/>
      <c r="G341" s="227"/>
      <c r="H341" s="227"/>
      <c r="I341" s="31"/>
      <c r="L341" s="223"/>
      <c r="M341" s="223"/>
    </row>
    <row r="342" spans="1:14" s="2" customFormat="1" x14ac:dyDescent="0.35">
      <c r="A342" s="220">
        <v>4</v>
      </c>
      <c r="B342" s="222"/>
      <c r="C342" s="100" t="s">
        <v>203</v>
      </c>
      <c r="D342" s="100">
        <f>(37.38)*10.764</f>
        <v>402.35831999999999</v>
      </c>
      <c r="E342" s="100">
        <f>(3.18*1.5)*10.764</f>
        <v>51.344280000000005</v>
      </c>
      <c r="F342" s="100">
        <f>D342+E342</f>
        <v>453.70260000000002</v>
      </c>
      <c r="G342" s="100">
        <v>0</v>
      </c>
      <c r="H342" s="100">
        <f t="shared" ref="H342:H344" si="74">F342*(($H$309)+1)+(IF(G342&lt;101,G342,IF(G342&lt;201,G342/2,IF(G342&lt;=301,G342/3,G342/4))))</f>
        <v>680.5539</v>
      </c>
      <c r="I342" s="31"/>
      <c r="N342" s="31"/>
    </row>
    <row r="343" spans="1:14" s="2" customFormat="1" x14ac:dyDescent="0.35">
      <c r="A343" s="220">
        <f>A342+1</f>
        <v>5</v>
      </c>
      <c r="B343" s="222"/>
      <c r="C343" s="100" t="s">
        <v>204</v>
      </c>
      <c r="D343" s="100">
        <f>(61.76)*10.764</f>
        <v>664.78463999999997</v>
      </c>
      <c r="E343" s="100">
        <v>0</v>
      </c>
      <c r="F343" s="100">
        <f>D343+E343</f>
        <v>664.78463999999997</v>
      </c>
      <c r="G343" s="100">
        <v>0</v>
      </c>
      <c r="H343" s="100">
        <f t="shared" si="74"/>
        <v>997.17696000000001</v>
      </c>
      <c r="I343" s="31"/>
      <c r="J343" s="101"/>
      <c r="N343" s="31"/>
    </row>
    <row r="344" spans="1:14" s="2" customFormat="1" x14ac:dyDescent="0.35">
      <c r="A344" s="220">
        <f>A343+1</f>
        <v>6</v>
      </c>
      <c r="B344" s="222"/>
      <c r="C344" s="100" t="s">
        <v>204</v>
      </c>
      <c r="D344" s="100">
        <f>(61.76)*10.764</f>
        <v>664.78463999999997</v>
      </c>
      <c r="E344" s="100">
        <v>0</v>
      </c>
      <c r="F344" s="100">
        <f>D344+E344</f>
        <v>664.78463999999997</v>
      </c>
      <c r="G344" s="100">
        <v>0</v>
      </c>
      <c r="H344" s="100">
        <f t="shared" si="74"/>
        <v>997.17696000000001</v>
      </c>
      <c r="I344" s="31"/>
      <c r="N344" s="31"/>
    </row>
    <row r="345" spans="1:14" s="59" customFormat="1" x14ac:dyDescent="0.35">
      <c r="A345" s="202" t="s">
        <v>84</v>
      </c>
      <c r="B345" s="202"/>
      <c r="C345" s="202"/>
      <c r="D345" s="202"/>
      <c r="E345" s="202"/>
      <c r="F345" s="202"/>
      <c r="G345" s="202"/>
      <c r="H345" s="202"/>
    </row>
    <row r="346" spans="1:14" s="65" customFormat="1" ht="261" customHeight="1" x14ac:dyDescent="0.35">
      <c r="A346" s="203" t="s">
        <v>346</v>
      </c>
      <c r="B346" s="203"/>
      <c r="C346" s="203"/>
      <c r="D346" s="203"/>
      <c r="E346" s="203"/>
      <c r="F346" s="203"/>
      <c r="G346" s="203"/>
      <c r="H346" s="203"/>
    </row>
    <row r="347" spans="1:14" x14ac:dyDescent="0.35">
      <c r="A347" s="204" t="s">
        <v>75</v>
      </c>
      <c r="B347" s="204"/>
      <c r="C347" s="204"/>
      <c r="D347" s="204"/>
      <c r="E347" s="204"/>
      <c r="F347" s="204"/>
      <c r="G347" s="204"/>
      <c r="H347" s="204"/>
    </row>
    <row r="348" spans="1:14" x14ac:dyDescent="0.35">
      <c r="A348" s="107" t="s">
        <v>76</v>
      </c>
      <c r="B348" s="107"/>
      <c r="C348" s="107"/>
      <c r="D348" s="107"/>
      <c r="E348" s="107"/>
      <c r="F348" s="107"/>
      <c r="G348" s="107"/>
      <c r="H348" s="107"/>
    </row>
    <row r="349" spans="1:14" ht="15.75" customHeight="1" x14ac:dyDescent="0.35">
      <c r="A349" s="204" t="s">
        <v>77</v>
      </c>
      <c r="B349" s="204"/>
      <c r="C349" s="204"/>
      <c r="D349" s="204"/>
      <c r="E349" s="204"/>
      <c r="F349" s="204"/>
      <c r="G349" s="204"/>
      <c r="H349" s="204"/>
    </row>
    <row r="350" spans="1:14" x14ac:dyDescent="0.35">
      <c r="A350" s="107" t="s">
        <v>78</v>
      </c>
      <c r="B350" s="107"/>
      <c r="C350" s="107"/>
      <c r="D350" s="107"/>
      <c r="E350" s="107"/>
      <c r="F350" s="107"/>
      <c r="G350" s="107"/>
      <c r="H350" s="107"/>
    </row>
    <row r="351" spans="1:14" x14ac:dyDescent="0.35">
      <c r="A351" s="107" t="s">
        <v>79</v>
      </c>
      <c r="B351" s="107"/>
      <c r="C351" s="107"/>
      <c r="D351" s="107"/>
      <c r="E351" s="107"/>
      <c r="F351" s="107"/>
      <c r="G351" s="107"/>
      <c r="H351" s="107"/>
    </row>
    <row r="352" spans="1:14" x14ac:dyDescent="0.35">
      <c r="A352" s="107" t="s">
        <v>80</v>
      </c>
      <c r="B352" s="107"/>
      <c r="C352" s="107"/>
      <c r="D352" s="107"/>
      <c r="E352" s="107"/>
      <c r="F352" s="107"/>
      <c r="G352" s="107"/>
      <c r="H352" s="107"/>
    </row>
    <row r="353" spans="1:8" ht="35.25" customHeight="1" x14ac:dyDescent="0.35">
      <c r="A353" s="118" t="s">
        <v>81</v>
      </c>
      <c r="B353" s="118"/>
      <c r="C353" s="118"/>
      <c r="D353" s="118"/>
      <c r="E353" s="118"/>
      <c r="F353" s="118"/>
      <c r="G353" s="118"/>
      <c r="H353" s="118"/>
    </row>
    <row r="354" spans="1:8" x14ac:dyDescent="0.35">
      <c r="A354" s="201" t="s">
        <v>117</v>
      </c>
      <c r="B354" s="201"/>
      <c r="C354" s="201" t="s">
        <v>345</v>
      </c>
      <c r="D354" s="201"/>
      <c r="E354" s="201" t="s">
        <v>160</v>
      </c>
      <c r="F354" s="201"/>
      <c r="G354" s="201" t="s">
        <v>344</v>
      </c>
      <c r="H354" s="201"/>
    </row>
    <row r="355" spans="1:8" x14ac:dyDescent="0.35">
      <c r="A355" s="198" t="s">
        <v>120</v>
      </c>
      <c r="B355" s="198"/>
      <c r="C355" s="198"/>
      <c r="D355" s="198"/>
      <c r="E355" s="198"/>
      <c r="F355" s="198"/>
      <c r="G355" s="198"/>
      <c r="H355" s="198"/>
    </row>
    <row r="356" spans="1:8" x14ac:dyDescent="0.35">
      <c r="A356" s="198"/>
      <c r="B356" s="198"/>
      <c r="C356" s="198"/>
      <c r="D356" s="198"/>
      <c r="E356" s="198"/>
      <c r="F356" s="198"/>
      <c r="G356" s="198"/>
      <c r="H356" s="198"/>
    </row>
    <row r="357" spans="1:8" x14ac:dyDescent="0.35">
      <c r="A357" s="198"/>
      <c r="B357" s="198"/>
      <c r="C357" s="198"/>
      <c r="D357" s="198"/>
      <c r="E357" s="198"/>
      <c r="F357" s="198"/>
      <c r="G357" s="198"/>
      <c r="H357" s="198"/>
    </row>
    <row r="358" spans="1:8" x14ac:dyDescent="0.35">
      <c r="A358" s="198"/>
      <c r="B358" s="198"/>
      <c r="C358" s="198"/>
      <c r="D358" s="198"/>
      <c r="E358" s="198"/>
      <c r="F358" s="198"/>
      <c r="G358" s="198"/>
      <c r="H358" s="198"/>
    </row>
    <row r="359" spans="1:8" x14ac:dyDescent="0.35">
      <c r="A359" s="109" t="s">
        <v>276</v>
      </c>
      <c r="B359" s="109"/>
      <c r="C359" s="109"/>
      <c r="D359" s="109"/>
      <c r="E359" s="109"/>
      <c r="F359" s="109"/>
      <c r="G359" s="109"/>
      <c r="H359" s="109"/>
    </row>
    <row r="360" spans="1:8" x14ac:dyDescent="0.35">
      <c r="A360" s="67"/>
      <c r="B360" s="67"/>
      <c r="C360" s="67"/>
      <c r="D360" s="67"/>
      <c r="E360" s="67"/>
      <c r="F360" s="67"/>
      <c r="G360" s="67"/>
      <c r="H360" s="67"/>
    </row>
    <row r="361" spans="1:8" x14ac:dyDescent="0.35">
      <c r="A361" s="67"/>
      <c r="B361" s="67"/>
      <c r="C361" s="67"/>
      <c r="D361" s="67"/>
      <c r="E361" s="67"/>
      <c r="F361" s="67"/>
      <c r="G361" s="67"/>
      <c r="H361" s="67"/>
    </row>
    <row r="362" spans="1:8" ht="15" customHeight="1" x14ac:dyDescent="0.35"/>
    <row r="402" spans="1:1" x14ac:dyDescent="0.35">
      <c r="A402" s="97" t="s">
        <v>339</v>
      </c>
    </row>
    <row r="445" spans="1:1" x14ac:dyDescent="0.35">
      <c r="A445" s="97" t="s">
        <v>83</v>
      </c>
    </row>
    <row r="452" spans="13:13" x14ac:dyDescent="0.35">
      <c r="M452" s="11" t="s">
        <v>340</v>
      </c>
    </row>
  </sheetData>
  <mergeCells count="686">
    <mergeCell ref="A94:B94"/>
    <mergeCell ref="C94:H94"/>
    <mergeCell ref="A95:B95"/>
    <mergeCell ref="E95:F95"/>
    <mergeCell ref="G95:H95"/>
    <mergeCell ref="A96:B96"/>
    <mergeCell ref="E96:F105"/>
    <mergeCell ref="G96:H105"/>
    <mergeCell ref="A97:B97"/>
    <mergeCell ref="A98:B98"/>
    <mergeCell ref="A99:B99"/>
    <mergeCell ref="A100:B100"/>
    <mergeCell ref="A101:B101"/>
    <mergeCell ref="A102:B102"/>
    <mergeCell ref="A103:B103"/>
    <mergeCell ref="A104:B104"/>
    <mergeCell ref="A105:B105"/>
    <mergeCell ref="A51:B51"/>
    <mergeCell ref="C51:E51"/>
    <mergeCell ref="G51:H51"/>
    <mergeCell ref="A63:C63"/>
    <mergeCell ref="D63:H63"/>
    <mergeCell ref="A62:C62"/>
    <mergeCell ref="D62:H62"/>
    <mergeCell ref="A92:B92"/>
    <mergeCell ref="C92:H92"/>
    <mergeCell ref="A78:B78"/>
    <mergeCell ref="C78:H78"/>
    <mergeCell ref="A60:C60"/>
    <mergeCell ref="D60:H60"/>
    <mergeCell ref="A64:B64"/>
    <mergeCell ref="C64:H64"/>
    <mergeCell ref="A66:B66"/>
    <mergeCell ref="C66:H66"/>
    <mergeCell ref="A67:B67"/>
    <mergeCell ref="E67:F67"/>
    <mergeCell ref="G67:H67"/>
    <mergeCell ref="A76:B76"/>
    <mergeCell ref="A77:B77"/>
    <mergeCell ref="E68:F77"/>
    <mergeCell ref="G68:H77"/>
    <mergeCell ref="L337:M337"/>
    <mergeCell ref="A338:B338"/>
    <mergeCell ref="A339:B339"/>
    <mergeCell ref="A340:B340"/>
    <mergeCell ref="A341:H341"/>
    <mergeCell ref="L341:M341"/>
    <mergeCell ref="A342:B342"/>
    <mergeCell ref="A343:B343"/>
    <mergeCell ref="A344:B344"/>
    <mergeCell ref="A337:H337"/>
    <mergeCell ref="L325:M325"/>
    <mergeCell ref="A327:B327"/>
    <mergeCell ref="A328:B328"/>
    <mergeCell ref="A329:H329"/>
    <mergeCell ref="L329:M329"/>
    <mergeCell ref="A330:B330"/>
    <mergeCell ref="A331:B331"/>
    <mergeCell ref="A332:B332"/>
    <mergeCell ref="A333:H333"/>
    <mergeCell ref="L333:M333"/>
    <mergeCell ref="A306:B306"/>
    <mergeCell ref="L306:M306"/>
    <mergeCell ref="A301:B301"/>
    <mergeCell ref="L301:M301"/>
    <mergeCell ref="A302:B302"/>
    <mergeCell ref="L302:M302"/>
    <mergeCell ref="A303:B303"/>
    <mergeCell ref="L303:M303"/>
    <mergeCell ref="A304:B304"/>
    <mergeCell ref="L304:M304"/>
    <mergeCell ref="A305:B305"/>
    <mergeCell ref="L305:M305"/>
    <mergeCell ref="A296:B296"/>
    <mergeCell ref="L296:M296"/>
    <mergeCell ref="A297:B297"/>
    <mergeCell ref="L297:M297"/>
    <mergeCell ref="I289:O291"/>
    <mergeCell ref="A298:H298"/>
    <mergeCell ref="A299:B299"/>
    <mergeCell ref="A300:B300"/>
    <mergeCell ref="A291:B291"/>
    <mergeCell ref="A292:B292"/>
    <mergeCell ref="L292:M292"/>
    <mergeCell ref="A293:B293"/>
    <mergeCell ref="L293:M293"/>
    <mergeCell ref="A294:B294"/>
    <mergeCell ref="L294:M294"/>
    <mergeCell ref="A295:B295"/>
    <mergeCell ref="L295:M295"/>
    <mergeCell ref="A286:B286"/>
    <mergeCell ref="L286:M286"/>
    <mergeCell ref="A287:B287"/>
    <mergeCell ref="L287:M287"/>
    <mergeCell ref="A288:B288"/>
    <mergeCell ref="L288:M288"/>
    <mergeCell ref="C287:H288"/>
    <mergeCell ref="A289:H289"/>
    <mergeCell ref="A290:B290"/>
    <mergeCell ref="A281:B281"/>
    <mergeCell ref="L281:M281"/>
    <mergeCell ref="A282:B282"/>
    <mergeCell ref="L282:M282"/>
    <mergeCell ref="A283:B283"/>
    <mergeCell ref="L283:M283"/>
    <mergeCell ref="A284:B284"/>
    <mergeCell ref="L284:M284"/>
    <mergeCell ref="A285:B285"/>
    <mergeCell ref="L285:M285"/>
    <mergeCell ref="A276:B276"/>
    <mergeCell ref="L276:M276"/>
    <mergeCell ref="A277:B277"/>
    <mergeCell ref="L277:M277"/>
    <mergeCell ref="A278:B278"/>
    <mergeCell ref="L278:M278"/>
    <mergeCell ref="A279:B279"/>
    <mergeCell ref="L279:M279"/>
    <mergeCell ref="A280:H280"/>
    <mergeCell ref="A271:H271"/>
    <mergeCell ref="A272:B272"/>
    <mergeCell ref="L272:M272"/>
    <mergeCell ref="A273:B273"/>
    <mergeCell ref="L273:M273"/>
    <mergeCell ref="A274:B274"/>
    <mergeCell ref="L274:M274"/>
    <mergeCell ref="A275:B275"/>
    <mergeCell ref="L275:M275"/>
    <mergeCell ref="A266:B266"/>
    <mergeCell ref="L266:M266"/>
    <mergeCell ref="A267:B267"/>
    <mergeCell ref="L267:M267"/>
    <mergeCell ref="A268:B268"/>
    <mergeCell ref="L268:M268"/>
    <mergeCell ref="A269:B269"/>
    <mergeCell ref="L269:M269"/>
    <mergeCell ref="A270:B270"/>
    <mergeCell ref="L270:M270"/>
    <mergeCell ref="A261:B261"/>
    <mergeCell ref="L261:M261"/>
    <mergeCell ref="A262:H262"/>
    <mergeCell ref="A263:B263"/>
    <mergeCell ref="L263:M263"/>
    <mergeCell ref="A264:B264"/>
    <mergeCell ref="L264:M264"/>
    <mergeCell ref="A265:B265"/>
    <mergeCell ref="L265:M265"/>
    <mergeCell ref="A239:H239"/>
    <mergeCell ref="A240:B240"/>
    <mergeCell ref="L240:M240"/>
    <mergeCell ref="A241:B241"/>
    <mergeCell ref="L241:M241"/>
    <mergeCell ref="A242:B242"/>
    <mergeCell ref="L242:M242"/>
    <mergeCell ref="A244:H244"/>
    <mergeCell ref="A236:B236"/>
    <mergeCell ref="L236:M236"/>
    <mergeCell ref="A237:B237"/>
    <mergeCell ref="L237:M237"/>
    <mergeCell ref="A238:B238"/>
    <mergeCell ref="L238:M238"/>
    <mergeCell ref="C240:H240"/>
    <mergeCell ref="C241:H242"/>
    <mergeCell ref="A245:B245"/>
    <mergeCell ref="L245:M245"/>
    <mergeCell ref="A246:B246"/>
    <mergeCell ref="L246:M246"/>
    <mergeCell ref="A247:B247"/>
    <mergeCell ref="L247:M247"/>
    <mergeCell ref="A243:H243"/>
    <mergeCell ref="A248:B248"/>
    <mergeCell ref="L248:M248"/>
    <mergeCell ref="A322:B322"/>
    <mergeCell ref="A323:B323"/>
    <mergeCell ref="A324:B324"/>
    <mergeCell ref="A326:B326"/>
    <mergeCell ref="A325:H325"/>
    <mergeCell ref="A334:B334"/>
    <mergeCell ref="A335:B335"/>
    <mergeCell ref="A336:B336"/>
    <mergeCell ref="C336:H336"/>
    <mergeCell ref="L314:M314"/>
    <mergeCell ref="A315:B315"/>
    <mergeCell ref="L315:M315"/>
    <mergeCell ref="A316:B316"/>
    <mergeCell ref="L316:M316"/>
    <mergeCell ref="A321:H321"/>
    <mergeCell ref="L321:M321"/>
    <mergeCell ref="A317:H317"/>
    <mergeCell ref="A318:B318"/>
    <mergeCell ref="L318:M318"/>
    <mergeCell ref="A319:B319"/>
    <mergeCell ref="L319:M319"/>
    <mergeCell ref="A320:B320"/>
    <mergeCell ref="L320:M320"/>
    <mergeCell ref="A308:A309"/>
    <mergeCell ref="B308:B309"/>
    <mergeCell ref="C308:C309"/>
    <mergeCell ref="D308:D309"/>
    <mergeCell ref="E308:E309"/>
    <mergeCell ref="F308:F309"/>
    <mergeCell ref="G308:G309"/>
    <mergeCell ref="A313:H313"/>
    <mergeCell ref="A314:B314"/>
    <mergeCell ref="A310:H310"/>
    <mergeCell ref="A311:H311"/>
    <mergeCell ref="A312:H312"/>
    <mergeCell ref="A307:H307"/>
    <mergeCell ref="A249:B249"/>
    <mergeCell ref="L249:M249"/>
    <mergeCell ref="A250:B250"/>
    <mergeCell ref="L250:M250"/>
    <mergeCell ref="A251:B251"/>
    <mergeCell ref="L251:M251"/>
    <mergeCell ref="A252:B252"/>
    <mergeCell ref="L252:M252"/>
    <mergeCell ref="A253:H253"/>
    <mergeCell ref="A254:B254"/>
    <mergeCell ref="L254:M254"/>
    <mergeCell ref="A255:B255"/>
    <mergeCell ref="L255:M255"/>
    <mergeCell ref="A256:B256"/>
    <mergeCell ref="L256:M256"/>
    <mergeCell ref="A257:B257"/>
    <mergeCell ref="L257:M257"/>
    <mergeCell ref="A258:B258"/>
    <mergeCell ref="L258:M258"/>
    <mergeCell ref="A259:B259"/>
    <mergeCell ref="L259:M259"/>
    <mergeCell ref="A260:B260"/>
    <mergeCell ref="L260:M260"/>
    <mergeCell ref="A231:H231"/>
    <mergeCell ref="A232:A233"/>
    <mergeCell ref="B232:B233"/>
    <mergeCell ref="C232:C233"/>
    <mergeCell ref="D232:D233"/>
    <mergeCell ref="E232:E233"/>
    <mergeCell ref="F232:F233"/>
    <mergeCell ref="G232:G233"/>
    <mergeCell ref="A235:H235"/>
    <mergeCell ref="A234:H234"/>
    <mergeCell ref="A229:B229"/>
    <mergeCell ref="C229:D229"/>
    <mergeCell ref="E229:F229"/>
    <mergeCell ref="G229:H229"/>
    <mergeCell ref="A230:H230"/>
    <mergeCell ref="A227:B227"/>
    <mergeCell ref="C227:D227"/>
    <mergeCell ref="E227:F227"/>
    <mergeCell ref="G227:H227"/>
    <mergeCell ref="A228:B228"/>
    <mergeCell ref="C228:D228"/>
    <mergeCell ref="E228:F228"/>
    <mergeCell ref="G228:H228"/>
    <mergeCell ref="A224:B224"/>
    <mergeCell ref="C224:D224"/>
    <mergeCell ref="E224:F224"/>
    <mergeCell ref="G224:H224"/>
    <mergeCell ref="A225:B225"/>
    <mergeCell ref="C225:D225"/>
    <mergeCell ref="E225:F225"/>
    <mergeCell ref="G225:H225"/>
    <mergeCell ref="A226:H226"/>
    <mergeCell ref="A221:H221"/>
    <mergeCell ref="A222:B222"/>
    <mergeCell ref="C222:D222"/>
    <mergeCell ref="E222:F222"/>
    <mergeCell ref="G222:H222"/>
    <mergeCell ref="A223:B223"/>
    <mergeCell ref="C223:D223"/>
    <mergeCell ref="E223:F223"/>
    <mergeCell ref="G223:H223"/>
    <mergeCell ref="A61:C61"/>
    <mergeCell ref="D61:H61"/>
    <mergeCell ref="A58:C58"/>
    <mergeCell ref="D58:H58"/>
    <mergeCell ref="A59:C59"/>
    <mergeCell ref="D59:H59"/>
    <mergeCell ref="A68:B68"/>
    <mergeCell ref="S190:T190"/>
    <mergeCell ref="A217:H217"/>
    <mergeCell ref="S217:T217"/>
    <mergeCell ref="A199:B199"/>
    <mergeCell ref="S199:T199"/>
    <mergeCell ref="A200:B200"/>
    <mergeCell ref="S200:T200"/>
    <mergeCell ref="A194:H194"/>
    <mergeCell ref="A195:H195"/>
    <mergeCell ref="A196:H196"/>
    <mergeCell ref="A197:H197"/>
    <mergeCell ref="S197:T197"/>
    <mergeCell ref="A198:B198"/>
    <mergeCell ref="S198:T198"/>
    <mergeCell ref="A192:A193"/>
    <mergeCell ref="B192:B193"/>
    <mergeCell ref="C192:C193"/>
    <mergeCell ref="A218:B218"/>
    <mergeCell ref="S218:T218"/>
    <mergeCell ref="S206:T206"/>
    <mergeCell ref="A207:B207"/>
    <mergeCell ref="S207:T207"/>
    <mergeCell ref="A201:H201"/>
    <mergeCell ref="S201:T201"/>
    <mergeCell ref="A202:B202"/>
    <mergeCell ref="S202:T202"/>
    <mergeCell ref="A203:B203"/>
    <mergeCell ref="S203:T203"/>
    <mergeCell ref="A204:B204"/>
    <mergeCell ref="A219:B219"/>
    <mergeCell ref="S219:T219"/>
    <mergeCell ref="G198:H200"/>
    <mergeCell ref="G202:H204"/>
    <mergeCell ref="G210:H212"/>
    <mergeCell ref="G218:H220"/>
    <mergeCell ref="S213:T213"/>
    <mergeCell ref="S214:T214"/>
    <mergeCell ref="S215:T215"/>
    <mergeCell ref="S216:T216"/>
    <mergeCell ref="S220:T220"/>
    <mergeCell ref="S211:T211"/>
    <mergeCell ref="S212:T212"/>
    <mergeCell ref="A208:B208"/>
    <mergeCell ref="S208:T208"/>
    <mergeCell ref="A209:H209"/>
    <mergeCell ref="S209:T209"/>
    <mergeCell ref="A210:B210"/>
    <mergeCell ref="S210:T210"/>
    <mergeCell ref="S204:T204"/>
    <mergeCell ref="A205:H205"/>
    <mergeCell ref="S205:T205"/>
    <mergeCell ref="A206:B206"/>
    <mergeCell ref="G206:H208"/>
    <mergeCell ref="A355:H358"/>
    <mergeCell ref="A91:B91"/>
    <mergeCell ref="A351:H351"/>
    <mergeCell ref="A352:H352"/>
    <mergeCell ref="A353:H353"/>
    <mergeCell ref="A354:B354"/>
    <mergeCell ref="C354:D354"/>
    <mergeCell ref="E354:F354"/>
    <mergeCell ref="G354:H354"/>
    <mergeCell ref="A345:H345"/>
    <mergeCell ref="A346:H346"/>
    <mergeCell ref="A347:H347"/>
    <mergeCell ref="A348:H348"/>
    <mergeCell ref="A349:H349"/>
    <mergeCell ref="A350:H350"/>
    <mergeCell ref="A213:H213"/>
    <mergeCell ref="A214:B214"/>
    <mergeCell ref="G214:H216"/>
    <mergeCell ref="A215:B215"/>
    <mergeCell ref="A216:B216"/>
    <mergeCell ref="C216:F216"/>
    <mergeCell ref="A220:B220"/>
    <mergeCell ref="A211:B211"/>
    <mergeCell ref="A212:B212"/>
    <mergeCell ref="D192:D193"/>
    <mergeCell ref="E192:E193"/>
    <mergeCell ref="G192:H193"/>
    <mergeCell ref="A182:H182"/>
    <mergeCell ref="S182:T182"/>
    <mergeCell ref="A183:B183"/>
    <mergeCell ref="G183:H190"/>
    <mergeCell ref="S183:T183"/>
    <mergeCell ref="A184:B184"/>
    <mergeCell ref="S184:T184"/>
    <mergeCell ref="A185:B185"/>
    <mergeCell ref="S185:T185"/>
    <mergeCell ref="A186:B186"/>
    <mergeCell ref="S186:T186"/>
    <mergeCell ref="A187:B187"/>
    <mergeCell ref="S187:T187"/>
    <mergeCell ref="A188:B188"/>
    <mergeCell ref="S188:T188"/>
    <mergeCell ref="A189:B189"/>
    <mergeCell ref="S189:T189"/>
    <mergeCell ref="A190:B190"/>
    <mergeCell ref="S177:T177"/>
    <mergeCell ref="A178:B178"/>
    <mergeCell ref="S178:T178"/>
    <mergeCell ref="A179:B179"/>
    <mergeCell ref="S179:T179"/>
    <mergeCell ref="A180:B180"/>
    <mergeCell ref="S180:T180"/>
    <mergeCell ref="A173:H173"/>
    <mergeCell ref="S173:T173"/>
    <mergeCell ref="A174:B174"/>
    <mergeCell ref="G174:H181"/>
    <mergeCell ref="S174:T174"/>
    <mergeCell ref="A175:B175"/>
    <mergeCell ref="S175:T175"/>
    <mergeCell ref="A176:B176"/>
    <mergeCell ref="S176:T176"/>
    <mergeCell ref="A177:B177"/>
    <mergeCell ref="A181:B181"/>
    <mergeCell ref="S181:T181"/>
    <mergeCell ref="A171:B171"/>
    <mergeCell ref="S171:T171"/>
    <mergeCell ref="A172:B172"/>
    <mergeCell ref="S172:T172"/>
    <mergeCell ref="A169:B169"/>
    <mergeCell ref="S169:T169"/>
    <mergeCell ref="A170:B170"/>
    <mergeCell ref="S170:T170"/>
    <mergeCell ref="G165:H172"/>
    <mergeCell ref="A167:B167"/>
    <mergeCell ref="S167:T167"/>
    <mergeCell ref="A168:B168"/>
    <mergeCell ref="S168:T168"/>
    <mergeCell ref="A164:H164"/>
    <mergeCell ref="S164:T164"/>
    <mergeCell ref="A165:B165"/>
    <mergeCell ref="S165:T165"/>
    <mergeCell ref="A166:B166"/>
    <mergeCell ref="S166:T166"/>
    <mergeCell ref="A162:B162"/>
    <mergeCell ref="S162:T162"/>
    <mergeCell ref="A163:B163"/>
    <mergeCell ref="S163:T163"/>
    <mergeCell ref="A160:B160"/>
    <mergeCell ref="S160:T160"/>
    <mergeCell ref="A161:B161"/>
    <mergeCell ref="S161:T161"/>
    <mergeCell ref="G156:H163"/>
    <mergeCell ref="A158:B158"/>
    <mergeCell ref="S158:T158"/>
    <mergeCell ref="A159:B159"/>
    <mergeCell ref="S159:T159"/>
    <mergeCell ref="A155:H155"/>
    <mergeCell ref="S155:T155"/>
    <mergeCell ref="A156:B156"/>
    <mergeCell ref="S156:T156"/>
    <mergeCell ref="A157:B157"/>
    <mergeCell ref="S157:T157"/>
    <mergeCell ref="A153:B153"/>
    <mergeCell ref="S153:T153"/>
    <mergeCell ref="A154:B154"/>
    <mergeCell ref="S154:T154"/>
    <mergeCell ref="A151:B151"/>
    <mergeCell ref="S151:T151"/>
    <mergeCell ref="A152:B152"/>
    <mergeCell ref="S152:T152"/>
    <mergeCell ref="G147:H154"/>
    <mergeCell ref="A149:B149"/>
    <mergeCell ref="S149:T149"/>
    <mergeCell ref="A150:B150"/>
    <mergeCell ref="S150:T150"/>
    <mergeCell ref="A146:H146"/>
    <mergeCell ref="S146:T146"/>
    <mergeCell ref="A147:B147"/>
    <mergeCell ref="S147:T147"/>
    <mergeCell ref="A148:B148"/>
    <mergeCell ref="S148:T148"/>
    <mergeCell ref="A144:B144"/>
    <mergeCell ref="S144:T144"/>
    <mergeCell ref="A145:B145"/>
    <mergeCell ref="S145:T145"/>
    <mergeCell ref="A142:B142"/>
    <mergeCell ref="S142:T142"/>
    <mergeCell ref="A143:B143"/>
    <mergeCell ref="S143:T143"/>
    <mergeCell ref="G140:H145"/>
    <mergeCell ref="A139:H139"/>
    <mergeCell ref="S139:T139"/>
    <mergeCell ref="A140:B140"/>
    <mergeCell ref="S140:T140"/>
    <mergeCell ref="A141:B141"/>
    <mergeCell ref="S141:T141"/>
    <mergeCell ref="A128:H128"/>
    <mergeCell ref="A138:B138"/>
    <mergeCell ref="S138:T138"/>
    <mergeCell ref="G137:H138"/>
    <mergeCell ref="A131:H131"/>
    <mergeCell ref="A133:B133"/>
    <mergeCell ref="S133:T133"/>
    <mergeCell ref="A134:B134"/>
    <mergeCell ref="S134:T134"/>
    <mergeCell ref="A132:H132"/>
    <mergeCell ref="G133:H134"/>
    <mergeCell ref="A136:H136"/>
    <mergeCell ref="A137:B137"/>
    <mergeCell ref="S137:T137"/>
    <mergeCell ref="A129:A130"/>
    <mergeCell ref="B129:B130"/>
    <mergeCell ref="C129:C130"/>
    <mergeCell ref="D129:D130"/>
    <mergeCell ref="E129:E130"/>
    <mergeCell ref="G129:H130"/>
    <mergeCell ref="A135:B135"/>
    <mergeCell ref="S135:T135"/>
    <mergeCell ref="A122:B122"/>
    <mergeCell ref="C122:D122"/>
    <mergeCell ref="E122:F122"/>
    <mergeCell ref="G122:H122"/>
    <mergeCell ref="A126:B126"/>
    <mergeCell ref="C126:D126"/>
    <mergeCell ref="E126:F126"/>
    <mergeCell ref="G126:H126"/>
    <mergeCell ref="A127:H127"/>
    <mergeCell ref="A123:B123"/>
    <mergeCell ref="C123:D123"/>
    <mergeCell ref="E123:F123"/>
    <mergeCell ref="G123:H123"/>
    <mergeCell ref="A124:H124"/>
    <mergeCell ref="A125:B125"/>
    <mergeCell ref="C125:D125"/>
    <mergeCell ref="E125:F125"/>
    <mergeCell ref="G125:H125"/>
    <mergeCell ref="A119:E119"/>
    <mergeCell ref="F119:H119"/>
    <mergeCell ref="A120:H120"/>
    <mergeCell ref="A121:B121"/>
    <mergeCell ref="C121:D121"/>
    <mergeCell ref="E121:F121"/>
    <mergeCell ref="G121:H121"/>
    <mergeCell ref="A116:E116"/>
    <mergeCell ref="F116:H116"/>
    <mergeCell ref="A117:E117"/>
    <mergeCell ref="F117:H117"/>
    <mergeCell ref="A118:E118"/>
    <mergeCell ref="F118:H118"/>
    <mergeCell ref="A113:E113"/>
    <mergeCell ref="F113:H113"/>
    <mergeCell ref="A114:E114"/>
    <mergeCell ref="F114:H114"/>
    <mergeCell ref="A115:E115"/>
    <mergeCell ref="F115:H115"/>
    <mergeCell ref="A111:E111"/>
    <mergeCell ref="F111:H111"/>
    <mergeCell ref="A112:E112"/>
    <mergeCell ref="F112:H112"/>
    <mergeCell ref="A108:E108"/>
    <mergeCell ref="F108:H108"/>
    <mergeCell ref="A109:E109"/>
    <mergeCell ref="F109:H109"/>
    <mergeCell ref="A110:E110"/>
    <mergeCell ref="F110:H110"/>
    <mergeCell ref="A106:B106"/>
    <mergeCell ref="C106:H106"/>
    <mergeCell ref="A107:E107"/>
    <mergeCell ref="F107:H107"/>
    <mergeCell ref="D53:H53"/>
    <mergeCell ref="A82:B82"/>
    <mergeCell ref="A83:B83"/>
    <mergeCell ref="A84:B84"/>
    <mergeCell ref="A85:B85"/>
    <mergeCell ref="A86:B86"/>
    <mergeCell ref="A87:B87"/>
    <mergeCell ref="A88:B88"/>
    <mergeCell ref="E82:F91"/>
    <mergeCell ref="G82:H91"/>
    <mergeCell ref="A89:B89"/>
    <mergeCell ref="A90:B90"/>
    <mergeCell ref="A80:B80"/>
    <mergeCell ref="C80:H80"/>
    <mergeCell ref="A81:B81"/>
    <mergeCell ref="E81:F81"/>
    <mergeCell ref="G81:H81"/>
    <mergeCell ref="A69:B69"/>
    <mergeCell ref="A70:B70"/>
    <mergeCell ref="A71:B71"/>
    <mergeCell ref="A72:B72"/>
    <mergeCell ref="A73:B73"/>
    <mergeCell ref="A74:B74"/>
    <mergeCell ref="A75:B75"/>
    <mergeCell ref="D57:H57"/>
    <mergeCell ref="A56:C57"/>
    <mergeCell ref="A48:B49"/>
    <mergeCell ref="C48:E48"/>
    <mergeCell ref="G48:H48"/>
    <mergeCell ref="C49:E49"/>
    <mergeCell ref="G49:H49"/>
    <mergeCell ref="A45:H45"/>
    <mergeCell ref="A46:B46"/>
    <mergeCell ref="C46:E46"/>
    <mergeCell ref="G46:H46"/>
    <mergeCell ref="A47:B47"/>
    <mergeCell ref="C47:E47"/>
    <mergeCell ref="G47:H47"/>
    <mergeCell ref="A54:C54"/>
    <mergeCell ref="D54:H54"/>
    <mergeCell ref="A55:C55"/>
    <mergeCell ref="D55:H55"/>
    <mergeCell ref="D56:H56"/>
    <mergeCell ref="A50:B50"/>
    <mergeCell ref="C50:E50"/>
    <mergeCell ref="G50:H50"/>
    <mergeCell ref="A52:H52"/>
    <mergeCell ref="A53:C53"/>
    <mergeCell ref="A42:D42"/>
    <mergeCell ref="E42:H42"/>
    <mergeCell ref="A43:D43"/>
    <mergeCell ref="E43:H43"/>
    <mergeCell ref="A44:D44"/>
    <mergeCell ref="E44:H44"/>
    <mergeCell ref="A39:D39"/>
    <mergeCell ref="E39:H39"/>
    <mergeCell ref="A40:D40"/>
    <mergeCell ref="E40:H40"/>
    <mergeCell ref="A41:D41"/>
    <mergeCell ref="E41:H41"/>
    <mergeCell ref="A35:H35"/>
    <mergeCell ref="A36:B36"/>
    <mergeCell ref="A38:H38"/>
    <mergeCell ref="A33:B33"/>
    <mergeCell ref="C33:E33"/>
    <mergeCell ref="F33:H33"/>
    <mergeCell ref="A34:B34"/>
    <mergeCell ref="C34:E34"/>
    <mergeCell ref="F34:H34"/>
    <mergeCell ref="C36:H36"/>
    <mergeCell ref="A37:B37"/>
    <mergeCell ref="C37:H37"/>
    <mergeCell ref="A31:B31"/>
    <mergeCell ref="C31:E31"/>
    <mergeCell ref="F31:H31"/>
    <mergeCell ref="A32:B32"/>
    <mergeCell ref="C32:E32"/>
    <mergeCell ref="F32:H32"/>
    <mergeCell ref="A28:D28"/>
    <mergeCell ref="E28:H28"/>
    <mergeCell ref="A29:D29"/>
    <mergeCell ref="E29:H29"/>
    <mergeCell ref="A30:B30"/>
    <mergeCell ref="C30:E30"/>
    <mergeCell ref="F30:H30"/>
    <mergeCell ref="A25:D25"/>
    <mergeCell ref="E25:H25"/>
    <mergeCell ref="A26:D26"/>
    <mergeCell ref="E26:H26"/>
    <mergeCell ref="A27:D27"/>
    <mergeCell ref="E27:H27"/>
    <mergeCell ref="A22:D22"/>
    <mergeCell ref="E22:H22"/>
    <mergeCell ref="A23:D23"/>
    <mergeCell ref="E23:H23"/>
    <mergeCell ref="A24:D24"/>
    <mergeCell ref="E24:H24"/>
    <mergeCell ref="A19:B19"/>
    <mergeCell ref="C19:D19"/>
    <mergeCell ref="E19:F19"/>
    <mergeCell ref="G19:H19"/>
    <mergeCell ref="A20:D21"/>
    <mergeCell ref="E20:H21"/>
    <mergeCell ref="A17:B17"/>
    <mergeCell ref="C17:D17"/>
    <mergeCell ref="E17:F17"/>
    <mergeCell ref="G17:H17"/>
    <mergeCell ref="A18:B18"/>
    <mergeCell ref="C18:D18"/>
    <mergeCell ref="E18:F18"/>
    <mergeCell ref="G18:H18"/>
    <mergeCell ref="C15:H15"/>
    <mergeCell ref="A16:B16"/>
    <mergeCell ref="C16:D16"/>
    <mergeCell ref="E16:F16"/>
    <mergeCell ref="G16:H16"/>
    <mergeCell ref="A12:D12"/>
    <mergeCell ref="E12:H12"/>
    <mergeCell ref="A13:D13"/>
    <mergeCell ref="E13:H13"/>
    <mergeCell ref="A14:B14"/>
    <mergeCell ref="C14:H14"/>
    <mergeCell ref="A9:D9"/>
    <mergeCell ref="E9:H9"/>
    <mergeCell ref="A359:H359"/>
    <mergeCell ref="S191:T191"/>
    <mergeCell ref="A191:H191"/>
    <mergeCell ref="A1:H1"/>
    <mergeCell ref="A2:H2"/>
    <mergeCell ref="A3:D3"/>
    <mergeCell ref="E3:H3"/>
    <mergeCell ref="A4:D4"/>
    <mergeCell ref="E4:H4"/>
    <mergeCell ref="A8:D8"/>
    <mergeCell ref="E8:H8"/>
    <mergeCell ref="A10:D10"/>
    <mergeCell ref="E10:H10"/>
    <mergeCell ref="A11:D11"/>
    <mergeCell ref="E11:H11"/>
    <mergeCell ref="A5:D5"/>
    <mergeCell ref="E5:H5"/>
    <mergeCell ref="A6:D6"/>
    <mergeCell ref="E6:H6"/>
    <mergeCell ref="A7:D7"/>
    <mergeCell ref="E7:H7"/>
    <mergeCell ref="A15:B15"/>
  </mergeCells>
  <dataValidations count="8">
    <dataValidation type="list" allowBlank="1" showInputMessage="1" showErrorMessage="1" sqref="D308:D309">
      <formula1>"Carpet Area,Carpet + Encl Balcony Area,RERA Carpet area"</formula1>
    </dataValidation>
    <dataValidation type="list" allowBlank="1" showInputMessage="1" showErrorMessage="1" sqref="D232:D233">
      <formula1>"Carpet area,RERA Carpet area"</formula1>
    </dataValidation>
    <dataValidation type="list" allowBlank="1" showInputMessage="1" showErrorMessage="1" sqref="H232 H308">
      <formula1>"Saleable area Loading :,Builder Saleable Area"</formula1>
    </dataValidation>
    <dataValidation type="list" allowBlank="1" showInputMessage="1" showErrorMessage="1" sqref="H233 H309">
      <formula1>".45,.50,.55,.60"</formula1>
    </dataValidation>
    <dataValidation type="list" allowBlank="1" showInputMessage="1" showErrorMessage="1" sqref="E308:E309">
      <formula1>"Fungible area,Balcony Area,Chajja Area,Cornice Area,AP Area,WS Area"</formula1>
    </dataValidation>
    <dataValidation type="list" allowBlank="1" showInputMessage="1" showErrorMessage="1" sqref="B308:B309">
      <formula1>"Flat No. (Sale Plan),Sale / Rehab,Sale / Mhada"</formula1>
    </dataValidation>
    <dataValidation type="list" allowBlank="1" showInputMessage="1" showErrorMessage="1" sqref="B232:B233">
      <formula1>"Shop No. (Sale Plan),Sale / Rehab,Sale / Mhada"</formula1>
    </dataValidation>
    <dataValidation type="list" allowBlank="1" showInputMessage="1" showErrorMessage="1" sqref="E232:E233">
      <formula1>"Attached Loft area,Attached Otla area,Attached Mezzanine area"</formula1>
    </dataValidation>
  </dataValidations>
  <hyperlinks>
    <hyperlink ref="C37" r:id="rId1"/>
  </hyperlinks>
  <printOptions horizontalCentered="1"/>
  <pageMargins left="0.39370078740157483" right="0.39370078740157483" top="0.78740157480314965" bottom="0.78740157480314965" header="0.19685039370078741" footer="0.19685039370078741"/>
  <pageSetup scale="98" fitToHeight="0" orientation="portrait" r:id="rId2"/>
  <headerFooter>
    <oddHeader>&amp;C&amp;G</oddHeader>
    <oddFooter>&amp;L&amp;"Times New Roman,Bold"&amp;12Ref No: &amp;F&amp;C&amp;G&amp;R&amp;"Times New Roman,Bold"&amp;12                                                       &amp;P</oddFooter>
  </headerFooter>
  <rowBreaks count="3" manualBreakCount="3">
    <brk id="358" max="16383" man="1"/>
    <brk id="401" max="16383" man="1"/>
    <brk id="44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233"/>
  <sheetViews>
    <sheetView showWhiteSpace="0" view="pageLayout" topLeftCell="A152" zoomScale="85" zoomScaleNormal="100" zoomScaleSheetLayoutView="110" zoomScalePageLayoutView="85" workbookViewId="0">
      <selection activeCell="J165" sqref="J165"/>
    </sheetView>
  </sheetViews>
  <sheetFormatPr defaultColWidth="9.08984375" defaultRowHeight="15.5" x14ac:dyDescent="0.35"/>
  <cols>
    <col min="1" max="1" width="11.453125" style="16" customWidth="1"/>
    <col min="2" max="2" width="11.08984375" style="16" customWidth="1"/>
    <col min="3" max="3" width="12.6328125" style="16" customWidth="1"/>
    <col min="4" max="4" width="12.90625" style="16" customWidth="1"/>
    <col min="5" max="7" width="11.6328125" style="16" customWidth="1"/>
    <col min="8" max="8" width="12.453125" style="16" customWidth="1"/>
    <col min="9" max="9" width="20.453125" style="8" customWidth="1"/>
    <col min="10" max="10" width="9.90625" style="8" bestFit="1" customWidth="1"/>
    <col min="11" max="11" width="10.54296875" style="8" bestFit="1" customWidth="1"/>
    <col min="12" max="18" width="9.08984375" style="8"/>
    <col min="19" max="19" width="11.08984375" style="8" hidden="1" customWidth="1"/>
    <col min="20" max="21" width="9.08984375" style="8" hidden="1" customWidth="1"/>
    <col min="22" max="22" width="10.6328125" style="8" hidden="1" customWidth="1"/>
    <col min="23" max="23" width="13.453125" style="8" hidden="1" customWidth="1"/>
    <col min="24" max="254" width="9.08984375" style="8"/>
    <col min="255" max="255" width="8.6328125" style="8" customWidth="1"/>
    <col min="256" max="256" width="9.90625" style="8" customWidth="1"/>
    <col min="257" max="257" width="14.453125" style="8" customWidth="1"/>
    <col min="258" max="258" width="7.36328125" style="8" customWidth="1"/>
    <col min="259" max="259" width="5.54296875" style="8" customWidth="1"/>
    <col min="260" max="260" width="9" style="8" customWidth="1"/>
    <col min="261" max="262" width="9.90625" style="8" customWidth="1"/>
    <col min="263" max="263" width="11.08984375" style="8" customWidth="1"/>
    <col min="264" max="264" width="2.90625" style="8" customWidth="1"/>
    <col min="265" max="265" width="3.54296875" style="8" customWidth="1"/>
    <col min="266" max="510" width="9.08984375" style="8"/>
    <col min="511" max="511" width="8.6328125" style="8" customWidth="1"/>
    <col min="512" max="512" width="9.90625" style="8" customWidth="1"/>
    <col min="513" max="513" width="14.453125" style="8" customWidth="1"/>
    <col min="514" max="514" width="7.36328125" style="8" customWidth="1"/>
    <col min="515" max="515" width="5.54296875" style="8" customWidth="1"/>
    <col min="516" max="516" width="9" style="8" customWidth="1"/>
    <col min="517" max="518" width="9.90625" style="8" customWidth="1"/>
    <col min="519" max="519" width="11.08984375" style="8" customWidth="1"/>
    <col min="520" max="520" width="2.90625" style="8" customWidth="1"/>
    <col min="521" max="521" width="3.54296875" style="8" customWidth="1"/>
    <col min="522" max="766" width="9.08984375" style="8"/>
    <col min="767" max="767" width="8.6328125" style="8" customWidth="1"/>
    <col min="768" max="768" width="9.90625" style="8" customWidth="1"/>
    <col min="769" max="769" width="14.453125" style="8" customWidth="1"/>
    <col min="770" max="770" width="7.36328125" style="8" customWidth="1"/>
    <col min="771" max="771" width="5.54296875" style="8" customWidth="1"/>
    <col min="772" max="772" width="9" style="8" customWidth="1"/>
    <col min="773" max="774" width="9.90625" style="8" customWidth="1"/>
    <col min="775" max="775" width="11.08984375" style="8" customWidth="1"/>
    <col min="776" max="776" width="2.90625" style="8" customWidth="1"/>
    <col min="777" max="777" width="3.54296875" style="8" customWidth="1"/>
    <col min="778" max="1022" width="9.08984375" style="8"/>
    <col min="1023" max="1023" width="8.6328125" style="8" customWidth="1"/>
    <col min="1024" max="1024" width="9.90625" style="8" customWidth="1"/>
    <col min="1025" max="1025" width="14.453125" style="8" customWidth="1"/>
    <col min="1026" max="1026" width="7.36328125" style="8" customWidth="1"/>
    <col min="1027" max="1027" width="5.54296875" style="8" customWidth="1"/>
    <col min="1028" max="1028" width="9" style="8" customWidth="1"/>
    <col min="1029" max="1030" width="9.90625" style="8" customWidth="1"/>
    <col min="1031" max="1031" width="11.08984375" style="8" customWidth="1"/>
    <col min="1032" max="1032" width="2.90625" style="8" customWidth="1"/>
    <col min="1033" max="1033" width="3.54296875" style="8" customWidth="1"/>
    <col min="1034" max="1278" width="9.08984375" style="8"/>
    <col min="1279" max="1279" width="8.6328125" style="8" customWidth="1"/>
    <col min="1280" max="1280" width="9.90625" style="8" customWidth="1"/>
    <col min="1281" max="1281" width="14.453125" style="8" customWidth="1"/>
    <col min="1282" max="1282" width="7.36328125" style="8" customWidth="1"/>
    <col min="1283" max="1283" width="5.54296875" style="8" customWidth="1"/>
    <col min="1284" max="1284" width="9" style="8" customWidth="1"/>
    <col min="1285" max="1286" width="9.90625" style="8" customWidth="1"/>
    <col min="1287" max="1287" width="11.08984375" style="8" customWidth="1"/>
    <col min="1288" max="1288" width="2.90625" style="8" customWidth="1"/>
    <col min="1289" max="1289" width="3.54296875" style="8" customWidth="1"/>
    <col min="1290" max="1534" width="9.08984375" style="8"/>
    <col min="1535" max="1535" width="8.6328125" style="8" customWidth="1"/>
    <col min="1536" max="1536" width="9.90625" style="8" customWidth="1"/>
    <col min="1537" max="1537" width="14.453125" style="8" customWidth="1"/>
    <col min="1538" max="1538" width="7.36328125" style="8" customWidth="1"/>
    <col min="1539" max="1539" width="5.54296875" style="8" customWidth="1"/>
    <col min="1540" max="1540" width="9" style="8" customWidth="1"/>
    <col min="1541" max="1542" width="9.90625" style="8" customWidth="1"/>
    <col min="1543" max="1543" width="11.08984375" style="8" customWidth="1"/>
    <col min="1544" max="1544" width="2.90625" style="8" customWidth="1"/>
    <col min="1545" max="1545" width="3.54296875" style="8" customWidth="1"/>
    <col min="1546" max="1790" width="9.08984375" style="8"/>
    <col min="1791" max="1791" width="8.6328125" style="8" customWidth="1"/>
    <col min="1792" max="1792" width="9.90625" style="8" customWidth="1"/>
    <col min="1793" max="1793" width="14.453125" style="8" customWidth="1"/>
    <col min="1794" max="1794" width="7.36328125" style="8" customWidth="1"/>
    <col min="1795" max="1795" width="5.54296875" style="8" customWidth="1"/>
    <col min="1796" max="1796" width="9" style="8" customWidth="1"/>
    <col min="1797" max="1798" width="9.90625" style="8" customWidth="1"/>
    <col min="1799" max="1799" width="11.08984375" style="8" customWidth="1"/>
    <col min="1800" max="1800" width="2.90625" style="8" customWidth="1"/>
    <col min="1801" max="1801" width="3.54296875" style="8" customWidth="1"/>
    <col min="1802" max="2046" width="9.08984375" style="8"/>
    <col min="2047" max="2047" width="8.6328125" style="8" customWidth="1"/>
    <col min="2048" max="2048" width="9.90625" style="8" customWidth="1"/>
    <col min="2049" max="2049" width="14.453125" style="8" customWidth="1"/>
    <col min="2050" max="2050" width="7.36328125" style="8" customWidth="1"/>
    <col min="2051" max="2051" width="5.54296875" style="8" customWidth="1"/>
    <col min="2052" max="2052" width="9" style="8" customWidth="1"/>
    <col min="2053" max="2054" width="9.90625" style="8" customWidth="1"/>
    <col min="2055" max="2055" width="11.08984375" style="8" customWidth="1"/>
    <col min="2056" max="2056" width="2.90625" style="8" customWidth="1"/>
    <col min="2057" max="2057" width="3.54296875" style="8" customWidth="1"/>
    <col min="2058" max="2302" width="9.08984375" style="8"/>
    <col min="2303" max="2303" width="8.6328125" style="8" customWidth="1"/>
    <col min="2304" max="2304" width="9.90625" style="8" customWidth="1"/>
    <col min="2305" max="2305" width="14.453125" style="8" customWidth="1"/>
    <col min="2306" max="2306" width="7.36328125" style="8" customWidth="1"/>
    <col min="2307" max="2307" width="5.54296875" style="8" customWidth="1"/>
    <col min="2308" max="2308" width="9" style="8" customWidth="1"/>
    <col min="2309" max="2310" width="9.90625" style="8" customWidth="1"/>
    <col min="2311" max="2311" width="11.08984375" style="8" customWidth="1"/>
    <col min="2312" max="2312" width="2.90625" style="8" customWidth="1"/>
    <col min="2313" max="2313" width="3.54296875" style="8" customWidth="1"/>
    <col min="2314" max="2558" width="9.08984375" style="8"/>
    <col min="2559" max="2559" width="8.6328125" style="8" customWidth="1"/>
    <col min="2560" max="2560" width="9.90625" style="8" customWidth="1"/>
    <col min="2561" max="2561" width="14.453125" style="8" customWidth="1"/>
    <col min="2562" max="2562" width="7.36328125" style="8" customWidth="1"/>
    <col min="2563" max="2563" width="5.54296875" style="8" customWidth="1"/>
    <col min="2564" max="2564" width="9" style="8" customWidth="1"/>
    <col min="2565" max="2566" width="9.90625" style="8" customWidth="1"/>
    <col min="2567" max="2567" width="11.08984375" style="8" customWidth="1"/>
    <col min="2568" max="2568" width="2.90625" style="8" customWidth="1"/>
    <col min="2569" max="2569" width="3.54296875" style="8" customWidth="1"/>
    <col min="2570" max="2814" width="9.08984375" style="8"/>
    <col min="2815" max="2815" width="8.6328125" style="8" customWidth="1"/>
    <col min="2816" max="2816" width="9.90625" style="8" customWidth="1"/>
    <col min="2817" max="2817" width="14.453125" style="8" customWidth="1"/>
    <col min="2818" max="2818" width="7.36328125" style="8" customWidth="1"/>
    <col min="2819" max="2819" width="5.54296875" style="8" customWidth="1"/>
    <col min="2820" max="2820" width="9" style="8" customWidth="1"/>
    <col min="2821" max="2822" width="9.90625" style="8" customWidth="1"/>
    <col min="2823" max="2823" width="11.08984375" style="8" customWidth="1"/>
    <col min="2824" max="2824" width="2.90625" style="8" customWidth="1"/>
    <col min="2825" max="2825" width="3.54296875" style="8" customWidth="1"/>
    <col min="2826" max="3070" width="9.08984375" style="8"/>
    <col min="3071" max="3071" width="8.6328125" style="8" customWidth="1"/>
    <col min="3072" max="3072" width="9.90625" style="8" customWidth="1"/>
    <col min="3073" max="3073" width="14.453125" style="8" customWidth="1"/>
    <col min="3074" max="3074" width="7.36328125" style="8" customWidth="1"/>
    <col min="3075" max="3075" width="5.54296875" style="8" customWidth="1"/>
    <col min="3076" max="3076" width="9" style="8" customWidth="1"/>
    <col min="3077" max="3078" width="9.90625" style="8" customWidth="1"/>
    <col min="3079" max="3079" width="11.08984375" style="8" customWidth="1"/>
    <col min="3080" max="3080" width="2.90625" style="8" customWidth="1"/>
    <col min="3081" max="3081" width="3.54296875" style="8" customWidth="1"/>
    <col min="3082" max="3326" width="9.08984375" style="8"/>
    <col min="3327" max="3327" width="8.6328125" style="8" customWidth="1"/>
    <col min="3328" max="3328" width="9.90625" style="8" customWidth="1"/>
    <col min="3329" max="3329" width="14.453125" style="8" customWidth="1"/>
    <col min="3330" max="3330" width="7.36328125" style="8" customWidth="1"/>
    <col min="3331" max="3331" width="5.54296875" style="8" customWidth="1"/>
    <col min="3332" max="3332" width="9" style="8" customWidth="1"/>
    <col min="3333" max="3334" width="9.90625" style="8" customWidth="1"/>
    <col min="3335" max="3335" width="11.08984375" style="8" customWidth="1"/>
    <col min="3336" max="3336" width="2.90625" style="8" customWidth="1"/>
    <col min="3337" max="3337" width="3.54296875" style="8" customWidth="1"/>
    <col min="3338" max="3582" width="9.08984375" style="8"/>
    <col min="3583" max="3583" width="8.6328125" style="8" customWidth="1"/>
    <col min="3584" max="3584" width="9.90625" style="8" customWidth="1"/>
    <col min="3585" max="3585" width="14.453125" style="8" customWidth="1"/>
    <col min="3586" max="3586" width="7.36328125" style="8" customWidth="1"/>
    <col min="3587" max="3587" width="5.54296875" style="8" customWidth="1"/>
    <col min="3588" max="3588" width="9" style="8" customWidth="1"/>
    <col min="3589" max="3590" width="9.90625" style="8" customWidth="1"/>
    <col min="3591" max="3591" width="11.08984375" style="8" customWidth="1"/>
    <col min="3592" max="3592" width="2.90625" style="8" customWidth="1"/>
    <col min="3593" max="3593" width="3.54296875" style="8" customWidth="1"/>
    <col min="3594" max="3838" width="9.08984375" style="8"/>
    <col min="3839" max="3839" width="8.6328125" style="8" customWidth="1"/>
    <col min="3840" max="3840" width="9.90625" style="8" customWidth="1"/>
    <col min="3841" max="3841" width="14.453125" style="8" customWidth="1"/>
    <col min="3842" max="3842" width="7.36328125" style="8" customWidth="1"/>
    <col min="3843" max="3843" width="5.54296875" style="8" customWidth="1"/>
    <col min="3844" max="3844" width="9" style="8" customWidth="1"/>
    <col min="3845" max="3846" width="9.90625" style="8" customWidth="1"/>
    <col min="3847" max="3847" width="11.08984375" style="8" customWidth="1"/>
    <col min="3848" max="3848" width="2.90625" style="8" customWidth="1"/>
    <col min="3849" max="3849" width="3.54296875" style="8" customWidth="1"/>
    <col min="3850" max="4094" width="9.08984375" style="8"/>
    <col min="4095" max="4095" width="8.6328125" style="8" customWidth="1"/>
    <col min="4096" max="4096" width="9.90625" style="8" customWidth="1"/>
    <col min="4097" max="4097" width="14.453125" style="8" customWidth="1"/>
    <col min="4098" max="4098" width="7.36328125" style="8" customWidth="1"/>
    <col min="4099" max="4099" width="5.54296875" style="8" customWidth="1"/>
    <col min="4100" max="4100" width="9" style="8" customWidth="1"/>
    <col min="4101" max="4102" width="9.90625" style="8" customWidth="1"/>
    <col min="4103" max="4103" width="11.08984375" style="8" customWidth="1"/>
    <col min="4104" max="4104" width="2.90625" style="8" customWidth="1"/>
    <col min="4105" max="4105" width="3.54296875" style="8" customWidth="1"/>
    <col min="4106" max="4350" width="9.08984375" style="8"/>
    <col min="4351" max="4351" width="8.6328125" style="8" customWidth="1"/>
    <col min="4352" max="4352" width="9.90625" style="8" customWidth="1"/>
    <col min="4353" max="4353" width="14.453125" style="8" customWidth="1"/>
    <col min="4354" max="4354" width="7.36328125" style="8" customWidth="1"/>
    <col min="4355" max="4355" width="5.54296875" style="8" customWidth="1"/>
    <col min="4356" max="4356" width="9" style="8" customWidth="1"/>
    <col min="4357" max="4358" width="9.90625" style="8" customWidth="1"/>
    <col min="4359" max="4359" width="11.08984375" style="8" customWidth="1"/>
    <col min="4360" max="4360" width="2.90625" style="8" customWidth="1"/>
    <col min="4361" max="4361" width="3.54296875" style="8" customWidth="1"/>
    <col min="4362" max="4606" width="9.08984375" style="8"/>
    <col min="4607" max="4607" width="8.6328125" style="8" customWidth="1"/>
    <col min="4608" max="4608" width="9.90625" style="8" customWidth="1"/>
    <col min="4609" max="4609" width="14.453125" style="8" customWidth="1"/>
    <col min="4610" max="4610" width="7.36328125" style="8" customWidth="1"/>
    <col min="4611" max="4611" width="5.54296875" style="8" customWidth="1"/>
    <col min="4612" max="4612" width="9" style="8" customWidth="1"/>
    <col min="4613" max="4614" width="9.90625" style="8" customWidth="1"/>
    <col min="4615" max="4615" width="11.08984375" style="8" customWidth="1"/>
    <col min="4616" max="4616" width="2.90625" style="8" customWidth="1"/>
    <col min="4617" max="4617" width="3.54296875" style="8" customWidth="1"/>
    <col min="4618" max="4862" width="9.08984375" style="8"/>
    <col min="4863" max="4863" width="8.6328125" style="8" customWidth="1"/>
    <col min="4864" max="4864" width="9.90625" style="8" customWidth="1"/>
    <col min="4865" max="4865" width="14.453125" style="8" customWidth="1"/>
    <col min="4866" max="4866" width="7.36328125" style="8" customWidth="1"/>
    <col min="4867" max="4867" width="5.54296875" style="8" customWidth="1"/>
    <col min="4868" max="4868" width="9" style="8" customWidth="1"/>
    <col min="4869" max="4870" width="9.90625" style="8" customWidth="1"/>
    <col min="4871" max="4871" width="11.08984375" style="8" customWidth="1"/>
    <col min="4872" max="4872" width="2.90625" style="8" customWidth="1"/>
    <col min="4873" max="4873" width="3.54296875" style="8" customWidth="1"/>
    <col min="4874" max="5118" width="9.08984375" style="8"/>
    <col min="5119" max="5119" width="8.6328125" style="8" customWidth="1"/>
    <col min="5120" max="5120" width="9.90625" style="8" customWidth="1"/>
    <col min="5121" max="5121" width="14.453125" style="8" customWidth="1"/>
    <col min="5122" max="5122" width="7.36328125" style="8" customWidth="1"/>
    <col min="5123" max="5123" width="5.54296875" style="8" customWidth="1"/>
    <col min="5124" max="5124" width="9" style="8" customWidth="1"/>
    <col min="5125" max="5126" width="9.90625" style="8" customWidth="1"/>
    <col min="5127" max="5127" width="11.08984375" style="8" customWidth="1"/>
    <col min="5128" max="5128" width="2.90625" style="8" customWidth="1"/>
    <col min="5129" max="5129" width="3.54296875" style="8" customWidth="1"/>
    <col min="5130" max="5374" width="9.08984375" style="8"/>
    <col min="5375" max="5375" width="8.6328125" style="8" customWidth="1"/>
    <col min="5376" max="5376" width="9.90625" style="8" customWidth="1"/>
    <col min="5377" max="5377" width="14.453125" style="8" customWidth="1"/>
    <col min="5378" max="5378" width="7.36328125" style="8" customWidth="1"/>
    <col min="5379" max="5379" width="5.54296875" style="8" customWidth="1"/>
    <col min="5380" max="5380" width="9" style="8" customWidth="1"/>
    <col min="5381" max="5382" width="9.90625" style="8" customWidth="1"/>
    <col min="5383" max="5383" width="11.08984375" style="8" customWidth="1"/>
    <col min="5384" max="5384" width="2.90625" style="8" customWidth="1"/>
    <col min="5385" max="5385" width="3.54296875" style="8" customWidth="1"/>
    <col min="5386" max="5630" width="9.08984375" style="8"/>
    <col min="5631" max="5631" width="8.6328125" style="8" customWidth="1"/>
    <col min="5632" max="5632" width="9.90625" style="8" customWidth="1"/>
    <col min="5633" max="5633" width="14.453125" style="8" customWidth="1"/>
    <col min="5634" max="5634" width="7.36328125" style="8" customWidth="1"/>
    <col min="5635" max="5635" width="5.54296875" style="8" customWidth="1"/>
    <col min="5636" max="5636" width="9" style="8" customWidth="1"/>
    <col min="5637" max="5638" width="9.90625" style="8" customWidth="1"/>
    <col min="5639" max="5639" width="11.08984375" style="8" customWidth="1"/>
    <col min="5640" max="5640" width="2.90625" style="8" customWidth="1"/>
    <col min="5641" max="5641" width="3.54296875" style="8" customWidth="1"/>
    <col min="5642" max="5886" width="9.08984375" style="8"/>
    <col min="5887" max="5887" width="8.6328125" style="8" customWidth="1"/>
    <col min="5888" max="5888" width="9.90625" style="8" customWidth="1"/>
    <col min="5889" max="5889" width="14.453125" style="8" customWidth="1"/>
    <col min="5890" max="5890" width="7.36328125" style="8" customWidth="1"/>
    <col min="5891" max="5891" width="5.54296875" style="8" customWidth="1"/>
    <col min="5892" max="5892" width="9" style="8" customWidth="1"/>
    <col min="5893" max="5894" width="9.90625" style="8" customWidth="1"/>
    <col min="5895" max="5895" width="11.08984375" style="8" customWidth="1"/>
    <col min="5896" max="5896" width="2.90625" style="8" customWidth="1"/>
    <col min="5897" max="5897" width="3.54296875" style="8" customWidth="1"/>
    <col min="5898" max="6142" width="9.08984375" style="8"/>
    <col min="6143" max="6143" width="8.6328125" style="8" customWidth="1"/>
    <col min="6144" max="6144" width="9.90625" style="8" customWidth="1"/>
    <col min="6145" max="6145" width="14.453125" style="8" customWidth="1"/>
    <col min="6146" max="6146" width="7.36328125" style="8" customWidth="1"/>
    <col min="6147" max="6147" width="5.54296875" style="8" customWidth="1"/>
    <col min="6148" max="6148" width="9" style="8" customWidth="1"/>
    <col min="6149" max="6150" width="9.90625" style="8" customWidth="1"/>
    <col min="6151" max="6151" width="11.08984375" style="8" customWidth="1"/>
    <col min="6152" max="6152" width="2.90625" style="8" customWidth="1"/>
    <col min="6153" max="6153" width="3.54296875" style="8" customWidth="1"/>
    <col min="6154" max="6398" width="9.08984375" style="8"/>
    <col min="6399" max="6399" width="8.6328125" style="8" customWidth="1"/>
    <col min="6400" max="6400" width="9.90625" style="8" customWidth="1"/>
    <col min="6401" max="6401" width="14.453125" style="8" customWidth="1"/>
    <col min="6402" max="6402" width="7.36328125" style="8" customWidth="1"/>
    <col min="6403" max="6403" width="5.54296875" style="8" customWidth="1"/>
    <col min="6404" max="6404" width="9" style="8" customWidth="1"/>
    <col min="6405" max="6406" width="9.90625" style="8" customWidth="1"/>
    <col min="6407" max="6407" width="11.08984375" style="8" customWidth="1"/>
    <col min="6408" max="6408" width="2.90625" style="8" customWidth="1"/>
    <col min="6409" max="6409" width="3.54296875" style="8" customWidth="1"/>
    <col min="6410" max="6654" width="9.08984375" style="8"/>
    <col min="6655" max="6655" width="8.6328125" style="8" customWidth="1"/>
    <col min="6656" max="6656" width="9.90625" style="8" customWidth="1"/>
    <col min="6657" max="6657" width="14.453125" style="8" customWidth="1"/>
    <col min="6658" max="6658" width="7.36328125" style="8" customWidth="1"/>
    <col min="6659" max="6659" width="5.54296875" style="8" customWidth="1"/>
    <col min="6660" max="6660" width="9" style="8" customWidth="1"/>
    <col min="6661" max="6662" width="9.90625" style="8" customWidth="1"/>
    <col min="6663" max="6663" width="11.08984375" style="8" customWidth="1"/>
    <col min="6664" max="6664" width="2.90625" style="8" customWidth="1"/>
    <col min="6665" max="6665" width="3.54296875" style="8" customWidth="1"/>
    <col min="6666" max="6910" width="9.08984375" style="8"/>
    <col min="6911" max="6911" width="8.6328125" style="8" customWidth="1"/>
    <col min="6912" max="6912" width="9.90625" style="8" customWidth="1"/>
    <col min="6913" max="6913" width="14.453125" style="8" customWidth="1"/>
    <col min="6914" max="6914" width="7.36328125" style="8" customWidth="1"/>
    <col min="6915" max="6915" width="5.54296875" style="8" customWidth="1"/>
    <col min="6916" max="6916" width="9" style="8" customWidth="1"/>
    <col min="6917" max="6918" width="9.90625" style="8" customWidth="1"/>
    <col min="6919" max="6919" width="11.08984375" style="8" customWidth="1"/>
    <col min="6920" max="6920" width="2.90625" style="8" customWidth="1"/>
    <col min="6921" max="6921" width="3.54296875" style="8" customWidth="1"/>
    <col min="6922" max="7166" width="9.08984375" style="8"/>
    <col min="7167" max="7167" width="8.6328125" style="8" customWidth="1"/>
    <col min="7168" max="7168" width="9.90625" style="8" customWidth="1"/>
    <col min="7169" max="7169" width="14.453125" style="8" customWidth="1"/>
    <col min="7170" max="7170" width="7.36328125" style="8" customWidth="1"/>
    <col min="7171" max="7171" width="5.54296875" style="8" customWidth="1"/>
    <col min="7172" max="7172" width="9" style="8" customWidth="1"/>
    <col min="7173" max="7174" width="9.90625" style="8" customWidth="1"/>
    <col min="7175" max="7175" width="11.08984375" style="8" customWidth="1"/>
    <col min="7176" max="7176" width="2.90625" style="8" customWidth="1"/>
    <col min="7177" max="7177" width="3.54296875" style="8" customWidth="1"/>
    <col min="7178" max="7422" width="9.08984375" style="8"/>
    <col min="7423" max="7423" width="8.6328125" style="8" customWidth="1"/>
    <col min="7424" max="7424" width="9.90625" style="8" customWidth="1"/>
    <col min="7425" max="7425" width="14.453125" style="8" customWidth="1"/>
    <col min="7426" max="7426" width="7.36328125" style="8" customWidth="1"/>
    <col min="7427" max="7427" width="5.54296875" style="8" customWidth="1"/>
    <col min="7428" max="7428" width="9" style="8" customWidth="1"/>
    <col min="7429" max="7430" width="9.90625" style="8" customWidth="1"/>
    <col min="7431" max="7431" width="11.08984375" style="8" customWidth="1"/>
    <col min="7432" max="7432" width="2.90625" style="8" customWidth="1"/>
    <col min="7433" max="7433" width="3.54296875" style="8" customWidth="1"/>
    <col min="7434" max="7678" width="9.08984375" style="8"/>
    <col min="7679" max="7679" width="8.6328125" style="8" customWidth="1"/>
    <col min="7680" max="7680" width="9.90625" style="8" customWidth="1"/>
    <col min="7681" max="7681" width="14.453125" style="8" customWidth="1"/>
    <col min="7682" max="7682" width="7.36328125" style="8" customWidth="1"/>
    <col min="7683" max="7683" width="5.54296875" style="8" customWidth="1"/>
    <col min="7684" max="7684" width="9" style="8" customWidth="1"/>
    <col min="7685" max="7686" width="9.90625" style="8" customWidth="1"/>
    <col min="7687" max="7687" width="11.08984375" style="8" customWidth="1"/>
    <col min="7688" max="7688" width="2.90625" style="8" customWidth="1"/>
    <col min="7689" max="7689" width="3.54296875" style="8" customWidth="1"/>
    <col min="7690" max="7934" width="9.08984375" style="8"/>
    <col min="7935" max="7935" width="8.6328125" style="8" customWidth="1"/>
    <col min="7936" max="7936" width="9.90625" style="8" customWidth="1"/>
    <col min="7937" max="7937" width="14.453125" style="8" customWidth="1"/>
    <col min="7938" max="7938" width="7.36328125" style="8" customWidth="1"/>
    <col min="7939" max="7939" width="5.54296875" style="8" customWidth="1"/>
    <col min="7940" max="7940" width="9" style="8" customWidth="1"/>
    <col min="7941" max="7942" width="9.90625" style="8" customWidth="1"/>
    <col min="7943" max="7943" width="11.08984375" style="8" customWidth="1"/>
    <col min="7944" max="7944" width="2.90625" style="8" customWidth="1"/>
    <col min="7945" max="7945" width="3.54296875" style="8" customWidth="1"/>
    <col min="7946" max="8190" width="9.08984375" style="8"/>
    <col min="8191" max="8191" width="8.6328125" style="8" customWidth="1"/>
    <col min="8192" max="8192" width="9.90625" style="8" customWidth="1"/>
    <col min="8193" max="8193" width="14.453125" style="8" customWidth="1"/>
    <col min="8194" max="8194" width="7.36328125" style="8" customWidth="1"/>
    <col min="8195" max="8195" width="5.54296875" style="8" customWidth="1"/>
    <col min="8196" max="8196" width="9" style="8" customWidth="1"/>
    <col min="8197" max="8198" width="9.90625" style="8" customWidth="1"/>
    <col min="8199" max="8199" width="11.08984375" style="8" customWidth="1"/>
    <col min="8200" max="8200" width="2.90625" style="8" customWidth="1"/>
    <col min="8201" max="8201" width="3.54296875" style="8" customWidth="1"/>
    <col min="8202" max="8446" width="9.08984375" style="8"/>
    <col min="8447" max="8447" width="8.6328125" style="8" customWidth="1"/>
    <col min="8448" max="8448" width="9.90625" style="8" customWidth="1"/>
    <col min="8449" max="8449" width="14.453125" style="8" customWidth="1"/>
    <col min="8450" max="8450" width="7.36328125" style="8" customWidth="1"/>
    <col min="8451" max="8451" width="5.54296875" style="8" customWidth="1"/>
    <col min="8452" max="8452" width="9" style="8" customWidth="1"/>
    <col min="8453" max="8454" width="9.90625" style="8" customWidth="1"/>
    <col min="8455" max="8455" width="11.08984375" style="8" customWidth="1"/>
    <col min="8456" max="8456" width="2.90625" style="8" customWidth="1"/>
    <col min="8457" max="8457" width="3.54296875" style="8" customWidth="1"/>
    <col min="8458" max="8702" width="9.08984375" style="8"/>
    <col min="8703" max="8703" width="8.6328125" style="8" customWidth="1"/>
    <col min="8704" max="8704" width="9.90625" style="8" customWidth="1"/>
    <col min="8705" max="8705" width="14.453125" style="8" customWidth="1"/>
    <col min="8706" max="8706" width="7.36328125" style="8" customWidth="1"/>
    <col min="8707" max="8707" width="5.54296875" style="8" customWidth="1"/>
    <col min="8708" max="8708" width="9" style="8" customWidth="1"/>
    <col min="8709" max="8710" width="9.90625" style="8" customWidth="1"/>
    <col min="8711" max="8711" width="11.08984375" style="8" customWidth="1"/>
    <col min="8712" max="8712" width="2.90625" style="8" customWidth="1"/>
    <col min="8713" max="8713" width="3.54296875" style="8" customWidth="1"/>
    <col min="8714" max="8958" width="9.08984375" style="8"/>
    <col min="8959" max="8959" width="8.6328125" style="8" customWidth="1"/>
    <col min="8960" max="8960" width="9.90625" style="8" customWidth="1"/>
    <col min="8961" max="8961" width="14.453125" style="8" customWidth="1"/>
    <col min="8962" max="8962" width="7.36328125" style="8" customWidth="1"/>
    <col min="8963" max="8963" width="5.54296875" style="8" customWidth="1"/>
    <col min="8964" max="8964" width="9" style="8" customWidth="1"/>
    <col min="8965" max="8966" width="9.90625" style="8" customWidth="1"/>
    <col min="8967" max="8967" width="11.08984375" style="8" customWidth="1"/>
    <col min="8968" max="8968" width="2.90625" style="8" customWidth="1"/>
    <col min="8969" max="8969" width="3.54296875" style="8" customWidth="1"/>
    <col min="8970" max="9214" width="9.08984375" style="8"/>
    <col min="9215" max="9215" width="8.6328125" style="8" customWidth="1"/>
    <col min="9216" max="9216" width="9.90625" style="8" customWidth="1"/>
    <col min="9217" max="9217" width="14.453125" style="8" customWidth="1"/>
    <col min="9218" max="9218" width="7.36328125" style="8" customWidth="1"/>
    <col min="9219" max="9219" width="5.54296875" style="8" customWidth="1"/>
    <col min="9220" max="9220" width="9" style="8" customWidth="1"/>
    <col min="9221" max="9222" width="9.90625" style="8" customWidth="1"/>
    <col min="9223" max="9223" width="11.08984375" style="8" customWidth="1"/>
    <col min="9224" max="9224" width="2.90625" style="8" customWidth="1"/>
    <col min="9225" max="9225" width="3.54296875" style="8" customWidth="1"/>
    <col min="9226" max="9470" width="9.08984375" style="8"/>
    <col min="9471" max="9471" width="8.6328125" style="8" customWidth="1"/>
    <col min="9472" max="9472" width="9.90625" style="8" customWidth="1"/>
    <col min="9473" max="9473" width="14.453125" style="8" customWidth="1"/>
    <col min="9474" max="9474" width="7.36328125" style="8" customWidth="1"/>
    <col min="9475" max="9475" width="5.54296875" style="8" customWidth="1"/>
    <col min="9476" max="9476" width="9" style="8" customWidth="1"/>
    <col min="9477" max="9478" width="9.90625" style="8" customWidth="1"/>
    <col min="9479" max="9479" width="11.08984375" style="8" customWidth="1"/>
    <col min="9480" max="9480" width="2.90625" style="8" customWidth="1"/>
    <col min="9481" max="9481" width="3.54296875" style="8" customWidth="1"/>
    <col min="9482" max="9726" width="9.08984375" style="8"/>
    <col min="9727" max="9727" width="8.6328125" style="8" customWidth="1"/>
    <col min="9728" max="9728" width="9.90625" style="8" customWidth="1"/>
    <col min="9729" max="9729" width="14.453125" style="8" customWidth="1"/>
    <col min="9730" max="9730" width="7.36328125" style="8" customWidth="1"/>
    <col min="9731" max="9731" width="5.54296875" style="8" customWidth="1"/>
    <col min="9732" max="9732" width="9" style="8" customWidth="1"/>
    <col min="9733" max="9734" width="9.90625" style="8" customWidth="1"/>
    <col min="9735" max="9735" width="11.08984375" style="8" customWidth="1"/>
    <col min="9736" max="9736" width="2.90625" style="8" customWidth="1"/>
    <col min="9737" max="9737" width="3.54296875" style="8" customWidth="1"/>
    <col min="9738" max="9982" width="9.08984375" style="8"/>
    <col min="9983" max="9983" width="8.6328125" style="8" customWidth="1"/>
    <col min="9984" max="9984" width="9.90625" style="8" customWidth="1"/>
    <col min="9985" max="9985" width="14.453125" style="8" customWidth="1"/>
    <col min="9986" max="9986" width="7.36328125" style="8" customWidth="1"/>
    <col min="9987" max="9987" width="5.54296875" style="8" customWidth="1"/>
    <col min="9988" max="9988" width="9" style="8" customWidth="1"/>
    <col min="9989" max="9990" width="9.90625" style="8" customWidth="1"/>
    <col min="9991" max="9991" width="11.08984375" style="8" customWidth="1"/>
    <col min="9992" max="9992" width="2.90625" style="8" customWidth="1"/>
    <col min="9993" max="9993" width="3.54296875" style="8" customWidth="1"/>
    <col min="9994" max="10238" width="9.08984375" style="8"/>
    <col min="10239" max="10239" width="8.6328125" style="8" customWidth="1"/>
    <col min="10240" max="10240" width="9.90625" style="8" customWidth="1"/>
    <col min="10241" max="10241" width="14.453125" style="8" customWidth="1"/>
    <col min="10242" max="10242" width="7.36328125" style="8" customWidth="1"/>
    <col min="10243" max="10243" width="5.54296875" style="8" customWidth="1"/>
    <col min="10244" max="10244" width="9" style="8" customWidth="1"/>
    <col min="10245" max="10246" width="9.90625" style="8" customWidth="1"/>
    <col min="10247" max="10247" width="11.08984375" style="8" customWidth="1"/>
    <col min="10248" max="10248" width="2.90625" style="8" customWidth="1"/>
    <col min="10249" max="10249" width="3.54296875" style="8" customWidth="1"/>
    <col min="10250" max="10494" width="9.08984375" style="8"/>
    <col min="10495" max="10495" width="8.6328125" style="8" customWidth="1"/>
    <col min="10496" max="10496" width="9.90625" style="8" customWidth="1"/>
    <col min="10497" max="10497" width="14.453125" style="8" customWidth="1"/>
    <col min="10498" max="10498" width="7.36328125" style="8" customWidth="1"/>
    <col min="10499" max="10499" width="5.54296875" style="8" customWidth="1"/>
    <col min="10500" max="10500" width="9" style="8" customWidth="1"/>
    <col min="10501" max="10502" width="9.90625" style="8" customWidth="1"/>
    <col min="10503" max="10503" width="11.08984375" style="8" customWidth="1"/>
    <col min="10504" max="10504" width="2.90625" style="8" customWidth="1"/>
    <col min="10505" max="10505" width="3.54296875" style="8" customWidth="1"/>
    <col min="10506" max="10750" width="9.08984375" style="8"/>
    <col min="10751" max="10751" width="8.6328125" style="8" customWidth="1"/>
    <col min="10752" max="10752" width="9.90625" style="8" customWidth="1"/>
    <col min="10753" max="10753" width="14.453125" style="8" customWidth="1"/>
    <col min="10754" max="10754" width="7.36328125" style="8" customWidth="1"/>
    <col min="10755" max="10755" width="5.54296875" style="8" customWidth="1"/>
    <col min="10756" max="10756" width="9" style="8" customWidth="1"/>
    <col min="10757" max="10758" width="9.90625" style="8" customWidth="1"/>
    <col min="10759" max="10759" width="11.08984375" style="8" customWidth="1"/>
    <col min="10760" max="10760" width="2.90625" style="8" customWidth="1"/>
    <col min="10761" max="10761" width="3.54296875" style="8" customWidth="1"/>
    <col min="10762" max="11006" width="9.08984375" style="8"/>
    <col min="11007" max="11007" width="8.6328125" style="8" customWidth="1"/>
    <col min="11008" max="11008" width="9.90625" style="8" customWidth="1"/>
    <col min="11009" max="11009" width="14.453125" style="8" customWidth="1"/>
    <col min="11010" max="11010" width="7.36328125" style="8" customWidth="1"/>
    <col min="11011" max="11011" width="5.54296875" style="8" customWidth="1"/>
    <col min="11012" max="11012" width="9" style="8" customWidth="1"/>
    <col min="11013" max="11014" width="9.90625" style="8" customWidth="1"/>
    <col min="11015" max="11015" width="11.08984375" style="8" customWidth="1"/>
    <col min="11016" max="11016" width="2.90625" style="8" customWidth="1"/>
    <col min="11017" max="11017" width="3.54296875" style="8" customWidth="1"/>
    <col min="11018" max="11262" width="9.08984375" style="8"/>
    <col min="11263" max="11263" width="8.6328125" style="8" customWidth="1"/>
    <col min="11264" max="11264" width="9.90625" style="8" customWidth="1"/>
    <col min="11265" max="11265" width="14.453125" style="8" customWidth="1"/>
    <col min="11266" max="11266" width="7.36328125" style="8" customWidth="1"/>
    <col min="11267" max="11267" width="5.54296875" style="8" customWidth="1"/>
    <col min="11268" max="11268" width="9" style="8" customWidth="1"/>
    <col min="11269" max="11270" width="9.90625" style="8" customWidth="1"/>
    <col min="11271" max="11271" width="11.08984375" style="8" customWidth="1"/>
    <col min="11272" max="11272" width="2.90625" style="8" customWidth="1"/>
    <col min="11273" max="11273" width="3.54296875" style="8" customWidth="1"/>
    <col min="11274" max="11518" width="9.08984375" style="8"/>
    <col min="11519" max="11519" width="8.6328125" style="8" customWidth="1"/>
    <col min="11520" max="11520" width="9.90625" style="8" customWidth="1"/>
    <col min="11521" max="11521" width="14.453125" style="8" customWidth="1"/>
    <col min="11522" max="11522" width="7.36328125" style="8" customWidth="1"/>
    <col min="11523" max="11523" width="5.54296875" style="8" customWidth="1"/>
    <col min="11524" max="11524" width="9" style="8" customWidth="1"/>
    <col min="11525" max="11526" width="9.90625" style="8" customWidth="1"/>
    <col min="11527" max="11527" width="11.08984375" style="8" customWidth="1"/>
    <col min="11528" max="11528" width="2.90625" style="8" customWidth="1"/>
    <col min="11529" max="11529" width="3.54296875" style="8" customWidth="1"/>
    <col min="11530" max="11774" width="9.08984375" style="8"/>
    <col min="11775" max="11775" width="8.6328125" style="8" customWidth="1"/>
    <col min="11776" max="11776" width="9.90625" style="8" customWidth="1"/>
    <col min="11777" max="11777" width="14.453125" style="8" customWidth="1"/>
    <col min="11778" max="11778" width="7.36328125" style="8" customWidth="1"/>
    <col min="11779" max="11779" width="5.54296875" style="8" customWidth="1"/>
    <col min="11780" max="11780" width="9" style="8" customWidth="1"/>
    <col min="11781" max="11782" width="9.90625" style="8" customWidth="1"/>
    <col min="11783" max="11783" width="11.08984375" style="8" customWidth="1"/>
    <col min="11784" max="11784" width="2.90625" style="8" customWidth="1"/>
    <col min="11785" max="11785" width="3.54296875" style="8" customWidth="1"/>
    <col min="11786" max="12030" width="9.08984375" style="8"/>
    <col min="12031" max="12031" width="8.6328125" style="8" customWidth="1"/>
    <col min="12032" max="12032" width="9.90625" style="8" customWidth="1"/>
    <col min="12033" max="12033" width="14.453125" style="8" customWidth="1"/>
    <col min="12034" max="12034" width="7.36328125" style="8" customWidth="1"/>
    <col min="12035" max="12035" width="5.54296875" style="8" customWidth="1"/>
    <col min="12036" max="12036" width="9" style="8" customWidth="1"/>
    <col min="12037" max="12038" width="9.90625" style="8" customWidth="1"/>
    <col min="12039" max="12039" width="11.08984375" style="8" customWidth="1"/>
    <col min="12040" max="12040" width="2.90625" style="8" customWidth="1"/>
    <col min="12041" max="12041" width="3.54296875" style="8" customWidth="1"/>
    <col min="12042" max="12286" width="9.08984375" style="8"/>
    <col min="12287" max="12287" width="8.6328125" style="8" customWidth="1"/>
    <col min="12288" max="12288" width="9.90625" style="8" customWidth="1"/>
    <col min="12289" max="12289" width="14.453125" style="8" customWidth="1"/>
    <col min="12290" max="12290" width="7.36328125" style="8" customWidth="1"/>
    <col min="12291" max="12291" width="5.54296875" style="8" customWidth="1"/>
    <col min="12292" max="12292" width="9" style="8" customWidth="1"/>
    <col min="12293" max="12294" width="9.90625" style="8" customWidth="1"/>
    <col min="12295" max="12295" width="11.08984375" style="8" customWidth="1"/>
    <col min="12296" max="12296" width="2.90625" style="8" customWidth="1"/>
    <col min="12297" max="12297" width="3.54296875" style="8" customWidth="1"/>
    <col min="12298" max="12542" width="9.08984375" style="8"/>
    <col min="12543" max="12543" width="8.6328125" style="8" customWidth="1"/>
    <col min="12544" max="12544" width="9.90625" style="8" customWidth="1"/>
    <col min="12545" max="12545" width="14.453125" style="8" customWidth="1"/>
    <col min="12546" max="12546" width="7.36328125" style="8" customWidth="1"/>
    <col min="12547" max="12547" width="5.54296875" style="8" customWidth="1"/>
    <col min="12548" max="12548" width="9" style="8" customWidth="1"/>
    <col min="12549" max="12550" width="9.90625" style="8" customWidth="1"/>
    <col min="12551" max="12551" width="11.08984375" style="8" customWidth="1"/>
    <col min="12552" max="12552" width="2.90625" style="8" customWidth="1"/>
    <col min="12553" max="12553" width="3.54296875" style="8" customWidth="1"/>
    <col min="12554" max="12798" width="9.08984375" style="8"/>
    <col min="12799" max="12799" width="8.6328125" style="8" customWidth="1"/>
    <col min="12800" max="12800" width="9.90625" style="8" customWidth="1"/>
    <col min="12801" max="12801" width="14.453125" style="8" customWidth="1"/>
    <col min="12802" max="12802" width="7.36328125" style="8" customWidth="1"/>
    <col min="12803" max="12803" width="5.54296875" style="8" customWidth="1"/>
    <col min="12804" max="12804" width="9" style="8" customWidth="1"/>
    <col min="12805" max="12806" width="9.90625" style="8" customWidth="1"/>
    <col min="12807" max="12807" width="11.08984375" style="8" customWidth="1"/>
    <col min="12808" max="12808" width="2.90625" style="8" customWidth="1"/>
    <col min="12809" max="12809" width="3.54296875" style="8" customWidth="1"/>
    <col min="12810" max="13054" width="9.08984375" style="8"/>
    <col min="13055" max="13055" width="8.6328125" style="8" customWidth="1"/>
    <col min="13056" max="13056" width="9.90625" style="8" customWidth="1"/>
    <col min="13057" max="13057" width="14.453125" style="8" customWidth="1"/>
    <col min="13058" max="13058" width="7.36328125" style="8" customWidth="1"/>
    <col min="13059" max="13059" width="5.54296875" style="8" customWidth="1"/>
    <col min="13060" max="13060" width="9" style="8" customWidth="1"/>
    <col min="13061" max="13062" width="9.90625" style="8" customWidth="1"/>
    <col min="13063" max="13063" width="11.08984375" style="8" customWidth="1"/>
    <col min="13064" max="13064" width="2.90625" style="8" customWidth="1"/>
    <col min="13065" max="13065" width="3.54296875" style="8" customWidth="1"/>
    <col min="13066" max="13310" width="9.08984375" style="8"/>
    <col min="13311" max="13311" width="8.6328125" style="8" customWidth="1"/>
    <col min="13312" max="13312" width="9.90625" style="8" customWidth="1"/>
    <col min="13313" max="13313" width="14.453125" style="8" customWidth="1"/>
    <col min="13314" max="13314" width="7.36328125" style="8" customWidth="1"/>
    <col min="13315" max="13315" width="5.54296875" style="8" customWidth="1"/>
    <col min="13316" max="13316" width="9" style="8" customWidth="1"/>
    <col min="13317" max="13318" width="9.90625" style="8" customWidth="1"/>
    <col min="13319" max="13319" width="11.08984375" style="8" customWidth="1"/>
    <col min="13320" max="13320" width="2.90625" style="8" customWidth="1"/>
    <col min="13321" max="13321" width="3.54296875" style="8" customWidth="1"/>
    <col min="13322" max="13566" width="9.08984375" style="8"/>
    <col min="13567" max="13567" width="8.6328125" style="8" customWidth="1"/>
    <col min="13568" max="13568" width="9.90625" style="8" customWidth="1"/>
    <col min="13569" max="13569" width="14.453125" style="8" customWidth="1"/>
    <col min="13570" max="13570" width="7.36328125" style="8" customWidth="1"/>
    <col min="13571" max="13571" width="5.54296875" style="8" customWidth="1"/>
    <col min="13572" max="13572" width="9" style="8" customWidth="1"/>
    <col min="13573" max="13574" width="9.90625" style="8" customWidth="1"/>
    <col min="13575" max="13575" width="11.08984375" style="8" customWidth="1"/>
    <col min="13576" max="13576" width="2.90625" style="8" customWidth="1"/>
    <col min="13577" max="13577" width="3.54296875" style="8" customWidth="1"/>
    <col min="13578" max="13822" width="9.08984375" style="8"/>
    <col min="13823" max="13823" width="8.6328125" style="8" customWidth="1"/>
    <col min="13824" max="13824" width="9.90625" style="8" customWidth="1"/>
    <col min="13825" max="13825" width="14.453125" style="8" customWidth="1"/>
    <col min="13826" max="13826" width="7.36328125" style="8" customWidth="1"/>
    <col min="13827" max="13827" width="5.54296875" style="8" customWidth="1"/>
    <col min="13828" max="13828" width="9" style="8" customWidth="1"/>
    <col min="13829" max="13830" width="9.90625" style="8" customWidth="1"/>
    <col min="13831" max="13831" width="11.08984375" style="8" customWidth="1"/>
    <col min="13832" max="13832" width="2.90625" style="8" customWidth="1"/>
    <col min="13833" max="13833" width="3.54296875" style="8" customWidth="1"/>
    <col min="13834" max="14078" width="9.08984375" style="8"/>
    <col min="14079" max="14079" width="8.6328125" style="8" customWidth="1"/>
    <col min="14080" max="14080" width="9.90625" style="8" customWidth="1"/>
    <col min="14081" max="14081" width="14.453125" style="8" customWidth="1"/>
    <col min="14082" max="14082" width="7.36328125" style="8" customWidth="1"/>
    <col min="14083" max="14083" width="5.54296875" style="8" customWidth="1"/>
    <col min="14084" max="14084" width="9" style="8" customWidth="1"/>
    <col min="14085" max="14086" width="9.90625" style="8" customWidth="1"/>
    <col min="14087" max="14087" width="11.08984375" style="8" customWidth="1"/>
    <col min="14088" max="14088" width="2.90625" style="8" customWidth="1"/>
    <col min="14089" max="14089" width="3.54296875" style="8" customWidth="1"/>
    <col min="14090" max="14334" width="9.08984375" style="8"/>
    <col min="14335" max="14335" width="8.6328125" style="8" customWidth="1"/>
    <col min="14336" max="14336" width="9.90625" style="8" customWidth="1"/>
    <col min="14337" max="14337" width="14.453125" style="8" customWidth="1"/>
    <col min="14338" max="14338" width="7.36328125" style="8" customWidth="1"/>
    <col min="14339" max="14339" width="5.54296875" style="8" customWidth="1"/>
    <col min="14340" max="14340" width="9" style="8" customWidth="1"/>
    <col min="14341" max="14342" width="9.90625" style="8" customWidth="1"/>
    <col min="14343" max="14343" width="11.08984375" style="8" customWidth="1"/>
    <col min="14344" max="14344" width="2.90625" style="8" customWidth="1"/>
    <col min="14345" max="14345" width="3.54296875" style="8" customWidth="1"/>
    <col min="14346" max="14590" width="9.08984375" style="8"/>
    <col min="14591" max="14591" width="8.6328125" style="8" customWidth="1"/>
    <col min="14592" max="14592" width="9.90625" style="8" customWidth="1"/>
    <col min="14593" max="14593" width="14.453125" style="8" customWidth="1"/>
    <col min="14594" max="14594" width="7.36328125" style="8" customWidth="1"/>
    <col min="14595" max="14595" width="5.54296875" style="8" customWidth="1"/>
    <col min="14596" max="14596" width="9" style="8" customWidth="1"/>
    <col min="14597" max="14598" width="9.90625" style="8" customWidth="1"/>
    <col min="14599" max="14599" width="11.08984375" style="8" customWidth="1"/>
    <col min="14600" max="14600" width="2.90625" style="8" customWidth="1"/>
    <col min="14601" max="14601" width="3.54296875" style="8" customWidth="1"/>
    <col min="14602" max="14846" width="9.08984375" style="8"/>
    <col min="14847" max="14847" width="8.6328125" style="8" customWidth="1"/>
    <col min="14848" max="14848" width="9.90625" style="8" customWidth="1"/>
    <col min="14849" max="14849" width="14.453125" style="8" customWidth="1"/>
    <col min="14850" max="14850" width="7.36328125" style="8" customWidth="1"/>
    <col min="14851" max="14851" width="5.54296875" style="8" customWidth="1"/>
    <col min="14852" max="14852" width="9" style="8" customWidth="1"/>
    <col min="14853" max="14854" width="9.90625" style="8" customWidth="1"/>
    <col min="14855" max="14855" width="11.08984375" style="8" customWidth="1"/>
    <col min="14856" max="14856" width="2.90625" style="8" customWidth="1"/>
    <col min="14857" max="14857" width="3.54296875" style="8" customWidth="1"/>
    <col min="14858" max="15102" width="9.08984375" style="8"/>
    <col min="15103" max="15103" width="8.6328125" style="8" customWidth="1"/>
    <col min="15104" max="15104" width="9.90625" style="8" customWidth="1"/>
    <col min="15105" max="15105" width="14.453125" style="8" customWidth="1"/>
    <col min="15106" max="15106" width="7.36328125" style="8" customWidth="1"/>
    <col min="15107" max="15107" width="5.54296875" style="8" customWidth="1"/>
    <col min="15108" max="15108" width="9" style="8" customWidth="1"/>
    <col min="15109" max="15110" width="9.90625" style="8" customWidth="1"/>
    <col min="15111" max="15111" width="11.08984375" style="8" customWidth="1"/>
    <col min="15112" max="15112" width="2.90625" style="8" customWidth="1"/>
    <col min="15113" max="15113" width="3.54296875" style="8" customWidth="1"/>
    <col min="15114" max="15358" width="9.08984375" style="8"/>
    <col min="15359" max="15359" width="8.6328125" style="8" customWidth="1"/>
    <col min="15360" max="15360" width="9.90625" style="8" customWidth="1"/>
    <col min="15361" max="15361" width="14.453125" style="8" customWidth="1"/>
    <col min="15362" max="15362" width="7.36328125" style="8" customWidth="1"/>
    <col min="15363" max="15363" width="5.54296875" style="8" customWidth="1"/>
    <col min="15364" max="15364" width="9" style="8" customWidth="1"/>
    <col min="15365" max="15366" width="9.90625" style="8" customWidth="1"/>
    <col min="15367" max="15367" width="11.08984375" style="8" customWidth="1"/>
    <col min="15368" max="15368" width="2.90625" style="8" customWidth="1"/>
    <col min="15369" max="15369" width="3.54296875" style="8" customWidth="1"/>
    <col min="15370" max="15614" width="9.08984375" style="8"/>
    <col min="15615" max="15615" width="8.6328125" style="8" customWidth="1"/>
    <col min="15616" max="15616" width="9.90625" style="8" customWidth="1"/>
    <col min="15617" max="15617" width="14.453125" style="8" customWidth="1"/>
    <col min="15618" max="15618" width="7.36328125" style="8" customWidth="1"/>
    <col min="15619" max="15619" width="5.54296875" style="8" customWidth="1"/>
    <col min="15620" max="15620" width="9" style="8" customWidth="1"/>
    <col min="15621" max="15622" width="9.90625" style="8" customWidth="1"/>
    <col min="15623" max="15623" width="11.08984375" style="8" customWidth="1"/>
    <col min="15624" max="15624" width="2.90625" style="8" customWidth="1"/>
    <col min="15625" max="15625" width="3.54296875" style="8" customWidth="1"/>
    <col min="15626" max="15870" width="9.08984375" style="8"/>
    <col min="15871" max="15871" width="8.6328125" style="8" customWidth="1"/>
    <col min="15872" max="15872" width="9.90625" style="8" customWidth="1"/>
    <col min="15873" max="15873" width="14.453125" style="8" customWidth="1"/>
    <col min="15874" max="15874" width="7.36328125" style="8" customWidth="1"/>
    <col min="15875" max="15875" width="5.54296875" style="8" customWidth="1"/>
    <col min="15876" max="15876" width="9" style="8" customWidth="1"/>
    <col min="15877" max="15878" width="9.90625" style="8" customWidth="1"/>
    <col min="15879" max="15879" width="11.08984375" style="8" customWidth="1"/>
    <col min="15880" max="15880" width="2.90625" style="8" customWidth="1"/>
    <col min="15881" max="15881" width="3.54296875" style="8" customWidth="1"/>
    <col min="15882" max="16126" width="9.08984375" style="8"/>
    <col min="16127" max="16127" width="8.6328125" style="8" customWidth="1"/>
    <col min="16128" max="16128" width="9.90625" style="8" customWidth="1"/>
    <col min="16129" max="16129" width="14.453125" style="8" customWidth="1"/>
    <col min="16130" max="16130" width="7.36328125" style="8" customWidth="1"/>
    <col min="16131" max="16131" width="5.54296875" style="8" customWidth="1"/>
    <col min="16132" max="16132" width="9" style="8" customWidth="1"/>
    <col min="16133" max="16134" width="9.90625" style="8" customWidth="1"/>
    <col min="16135" max="16135" width="11.08984375" style="8" customWidth="1"/>
    <col min="16136" max="16136" width="2.90625" style="8" customWidth="1"/>
    <col min="16137" max="16137" width="3.54296875" style="8" customWidth="1"/>
    <col min="16138" max="16384" width="9.08984375" style="8"/>
  </cols>
  <sheetData>
    <row r="1" spans="1:11" ht="46.5" customHeight="1" x14ac:dyDescent="0.35">
      <c r="A1" s="114" t="s">
        <v>119</v>
      </c>
      <c r="B1" s="114"/>
      <c r="C1" s="114"/>
      <c r="D1" s="114"/>
      <c r="E1" s="114"/>
      <c r="F1" s="114"/>
      <c r="G1" s="114"/>
      <c r="H1" s="114"/>
      <c r="I1" s="11"/>
      <c r="J1" s="11"/>
      <c r="K1" s="11"/>
    </row>
    <row r="2" spans="1:11" ht="16.5" customHeight="1" x14ac:dyDescent="0.35">
      <c r="A2" s="115" t="s">
        <v>0</v>
      </c>
      <c r="B2" s="115"/>
      <c r="C2" s="115"/>
      <c r="D2" s="115"/>
      <c r="E2" s="115"/>
      <c r="F2" s="115"/>
      <c r="G2" s="115"/>
      <c r="H2" s="115"/>
      <c r="I2" s="11"/>
      <c r="J2" s="11"/>
      <c r="K2" s="11"/>
    </row>
    <row r="3" spans="1:11" x14ac:dyDescent="0.35">
      <c r="A3" s="107" t="s">
        <v>1</v>
      </c>
      <c r="B3" s="107"/>
      <c r="C3" s="107"/>
      <c r="D3" s="107"/>
      <c r="E3" s="116" t="str">
        <f ca="1">TEXT(TODAY(),"DD/MM/YYYY")</f>
        <v>04/08/2025</v>
      </c>
      <c r="F3" s="116"/>
      <c r="G3" s="116"/>
      <c r="H3" s="116"/>
      <c r="I3" s="11"/>
      <c r="J3" s="11"/>
      <c r="K3" s="11"/>
    </row>
    <row r="4" spans="1:11" ht="15" customHeight="1" x14ac:dyDescent="0.35">
      <c r="A4" s="107" t="s">
        <v>2</v>
      </c>
      <c r="B4" s="107"/>
      <c r="C4" s="107"/>
      <c r="D4" s="107"/>
      <c r="E4" s="117" t="s">
        <v>227</v>
      </c>
      <c r="F4" s="117"/>
      <c r="G4" s="117"/>
      <c r="H4" s="117"/>
      <c r="I4" s="11"/>
      <c r="J4" s="11"/>
      <c r="K4" s="11"/>
    </row>
    <row r="5" spans="1:11" x14ac:dyDescent="0.35">
      <c r="A5" s="107" t="s">
        <v>3</v>
      </c>
      <c r="B5" s="107"/>
      <c r="C5" s="107"/>
      <c r="D5" s="107"/>
      <c r="E5" s="116" t="s">
        <v>228</v>
      </c>
      <c r="F5" s="116"/>
      <c r="G5" s="116"/>
      <c r="H5" s="116"/>
      <c r="I5" s="11"/>
      <c r="J5" s="11"/>
      <c r="K5" s="11"/>
    </row>
    <row r="6" spans="1:11" ht="16.5" customHeight="1" x14ac:dyDescent="0.35">
      <c r="A6" s="107" t="s">
        <v>4</v>
      </c>
      <c r="B6" s="107"/>
      <c r="C6" s="107"/>
      <c r="D6" s="107"/>
      <c r="E6" s="118" t="s">
        <v>185</v>
      </c>
      <c r="F6" s="118"/>
      <c r="G6" s="118"/>
      <c r="H6" s="118"/>
      <c r="I6" s="11"/>
      <c r="J6" s="11"/>
      <c r="K6" s="11"/>
    </row>
    <row r="7" spans="1:11" ht="15" customHeight="1" x14ac:dyDescent="0.35">
      <c r="A7" s="107" t="s">
        <v>5</v>
      </c>
      <c r="B7" s="107"/>
      <c r="C7" s="107"/>
      <c r="D7" s="107"/>
      <c r="E7" s="118" t="str">
        <f>E6</f>
        <v>M/s. Sandu Developers</v>
      </c>
      <c r="F7" s="118"/>
      <c r="G7" s="118"/>
      <c r="H7" s="118"/>
      <c r="I7" s="11"/>
      <c r="J7" s="11"/>
      <c r="K7" s="11"/>
    </row>
    <row r="8" spans="1:11" x14ac:dyDescent="0.35">
      <c r="A8" s="257" t="s">
        <v>6</v>
      </c>
      <c r="B8" s="257"/>
      <c r="C8" s="257"/>
      <c r="D8" s="257"/>
      <c r="E8" s="257" t="s">
        <v>233</v>
      </c>
      <c r="F8" s="257"/>
      <c r="G8" s="257"/>
      <c r="H8" s="257"/>
      <c r="I8" s="11"/>
      <c r="J8" s="11"/>
      <c r="K8" s="11"/>
    </row>
    <row r="9" spans="1:11" x14ac:dyDescent="0.35">
      <c r="A9" s="107" t="s">
        <v>180</v>
      </c>
      <c r="B9" s="107"/>
      <c r="C9" s="107"/>
      <c r="D9" s="107"/>
      <c r="E9" s="107" t="s">
        <v>184</v>
      </c>
      <c r="F9" s="107"/>
      <c r="G9" s="107"/>
      <c r="H9" s="107"/>
      <c r="I9" s="11"/>
      <c r="J9" s="11"/>
      <c r="K9" s="11"/>
    </row>
    <row r="10" spans="1:11" x14ac:dyDescent="0.35">
      <c r="A10" s="107" t="s">
        <v>7</v>
      </c>
      <c r="B10" s="107"/>
      <c r="C10" s="107"/>
      <c r="D10" s="107"/>
      <c r="E10" s="107" t="s">
        <v>188</v>
      </c>
      <c r="F10" s="107"/>
      <c r="G10" s="107"/>
      <c r="H10" s="107"/>
      <c r="I10" s="11"/>
      <c r="J10" s="11"/>
      <c r="K10" s="11"/>
    </row>
    <row r="11" spans="1:11" ht="32.25" customHeight="1" x14ac:dyDescent="0.35">
      <c r="A11" s="107" t="s">
        <v>8</v>
      </c>
      <c r="B11" s="107"/>
      <c r="C11" s="107"/>
      <c r="D11" s="107"/>
      <c r="E11" s="118" t="s">
        <v>158</v>
      </c>
      <c r="F11" s="118"/>
      <c r="G11" s="118"/>
      <c r="H11" s="118"/>
      <c r="I11" s="11"/>
      <c r="J11" s="11"/>
      <c r="K11" s="11"/>
    </row>
    <row r="12" spans="1:11" x14ac:dyDescent="0.35">
      <c r="A12" s="257" t="s">
        <v>232</v>
      </c>
      <c r="B12" s="257"/>
      <c r="C12" s="257"/>
      <c r="D12" s="257"/>
      <c r="E12" s="256" t="s">
        <v>231</v>
      </c>
      <c r="F12" s="257"/>
      <c r="G12" s="257"/>
      <c r="H12" s="257"/>
      <c r="I12" s="11"/>
      <c r="J12" s="11"/>
      <c r="K12" s="11"/>
    </row>
    <row r="13" spans="1:11" ht="54" customHeight="1" x14ac:dyDescent="0.35">
      <c r="A13" s="118" t="s">
        <v>9</v>
      </c>
      <c r="B13" s="118"/>
      <c r="C13" s="118" t="s">
        <v>236</v>
      </c>
      <c r="D13" s="118"/>
      <c r="E13" s="118"/>
      <c r="F13" s="118"/>
      <c r="G13" s="118"/>
      <c r="H13" s="118"/>
      <c r="I13" s="11"/>
      <c r="J13" s="11"/>
      <c r="K13" s="11"/>
    </row>
    <row r="14" spans="1:11" ht="18.75" customHeight="1" x14ac:dyDescent="0.35">
      <c r="A14" s="256" t="s">
        <v>235</v>
      </c>
      <c r="B14" s="256"/>
      <c r="C14" s="256" t="s">
        <v>234</v>
      </c>
      <c r="D14" s="256"/>
      <c r="E14" s="256"/>
      <c r="F14" s="256"/>
      <c r="G14" s="256"/>
      <c r="H14" s="256"/>
      <c r="I14" s="11"/>
      <c r="J14" s="11"/>
      <c r="K14" s="11"/>
    </row>
    <row r="15" spans="1:11" ht="15.75" customHeight="1" x14ac:dyDescent="0.35">
      <c r="A15" s="118" t="s">
        <v>10</v>
      </c>
      <c r="B15" s="118"/>
      <c r="C15" s="107" t="s">
        <v>219</v>
      </c>
      <c r="D15" s="107"/>
      <c r="E15" s="118" t="s">
        <v>111</v>
      </c>
      <c r="F15" s="118"/>
      <c r="G15" s="118" t="s">
        <v>186</v>
      </c>
      <c r="H15" s="118"/>
      <c r="I15" s="11"/>
      <c r="J15" s="11"/>
      <c r="K15" s="11"/>
    </row>
    <row r="16" spans="1:11" x14ac:dyDescent="0.35">
      <c r="A16" s="107" t="s">
        <v>12</v>
      </c>
      <c r="B16" s="107"/>
      <c r="C16" s="118" t="s">
        <v>223</v>
      </c>
      <c r="D16" s="118"/>
      <c r="E16" s="118" t="s">
        <v>11</v>
      </c>
      <c r="F16" s="118"/>
      <c r="G16" s="119" t="s">
        <v>187</v>
      </c>
      <c r="H16" s="119"/>
      <c r="I16" s="11"/>
      <c r="J16" s="11"/>
      <c r="K16" s="11"/>
    </row>
    <row r="17" spans="1:11" x14ac:dyDescent="0.35">
      <c r="A17" s="107" t="s">
        <v>112</v>
      </c>
      <c r="B17" s="107"/>
      <c r="C17" s="118" t="s">
        <v>186</v>
      </c>
      <c r="D17" s="118"/>
      <c r="E17" s="118" t="s">
        <v>13</v>
      </c>
      <c r="F17" s="118"/>
      <c r="G17" s="118">
        <v>400086</v>
      </c>
      <c r="H17" s="118"/>
      <c r="I17" s="11"/>
      <c r="J17" s="11"/>
      <c r="K17" s="11"/>
    </row>
    <row r="18" spans="1:11" ht="32.25" customHeight="1" x14ac:dyDescent="0.35">
      <c r="A18" s="107" t="s">
        <v>183</v>
      </c>
      <c r="B18" s="107"/>
      <c r="C18" s="244" t="s">
        <v>218</v>
      </c>
      <c r="D18" s="244"/>
      <c r="E18" s="118" t="s">
        <v>14</v>
      </c>
      <c r="F18" s="118"/>
      <c r="G18" s="118" t="s">
        <v>222</v>
      </c>
      <c r="H18" s="118"/>
      <c r="I18" s="11"/>
      <c r="J18" s="11"/>
      <c r="K18" s="11"/>
    </row>
    <row r="19" spans="1:11" ht="15" customHeight="1" x14ac:dyDescent="0.35">
      <c r="A19" s="118" t="s">
        <v>116</v>
      </c>
      <c r="B19" s="118"/>
      <c r="C19" s="118"/>
      <c r="D19" s="118"/>
      <c r="E19" s="107" t="s">
        <v>15</v>
      </c>
      <c r="F19" s="107"/>
      <c r="G19" s="107"/>
      <c r="H19" s="107"/>
      <c r="I19" s="11"/>
      <c r="J19" s="11"/>
      <c r="K19" s="11"/>
    </row>
    <row r="20" spans="1:11" ht="18.75" customHeight="1" x14ac:dyDescent="0.35">
      <c r="A20" s="118"/>
      <c r="B20" s="118"/>
      <c r="C20" s="118"/>
      <c r="D20" s="118"/>
      <c r="E20" s="107"/>
      <c r="F20" s="107"/>
      <c r="G20" s="107"/>
      <c r="H20" s="107"/>
      <c r="I20" s="11"/>
      <c r="J20" s="11"/>
      <c r="K20" s="11"/>
    </row>
    <row r="21" spans="1:11" ht="15" customHeight="1" x14ac:dyDescent="0.35">
      <c r="A21" s="118" t="s">
        <v>16</v>
      </c>
      <c r="B21" s="118"/>
      <c r="C21" s="118"/>
      <c r="D21" s="118"/>
      <c r="E21" s="118" t="s">
        <v>17</v>
      </c>
      <c r="F21" s="118"/>
      <c r="G21" s="118"/>
      <c r="H21" s="118"/>
      <c r="I21" s="11"/>
      <c r="J21" s="11"/>
      <c r="K21" s="11"/>
    </row>
    <row r="22" spans="1:11" ht="15" customHeight="1" x14ac:dyDescent="0.35">
      <c r="A22" s="107" t="s">
        <v>18</v>
      </c>
      <c r="B22" s="107"/>
      <c r="C22" s="107"/>
      <c r="D22" s="107"/>
      <c r="E22" s="118" t="str">
        <f>IF(AND(G16="Mumbai"),"Upper Class","Middle Class")</f>
        <v>Upper Class</v>
      </c>
      <c r="F22" s="118"/>
      <c r="G22" s="118"/>
      <c r="H22" s="118"/>
      <c r="I22" s="11"/>
      <c r="J22" s="11"/>
      <c r="K22" s="11"/>
    </row>
    <row r="23" spans="1:11" x14ac:dyDescent="0.35">
      <c r="A23" s="107" t="s">
        <v>19</v>
      </c>
      <c r="B23" s="107"/>
      <c r="C23" s="107"/>
      <c r="D23" s="107"/>
      <c r="E23" s="118" t="s">
        <v>20</v>
      </c>
      <c r="F23" s="118"/>
      <c r="G23" s="118"/>
      <c r="H23" s="118"/>
      <c r="I23" s="11"/>
      <c r="J23" s="11"/>
      <c r="K23" s="11"/>
    </row>
    <row r="24" spans="1:11" ht="15.75" customHeight="1" x14ac:dyDescent="0.35">
      <c r="A24" s="107" t="s">
        <v>21</v>
      </c>
      <c r="B24" s="107"/>
      <c r="C24" s="107"/>
      <c r="D24" s="107"/>
      <c r="E24" s="118" t="str">
        <f>IF(AND(G16="Mumbai"),"Developed","Developing")</f>
        <v>Developed</v>
      </c>
      <c r="F24" s="118"/>
      <c r="G24" s="118"/>
      <c r="H24" s="118"/>
      <c r="I24" s="11"/>
      <c r="J24" s="11"/>
      <c r="K24" s="11"/>
    </row>
    <row r="25" spans="1:11" x14ac:dyDescent="0.35">
      <c r="A25" s="107" t="s">
        <v>22</v>
      </c>
      <c r="B25" s="107"/>
      <c r="C25" s="107"/>
      <c r="D25" s="107"/>
      <c r="E25" s="118" t="s">
        <v>23</v>
      </c>
      <c r="F25" s="118"/>
      <c r="G25" s="118"/>
      <c r="H25" s="118"/>
      <c r="I25" s="11"/>
      <c r="J25" s="11"/>
      <c r="K25" s="11"/>
    </row>
    <row r="26" spans="1:11" x14ac:dyDescent="0.35">
      <c r="A26" s="107" t="s">
        <v>125</v>
      </c>
      <c r="B26" s="107"/>
      <c r="C26" s="107"/>
      <c r="D26" s="107"/>
      <c r="E26" s="118" t="s">
        <v>126</v>
      </c>
      <c r="F26" s="118"/>
      <c r="G26" s="118"/>
      <c r="H26" s="118"/>
      <c r="I26" s="11"/>
      <c r="J26" s="11"/>
      <c r="K26" s="11"/>
    </row>
    <row r="27" spans="1:11" ht="15" customHeight="1" x14ac:dyDescent="0.35">
      <c r="A27" s="118" t="s">
        <v>34</v>
      </c>
      <c r="B27" s="118"/>
      <c r="C27" s="118"/>
      <c r="D27" s="118"/>
      <c r="E27" s="117" t="s">
        <v>121</v>
      </c>
      <c r="F27" s="117"/>
      <c r="G27" s="117"/>
      <c r="H27" s="117"/>
      <c r="I27" s="11"/>
      <c r="J27" s="11"/>
      <c r="K27" s="11"/>
    </row>
    <row r="28" spans="1:11" x14ac:dyDescent="0.35">
      <c r="A28" s="118" t="s">
        <v>139</v>
      </c>
      <c r="B28" s="118"/>
      <c r="C28" s="118"/>
      <c r="D28" s="118"/>
      <c r="E28" s="118" t="s">
        <v>35</v>
      </c>
      <c r="F28" s="118"/>
      <c r="G28" s="118"/>
      <c r="H28" s="118"/>
      <c r="I28" s="11"/>
      <c r="J28" s="11"/>
      <c r="K28" s="11"/>
    </row>
    <row r="29" spans="1:11" s="12" customFormat="1" x14ac:dyDescent="0.35">
      <c r="A29" s="122" t="s">
        <v>140</v>
      </c>
      <c r="B29" s="122"/>
      <c r="C29" s="115" t="s">
        <v>28</v>
      </c>
      <c r="D29" s="115"/>
      <c r="E29" s="115"/>
      <c r="F29" s="115" t="s">
        <v>30</v>
      </c>
      <c r="G29" s="115"/>
      <c r="H29" s="115"/>
      <c r="I29" s="11"/>
      <c r="J29" s="11"/>
      <c r="K29" s="11"/>
    </row>
    <row r="30" spans="1:11" s="12" customFormat="1" x14ac:dyDescent="0.35">
      <c r="A30" s="120" t="s">
        <v>24</v>
      </c>
      <c r="B30" s="120" t="s">
        <v>29</v>
      </c>
      <c r="C30" s="121" t="s">
        <v>29</v>
      </c>
      <c r="D30" s="121"/>
      <c r="E30" s="121"/>
      <c r="F30" s="121" t="s">
        <v>220</v>
      </c>
      <c r="G30" s="121"/>
      <c r="H30" s="121"/>
      <c r="I30" s="11"/>
      <c r="J30" s="11"/>
      <c r="K30" s="11"/>
    </row>
    <row r="31" spans="1:11" x14ac:dyDescent="0.35">
      <c r="A31" s="120" t="s">
        <v>25</v>
      </c>
      <c r="B31" s="120" t="s">
        <v>29</v>
      </c>
      <c r="C31" s="121" t="s">
        <v>29</v>
      </c>
      <c r="D31" s="121"/>
      <c r="E31" s="121"/>
      <c r="F31" s="121" t="s">
        <v>221</v>
      </c>
      <c r="G31" s="121"/>
      <c r="H31" s="121"/>
      <c r="I31" s="11"/>
      <c r="J31" s="11"/>
      <c r="K31" s="11"/>
    </row>
    <row r="32" spans="1:11" s="12" customFormat="1" x14ac:dyDescent="0.35">
      <c r="A32" s="120" t="s">
        <v>27</v>
      </c>
      <c r="B32" s="120" t="s">
        <v>29</v>
      </c>
      <c r="C32" s="121" t="s">
        <v>29</v>
      </c>
      <c r="D32" s="121"/>
      <c r="E32" s="121"/>
      <c r="F32" s="121" t="s">
        <v>219</v>
      </c>
      <c r="G32" s="121"/>
      <c r="H32" s="121"/>
      <c r="I32" s="11"/>
      <c r="J32" s="11"/>
      <c r="K32" s="11"/>
    </row>
    <row r="33" spans="1:11" x14ac:dyDescent="0.35">
      <c r="A33" s="120" t="s">
        <v>26</v>
      </c>
      <c r="B33" s="120" t="s">
        <v>29</v>
      </c>
      <c r="C33" s="121" t="s">
        <v>29</v>
      </c>
      <c r="D33" s="121"/>
      <c r="E33" s="121"/>
      <c r="F33" s="121" t="s">
        <v>217</v>
      </c>
      <c r="G33" s="121"/>
      <c r="H33" s="121"/>
      <c r="I33" s="11"/>
      <c r="J33" s="11"/>
      <c r="K33" s="11"/>
    </row>
    <row r="34" spans="1:11" x14ac:dyDescent="0.35">
      <c r="A34" s="107" t="s">
        <v>31</v>
      </c>
      <c r="B34" s="107"/>
      <c r="C34" s="107"/>
      <c r="D34" s="107"/>
      <c r="E34" s="107"/>
      <c r="F34" s="107"/>
      <c r="G34" s="107"/>
      <c r="H34" s="107"/>
      <c r="I34" s="11"/>
      <c r="J34" s="11"/>
      <c r="K34" s="11"/>
    </row>
    <row r="35" spans="1:11" ht="15.75" customHeight="1" x14ac:dyDescent="0.35">
      <c r="A35" s="115" t="s">
        <v>32</v>
      </c>
      <c r="B35" s="115"/>
      <c r="C35" s="120">
        <v>19.088750229999999</v>
      </c>
      <c r="D35" s="120"/>
      <c r="E35" s="115" t="s">
        <v>33</v>
      </c>
      <c r="F35" s="115"/>
      <c r="G35" s="121">
        <v>72.907187329999999</v>
      </c>
      <c r="H35" s="121"/>
      <c r="I35" s="11"/>
      <c r="J35" s="11"/>
      <c r="K35" s="11"/>
    </row>
    <row r="36" spans="1:11" x14ac:dyDescent="0.35">
      <c r="A36" s="108" t="s">
        <v>36</v>
      </c>
      <c r="B36" s="108"/>
      <c r="C36" s="108"/>
      <c r="D36" s="108"/>
      <c r="E36" s="108"/>
      <c r="F36" s="108"/>
      <c r="G36" s="108"/>
      <c r="H36" s="108"/>
      <c r="I36" s="11"/>
      <c r="J36" s="11"/>
      <c r="K36" s="11"/>
    </row>
    <row r="37" spans="1:11" x14ac:dyDescent="0.35">
      <c r="A37" s="107" t="s">
        <v>37</v>
      </c>
      <c r="B37" s="107"/>
      <c r="C37" s="107"/>
      <c r="D37" s="107"/>
      <c r="E37" s="131">
        <v>1599</v>
      </c>
      <c r="F37" s="131"/>
      <c r="G37" s="131"/>
      <c r="H37" s="131"/>
      <c r="I37" s="11"/>
      <c r="J37" s="11"/>
      <c r="K37" s="11"/>
    </row>
    <row r="38" spans="1:11" x14ac:dyDescent="0.35">
      <c r="A38" s="107" t="s">
        <v>38</v>
      </c>
      <c r="B38" s="107"/>
      <c r="C38" s="107"/>
      <c r="D38" s="107"/>
      <c r="E38" s="129">
        <v>1</v>
      </c>
      <c r="F38" s="129"/>
      <c r="G38" s="129"/>
      <c r="H38" s="129"/>
      <c r="I38" s="11"/>
      <c r="J38" s="11"/>
      <c r="K38" s="11"/>
    </row>
    <row r="39" spans="1:11" x14ac:dyDescent="0.35">
      <c r="A39" s="107" t="s">
        <v>39</v>
      </c>
      <c r="B39" s="107"/>
      <c r="C39" s="107"/>
      <c r="D39" s="107"/>
      <c r="E39" s="129">
        <f>E41/E37-E38</f>
        <v>0</v>
      </c>
      <c r="F39" s="129"/>
      <c r="G39" s="129"/>
      <c r="H39" s="129"/>
      <c r="I39" s="11"/>
      <c r="J39" s="11"/>
      <c r="K39" s="11"/>
    </row>
    <row r="40" spans="1:11" x14ac:dyDescent="0.35">
      <c r="A40" s="107" t="s">
        <v>40</v>
      </c>
      <c r="B40" s="107"/>
      <c r="C40" s="107"/>
      <c r="D40" s="107"/>
      <c r="E40" s="129">
        <f>E38+E39</f>
        <v>1</v>
      </c>
      <c r="F40" s="129"/>
      <c r="G40" s="129"/>
      <c r="H40" s="129"/>
      <c r="I40" s="11"/>
      <c r="J40" s="11"/>
      <c r="K40" s="11"/>
    </row>
    <row r="41" spans="1:11" x14ac:dyDescent="0.35">
      <c r="A41" s="107" t="s">
        <v>138</v>
      </c>
      <c r="B41" s="107"/>
      <c r="C41" s="107"/>
      <c r="D41" s="107"/>
      <c r="E41" s="130">
        <v>1599</v>
      </c>
      <c r="F41" s="130"/>
      <c r="G41" s="130"/>
      <c r="H41" s="130"/>
      <c r="I41" s="11"/>
      <c r="J41" s="11"/>
      <c r="K41" s="11"/>
    </row>
    <row r="42" spans="1:11" x14ac:dyDescent="0.35">
      <c r="A42" s="107" t="s">
        <v>41</v>
      </c>
      <c r="B42" s="107"/>
      <c r="C42" s="107"/>
      <c r="D42" s="107"/>
      <c r="E42" s="107" t="s">
        <v>181</v>
      </c>
      <c r="F42" s="107"/>
      <c r="G42" s="107"/>
      <c r="H42" s="107"/>
      <c r="I42" s="11"/>
      <c r="J42" s="11"/>
      <c r="K42" s="11"/>
    </row>
    <row r="43" spans="1:11" x14ac:dyDescent="0.35">
      <c r="A43" s="108" t="s">
        <v>42</v>
      </c>
      <c r="B43" s="108"/>
      <c r="C43" s="108"/>
      <c r="D43" s="108"/>
      <c r="E43" s="108"/>
      <c r="F43" s="108"/>
      <c r="G43" s="108"/>
      <c r="H43" s="108"/>
      <c r="I43" s="11"/>
      <c r="J43" s="11"/>
      <c r="K43" s="11"/>
    </row>
    <row r="44" spans="1:11" x14ac:dyDescent="0.35">
      <c r="A44" s="118" t="s">
        <v>43</v>
      </c>
      <c r="B44" s="118"/>
      <c r="C44" s="244" t="s">
        <v>229</v>
      </c>
      <c r="D44" s="244"/>
      <c r="E44" s="244"/>
      <c r="F44" s="33" t="s">
        <v>44</v>
      </c>
      <c r="G44" s="255" t="s">
        <v>239</v>
      </c>
      <c r="H44" s="255"/>
      <c r="I44" s="11"/>
      <c r="J44" s="11"/>
      <c r="K44" s="11"/>
    </row>
    <row r="45" spans="1:11" ht="31.5" customHeight="1" x14ac:dyDescent="0.35">
      <c r="A45" s="118" t="s">
        <v>45</v>
      </c>
      <c r="B45" s="118"/>
      <c r="C45" s="244" t="str">
        <f>C44</f>
        <v>CHE/ES/2553/N/337(NEW)</v>
      </c>
      <c r="D45" s="244"/>
      <c r="E45" s="244"/>
      <c r="F45" s="33" t="s">
        <v>44</v>
      </c>
      <c r="G45" s="255" t="str">
        <f>G44</f>
        <v>01/02/2019.</v>
      </c>
      <c r="H45" s="255"/>
      <c r="I45" s="11"/>
      <c r="J45" s="11"/>
      <c r="K45" s="11"/>
    </row>
    <row r="46" spans="1:11" s="11" customFormat="1" ht="33" customHeight="1" x14ac:dyDescent="0.35">
      <c r="A46" s="132" t="s">
        <v>46</v>
      </c>
      <c r="B46" s="133"/>
      <c r="C46" s="244" t="s">
        <v>189</v>
      </c>
      <c r="D46" s="243"/>
      <c r="E46" s="243"/>
      <c r="F46" s="14" t="s">
        <v>44</v>
      </c>
      <c r="G46" s="138" t="s">
        <v>191</v>
      </c>
      <c r="H46" s="138"/>
    </row>
    <row r="47" spans="1:11" s="11" customFormat="1" ht="34.5" customHeight="1" x14ac:dyDescent="0.35">
      <c r="A47" s="136"/>
      <c r="B47" s="137"/>
      <c r="C47" s="244" t="s">
        <v>190</v>
      </c>
      <c r="D47" s="243"/>
      <c r="E47" s="243"/>
      <c r="F47" s="32" t="s">
        <v>182</v>
      </c>
      <c r="G47" s="138" t="s">
        <v>192</v>
      </c>
      <c r="H47" s="138"/>
    </row>
    <row r="48" spans="1:11" s="11" customFormat="1" ht="33" customHeight="1" x14ac:dyDescent="0.35">
      <c r="A48" s="134"/>
      <c r="B48" s="135"/>
      <c r="C48" s="263" t="s">
        <v>237</v>
      </c>
      <c r="D48" s="264"/>
      <c r="E48" s="264"/>
      <c r="F48" s="264"/>
      <c r="G48" s="264"/>
      <c r="H48" s="265"/>
    </row>
    <row r="49" spans="1:11" x14ac:dyDescent="0.35">
      <c r="A49" s="139" t="s">
        <v>47</v>
      </c>
      <c r="B49" s="139"/>
      <c r="C49" s="252" t="s">
        <v>159</v>
      </c>
      <c r="D49" s="253"/>
      <c r="E49" s="253" t="s">
        <v>48</v>
      </c>
      <c r="F49" s="35" t="s">
        <v>44</v>
      </c>
      <c r="G49" s="140" t="s">
        <v>29</v>
      </c>
      <c r="H49" s="140"/>
      <c r="I49" s="11"/>
      <c r="J49" s="11"/>
      <c r="K49" s="11"/>
    </row>
    <row r="50" spans="1:11" x14ac:dyDescent="0.35">
      <c r="A50" s="141" t="s">
        <v>50</v>
      </c>
      <c r="B50" s="141"/>
      <c r="C50" s="141"/>
      <c r="D50" s="141"/>
      <c r="E50" s="141"/>
      <c r="F50" s="141"/>
      <c r="G50" s="141"/>
      <c r="H50" s="141"/>
      <c r="I50" s="11"/>
      <c r="J50" s="11"/>
      <c r="K50" s="11"/>
    </row>
    <row r="51" spans="1:11" x14ac:dyDescent="0.35">
      <c r="A51" s="118" t="s">
        <v>137</v>
      </c>
      <c r="B51" s="118"/>
      <c r="C51" s="118"/>
      <c r="D51" s="107">
        <f>E41</f>
        <v>1599</v>
      </c>
      <c r="E51" s="107"/>
      <c r="F51" s="107"/>
      <c r="G51" s="107"/>
      <c r="H51" s="107"/>
      <c r="I51" s="11"/>
      <c r="J51" s="11"/>
      <c r="K51" s="11"/>
    </row>
    <row r="52" spans="1:11" x14ac:dyDescent="0.35">
      <c r="A52" s="118" t="s">
        <v>51</v>
      </c>
      <c r="B52" s="107"/>
      <c r="C52" s="107"/>
      <c r="D52" s="107" t="s">
        <v>213</v>
      </c>
      <c r="E52" s="107"/>
      <c r="F52" s="107"/>
      <c r="G52" s="107"/>
      <c r="H52" s="107"/>
      <c r="I52" s="11"/>
      <c r="J52" s="11"/>
      <c r="K52" s="11"/>
    </row>
    <row r="53" spans="1:11" x14ac:dyDescent="0.35">
      <c r="A53" s="118" t="s">
        <v>52</v>
      </c>
      <c r="B53" s="107"/>
      <c r="C53" s="107"/>
      <c r="D53" s="107" t="s">
        <v>215</v>
      </c>
      <c r="E53" s="107"/>
      <c r="F53" s="107"/>
      <c r="G53" s="107"/>
      <c r="H53" s="107"/>
      <c r="I53" s="11"/>
      <c r="J53" s="11"/>
      <c r="K53" s="11"/>
    </row>
    <row r="54" spans="1:11" ht="51" customHeight="1" x14ac:dyDescent="0.35">
      <c r="A54" s="118" t="s">
        <v>135</v>
      </c>
      <c r="B54" s="107"/>
      <c r="C54" s="107"/>
      <c r="D54" s="118" t="s">
        <v>238</v>
      </c>
      <c r="E54" s="107"/>
      <c r="F54" s="107"/>
      <c r="G54" s="107"/>
      <c r="H54" s="107"/>
      <c r="I54" s="11"/>
      <c r="J54" s="11"/>
      <c r="K54" s="11"/>
    </row>
    <row r="55" spans="1:11" ht="15.75" customHeight="1" x14ac:dyDescent="0.35">
      <c r="A55" s="107" t="s">
        <v>49</v>
      </c>
      <c r="B55" s="107"/>
      <c r="C55" s="107"/>
      <c r="D55" s="118" t="s">
        <v>214</v>
      </c>
      <c r="E55" s="118"/>
      <c r="F55" s="118"/>
      <c r="G55" s="118"/>
      <c r="H55" s="118"/>
      <c r="I55" s="11"/>
      <c r="J55" s="11"/>
      <c r="K55" s="11"/>
    </row>
    <row r="56" spans="1:11" ht="15.75" customHeight="1" x14ac:dyDescent="0.35">
      <c r="A56" s="107" t="s">
        <v>132</v>
      </c>
      <c r="B56" s="107"/>
      <c r="C56" s="107"/>
      <c r="D56" s="118" t="s">
        <v>133</v>
      </c>
      <c r="E56" s="118"/>
      <c r="F56" s="118"/>
      <c r="G56" s="118"/>
      <c r="H56" s="118"/>
      <c r="I56" s="11"/>
      <c r="J56" s="11"/>
      <c r="K56" s="11"/>
    </row>
    <row r="57" spans="1:11" ht="15.75" customHeight="1" x14ac:dyDescent="0.35">
      <c r="A57" s="107" t="s">
        <v>134</v>
      </c>
      <c r="B57" s="107"/>
      <c r="C57" s="107"/>
      <c r="D57" s="118" t="s">
        <v>23</v>
      </c>
      <c r="E57" s="118"/>
      <c r="F57" s="118"/>
      <c r="G57" s="118"/>
      <c r="H57" s="118"/>
      <c r="I57" s="11"/>
      <c r="J57" s="36"/>
      <c r="K57" s="36"/>
    </row>
    <row r="58" spans="1:11" ht="15.75" customHeight="1" thickBot="1" x14ac:dyDescent="0.4">
      <c r="A58" s="205" t="s">
        <v>131</v>
      </c>
      <c r="B58" s="205"/>
      <c r="C58" s="205"/>
      <c r="D58" s="206" t="str">
        <f>(IF(E63&gt;95%,"Nothing",IF(E63&gt;0%,"Cement, Aggregate, Steel, etc",IF(E63=0%,"Work not yet Started"))))</f>
        <v>Cement, Aggregate, Steel, etc</v>
      </c>
      <c r="E58" s="206"/>
      <c r="F58" s="206"/>
      <c r="G58" s="206"/>
      <c r="H58" s="206"/>
      <c r="I58" s="11"/>
      <c r="J58" s="36"/>
      <c r="K58" s="36"/>
    </row>
    <row r="59" spans="1:11" x14ac:dyDescent="0.35">
      <c r="A59" s="258" t="s">
        <v>224</v>
      </c>
      <c r="B59" s="259"/>
      <c r="C59" s="259"/>
      <c r="D59" s="259"/>
      <c r="E59" s="259"/>
      <c r="F59" s="259"/>
      <c r="G59" s="259"/>
      <c r="H59" s="260"/>
      <c r="I59" s="37" t="str">
        <f>(IF(C63=0,"Work not yet Started.",IF(C63=1,"Excavation work in process",IF(C63=2,"Excavation work completed",IF(C63=4,"Footing work is process",IF(C63=5,"Footing work Completed",IF(C63=7,"Plinth work is process",IF(C63=10,"Plinth work completed","0")))))))&amp;(IF(C64&gt;0,", RCC upto "&amp;C64&amp;" Slab completed",""))&amp;(IF(C65&gt;0,", Brickwork upto "&amp;C65&amp;" Floor completed"," "))&amp;(IF(C66&gt;0,", Plaster upto "&amp;C66&amp;" Floor completed"," "))&amp;(IF(C67&gt;0,", Flooring upto "&amp;C67&amp;" Floor completed"," "))&amp;(IF(C68&gt;0,", Painting upto "&amp;C68&amp;" Floor completed"," "))&amp;(IF(C69&gt;0,", Finishing upto "&amp;C69&amp;" Floor completed"," ")))</f>
        <v xml:space="preserve">Excavation work completed     </v>
      </c>
      <c r="J59" s="38"/>
      <c r="K59" s="39"/>
    </row>
    <row r="60" spans="1:11" x14ac:dyDescent="0.35">
      <c r="A60" s="18" t="s">
        <v>108</v>
      </c>
      <c r="B60" s="34">
        <v>0</v>
      </c>
      <c r="C60" s="34" t="s">
        <v>110</v>
      </c>
      <c r="D60" s="34">
        <v>1</v>
      </c>
      <c r="E60" s="34" t="s">
        <v>109</v>
      </c>
      <c r="F60" s="34">
        <v>0</v>
      </c>
      <c r="G60" s="34" t="s">
        <v>124</v>
      </c>
      <c r="H60" s="40">
        <v>11</v>
      </c>
      <c r="I60" s="41" t="s">
        <v>156</v>
      </c>
      <c r="J60" s="36"/>
      <c r="K60" s="42"/>
    </row>
    <row r="61" spans="1:11" x14ac:dyDescent="0.35">
      <c r="A61" s="262" t="s">
        <v>136</v>
      </c>
      <c r="B61" s="115"/>
      <c r="C61" s="139" t="str">
        <f>I59</f>
        <v xml:space="preserve">Excavation work completed     </v>
      </c>
      <c r="D61" s="139"/>
      <c r="E61" s="139"/>
      <c r="F61" s="139"/>
      <c r="G61" s="139"/>
      <c r="H61" s="250"/>
      <c r="I61" s="41" t="s">
        <v>173</v>
      </c>
      <c r="J61" s="36"/>
      <c r="K61" s="42"/>
    </row>
    <row r="62" spans="1:11" ht="36" customHeight="1" x14ac:dyDescent="0.35">
      <c r="A62" s="237" t="s">
        <v>53</v>
      </c>
      <c r="B62" s="238"/>
      <c r="C62" s="43" t="s">
        <v>127</v>
      </c>
      <c r="D62" s="43" t="s">
        <v>128</v>
      </c>
      <c r="E62" s="251" t="s">
        <v>130</v>
      </c>
      <c r="F62" s="251"/>
      <c r="G62" s="251" t="s">
        <v>129</v>
      </c>
      <c r="H62" s="261"/>
      <c r="I62" s="41" t="s">
        <v>157</v>
      </c>
      <c r="J62" s="11"/>
      <c r="K62" s="44"/>
    </row>
    <row r="63" spans="1:11" x14ac:dyDescent="0.35">
      <c r="A63" s="237" t="s">
        <v>54</v>
      </c>
      <c r="B63" s="238"/>
      <c r="C63" s="45">
        <v>2</v>
      </c>
      <c r="D63" s="46">
        <f>((100/10)*C63)/100</f>
        <v>0.2</v>
      </c>
      <c r="E63" s="239">
        <f>(IF(C61=I61,"100%",IF(C61=I62,"100%",((C63+(40/(B60+D60+F60+H60)*C64)+(15/H60*C65)+(10/H60*C66)+(10/H60*C67)+(5/H60*C68)+(5/H60*C69))/100))))</f>
        <v>0.02</v>
      </c>
      <c r="F63" s="239"/>
      <c r="G63" s="239">
        <f>((IF(C63=1,"2",IF(C63=2,"4",IF(C63=4,"8",IF(C63=5,"15",IF(C63=7,"20",IF(C63=10,"30","0")))))))/100)+(((30/(H60+F60+D60+B60)*C64)+(15/H60*C65)+(10/H60*C66)+(5/H60*C67)+(5/H60*C68)+(5/H60*C69))/100)</f>
        <v>0.04</v>
      </c>
      <c r="H63" s="240"/>
      <c r="I63" s="47"/>
      <c r="J63" s="11"/>
      <c r="K63" s="44"/>
    </row>
    <row r="64" spans="1:11" x14ac:dyDescent="0.35">
      <c r="A64" s="237" t="s">
        <v>155</v>
      </c>
      <c r="B64" s="238"/>
      <c r="C64" s="48">
        <v>0</v>
      </c>
      <c r="D64" s="46">
        <f>((100/(B60+F60+D60+H60))*C64)/100</f>
        <v>0</v>
      </c>
      <c r="E64" s="239"/>
      <c r="F64" s="239"/>
      <c r="G64" s="239"/>
      <c r="H64" s="240"/>
      <c r="I64" s="49" t="s">
        <v>149</v>
      </c>
      <c r="J64" s="50">
        <v>0.01</v>
      </c>
      <c r="K64" s="51">
        <v>0.02</v>
      </c>
    </row>
    <row r="65" spans="1:11" x14ac:dyDescent="0.35">
      <c r="A65" s="237" t="s">
        <v>55</v>
      </c>
      <c r="B65" s="238"/>
      <c r="C65" s="45">
        <v>0</v>
      </c>
      <c r="D65" s="46">
        <f>((100/H60)*C65)/100</f>
        <v>0</v>
      </c>
      <c r="E65" s="239"/>
      <c r="F65" s="239"/>
      <c r="G65" s="239"/>
      <c r="H65" s="240"/>
      <c r="I65" s="49" t="s">
        <v>150</v>
      </c>
      <c r="J65" s="50">
        <v>0.02</v>
      </c>
      <c r="K65" s="51">
        <v>0.04</v>
      </c>
    </row>
    <row r="66" spans="1:11" x14ac:dyDescent="0.35">
      <c r="A66" s="237" t="s">
        <v>56</v>
      </c>
      <c r="B66" s="238"/>
      <c r="C66" s="45">
        <v>0</v>
      </c>
      <c r="D66" s="46">
        <f>((100/H60)*C66)/100</f>
        <v>0</v>
      </c>
      <c r="E66" s="239"/>
      <c r="F66" s="239"/>
      <c r="G66" s="239"/>
      <c r="H66" s="240"/>
      <c r="I66" s="49" t="s">
        <v>151</v>
      </c>
      <c r="J66" s="50">
        <v>0.04</v>
      </c>
      <c r="K66" s="51">
        <v>0.08</v>
      </c>
    </row>
    <row r="67" spans="1:11" x14ac:dyDescent="0.35">
      <c r="A67" s="237" t="s">
        <v>57</v>
      </c>
      <c r="B67" s="238"/>
      <c r="C67" s="45">
        <v>0</v>
      </c>
      <c r="D67" s="46">
        <f>((100/H60)*C67)/100</f>
        <v>0</v>
      </c>
      <c r="E67" s="239"/>
      <c r="F67" s="239"/>
      <c r="G67" s="239"/>
      <c r="H67" s="240"/>
      <c r="I67" s="49" t="s">
        <v>152</v>
      </c>
      <c r="J67" s="50">
        <v>0.05</v>
      </c>
      <c r="K67" s="51">
        <v>0.15</v>
      </c>
    </row>
    <row r="68" spans="1:11" ht="15" customHeight="1" x14ac:dyDescent="0.35">
      <c r="A68" s="237" t="s">
        <v>58</v>
      </c>
      <c r="B68" s="238"/>
      <c r="C68" s="45">
        <v>0</v>
      </c>
      <c r="D68" s="46">
        <f>((100/H60)*C68)/100</f>
        <v>0</v>
      </c>
      <c r="E68" s="239"/>
      <c r="F68" s="239"/>
      <c r="G68" s="239"/>
      <c r="H68" s="240"/>
      <c r="I68" s="49" t="s">
        <v>153</v>
      </c>
      <c r="J68" s="50">
        <v>7.0000000000000007E-2</v>
      </c>
      <c r="K68" s="51">
        <v>0.2</v>
      </c>
    </row>
    <row r="69" spans="1:11" ht="16" thickBot="1" x14ac:dyDescent="0.4">
      <c r="A69" s="245" t="s">
        <v>59</v>
      </c>
      <c r="B69" s="246"/>
      <c r="C69" s="52">
        <v>0</v>
      </c>
      <c r="D69" s="53">
        <f>((100/H60)*C69)/100</f>
        <v>0</v>
      </c>
      <c r="E69" s="241"/>
      <c r="F69" s="241"/>
      <c r="G69" s="241"/>
      <c r="H69" s="242"/>
      <c r="I69" s="54" t="s">
        <v>154</v>
      </c>
      <c r="J69" s="55">
        <v>0.1</v>
      </c>
      <c r="K69" s="56">
        <v>0.3</v>
      </c>
    </row>
    <row r="70" spans="1:11" x14ac:dyDescent="0.35">
      <c r="A70" s="247" t="s">
        <v>174</v>
      </c>
      <c r="B70" s="248"/>
      <c r="C70" s="248"/>
      <c r="D70" s="248"/>
      <c r="E70" s="249"/>
      <c r="F70" s="247" t="str">
        <f>(IF(E63="100%","Yes",IF(E63&gt;0%,"Under Construction",IF(E63=0%,"Work not yet Started"))))</f>
        <v>Under Construction</v>
      </c>
      <c r="G70" s="248"/>
      <c r="H70" s="249"/>
      <c r="I70" s="11"/>
      <c r="J70" s="11"/>
      <c r="K70" s="11"/>
    </row>
    <row r="71" spans="1:11" x14ac:dyDescent="0.35">
      <c r="A71" s="107" t="s">
        <v>60</v>
      </c>
      <c r="B71" s="107"/>
      <c r="C71" s="107"/>
      <c r="D71" s="107"/>
      <c r="E71" s="107"/>
      <c r="F71" s="107"/>
      <c r="G71" s="107"/>
      <c r="H71" s="107"/>
      <c r="I71" s="11"/>
      <c r="J71" s="11"/>
      <c r="K71" s="11"/>
    </row>
    <row r="72" spans="1:11" ht="15" customHeight="1" x14ac:dyDescent="0.35">
      <c r="A72" s="108" t="s">
        <v>113</v>
      </c>
      <c r="B72" s="108"/>
      <c r="C72" s="139" t="s">
        <v>114</v>
      </c>
      <c r="D72" s="139"/>
      <c r="E72" s="139"/>
      <c r="F72" s="139"/>
      <c r="G72" s="139"/>
      <c r="H72" s="139"/>
      <c r="I72" s="11"/>
      <c r="J72" s="11"/>
      <c r="K72" s="11"/>
    </row>
    <row r="73" spans="1:11" x14ac:dyDescent="0.35">
      <c r="A73" s="108" t="s">
        <v>61</v>
      </c>
      <c r="B73" s="108"/>
      <c r="C73" s="108"/>
      <c r="D73" s="108"/>
      <c r="E73" s="108"/>
      <c r="F73" s="108"/>
      <c r="G73" s="108"/>
      <c r="H73" s="108"/>
      <c r="I73" s="11"/>
      <c r="J73" s="11"/>
      <c r="K73" s="11"/>
    </row>
    <row r="74" spans="1:11" x14ac:dyDescent="0.35">
      <c r="A74" s="107" t="s">
        <v>115</v>
      </c>
      <c r="B74" s="107"/>
      <c r="C74" s="107"/>
      <c r="D74" s="107"/>
      <c r="E74" s="107"/>
      <c r="F74" s="243"/>
      <c r="G74" s="243"/>
      <c r="H74" s="243"/>
      <c r="I74" s="11"/>
      <c r="J74" s="11"/>
      <c r="K74" s="11"/>
    </row>
    <row r="75" spans="1:11" x14ac:dyDescent="0.35">
      <c r="A75" s="107" t="s">
        <v>122</v>
      </c>
      <c r="B75" s="107"/>
      <c r="C75" s="107"/>
      <c r="D75" s="107"/>
      <c r="E75" s="107"/>
      <c r="F75" s="243"/>
      <c r="G75" s="243"/>
      <c r="H75" s="243"/>
      <c r="I75" s="11"/>
      <c r="J75" s="11"/>
      <c r="K75" s="11"/>
    </row>
    <row r="76" spans="1:11" x14ac:dyDescent="0.35">
      <c r="A76" s="107" t="s">
        <v>123</v>
      </c>
      <c r="B76" s="107"/>
      <c r="C76" s="107"/>
      <c r="D76" s="107"/>
      <c r="E76" s="107"/>
      <c r="F76" s="243"/>
      <c r="G76" s="243"/>
      <c r="H76" s="243"/>
      <c r="I76" s="11"/>
      <c r="J76" s="11"/>
      <c r="K76" s="11"/>
    </row>
    <row r="77" spans="1:11" s="13" customFormat="1" hidden="1" x14ac:dyDescent="0.3">
      <c r="A77" s="107" t="s">
        <v>141</v>
      </c>
      <c r="B77" s="107"/>
      <c r="C77" s="107"/>
      <c r="D77" s="107"/>
      <c r="E77" s="107"/>
      <c r="F77" s="243" t="s">
        <v>29</v>
      </c>
      <c r="G77" s="243"/>
      <c r="H77" s="243"/>
      <c r="I77" s="57"/>
      <c r="J77" s="57"/>
      <c r="K77" s="57"/>
    </row>
    <row r="78" spans="1:11" s="13" customFormat="1" hidden="1" x14ac:dyDescent="0.3">
      <c r="A78" s="107" t="s">
        <v>142</v>
      </c>
      <c r="B78" s="107"/>
      <c r="C78" s="107"/>
      <c r="D78" s="107"/>
      <c r="E78" s="107"/>
      <c r="F78" s="243" t="s">
        <v>29</v>
      </c>
      <c r="G78" s="243"/>
      <c r="H78" s="243"/>
      <c r="I78" s="57"/>
      <c r="J78" s="57"/>
      <c r="K78" s="57"/>
    </row>
    <row r="79" spans="1:11" s="13" customFormat="1" hidden="1" x14ac:dyDescent="0.3">
      <c r="A79" s="107" t="s">
        <v>143</v>
      </c>
      <c r="B79" s="107"/>
      <c r="C79" s="107"/>
      <c r="D79" s="107"/>
      <c r="E79" s="107"/>
      <c r="F79" s="243" t="s">
        <v>29</v>
      </c>
      <c r="G79" s="243"/>
      <c r="H79" s="243"/>
      <c r="I79" s="57"/>
      <c r="J79" s="57"/>
      <c r="K79" s="57"/>
    </row>
    <row r="80" spans="1:11" s="13" customFormat="1" hidden="1" x14ac:dyDescent="0.3">
      <c r="A80" s="107" t="s">
        <v>144</v>
      </c>
      <c r="B80" s="107"/>
      <c r="C80" s="107"/>
      <c r="D80" s="107"/>
      <c r="E80" s="107"/>
      <c r="F80" s="243" t="s">
        <v>29</v>
      </c>
      <c r="G80" s="243"/>
      <c r="H80" s="243"/>
      <c r="I80" s="57"/>
      <c r="J80" s="57"/>
      <c r="K80" s="57"/>
    </row>
    <row r="81" spans="1:11" s="13" customFormat="1" hidden="1" x14ac:dyDescent="0.3">
      <c r="A81" s="107" t="s">
        <v>145</v>
      </c>
      <c r="B81" s="107"/>
      <c r="C81" s="107"/>
      <c r="D81" s="107"/>
      <c r="E81" s="107"/>
      <c r="F81" s="243" t="s">
        <v>29</v>
      </c>
      <c r="G81" s="243"/>
      <c r="H81" s="243"/>
      <c r="I81" s="57"/>
      <c r="J81" s="57"/>
      <c r="K81" s="57"/>
    </row>
    <row r="82" spans="1:11" s="13" customFormat="1" hidden="1" x14ac:dyDescent="0.3">
      <c r="A82" s="107" t="s">
        <v>146</v>
      </c>
      <c r="B82" s="107"/>
      <c r="C82" s="107"/>
      <c r="D82" s="107"/>
      <c r="E82" s="107"/>
      <c r="F82" s="243" t="s">
        <v>29</v>
      </c>
      <c r="G82" s="243"/>
      <c r="H82" s="243"/>
      <c r="I82" s="57"/>
      <c r="J82" s="57"/>
      <c r="K82" s="57"/>
    </row>
    <row r="83" spans="1:11" s="13" customFormat="1" hidden="1" x14ac:dyDescent="0.3">
      <c r="A83" s="107" t="s">
        <v>147</v>
      </c>
      <c r="B83" s="107"/>
      <c r="C83" s="107"/>
      <c r="D83" s="107"/>
      <c r="E83" s="107"/>
      <c r="F83" s="243" t="s">
        <v>29</v>
      </c>
      <c r="G83" s="243"/>
      <c r="H83" s="243"/>
      <c r="I83" s="57"/>
      <c r="J83" s="57"/>
      <c r="K83" s="57"/>
    </row>
    <row r="84" spans="1:11" s="13" customFormat="1" hidden="1" x14ac:dyDescent="0.3">
      <c r="A84" s="107" t="s">
        <v>148</v>
      </c>
      <c r="B84" s="107"/>
      <c r="C84" s="107"/>
      <c r="D84" s="107"/>
      <c r="E84" s="107"/>
      <c r="F84" s="243" t="s">
        <v>29</v>
      </c>
      <c r="G84" s="243"/>
      <c r="H84" s="243"/>
      <c r="I84" s="57"/>
      <c r="J84" s="57"/>
      <c r="K84" s="57"/>
    </row>
    <row r="85" spans="1:11" x14ac:dyDescent="0.35">
      <c r="A85" s="107" t="s">
        <v>62</v>
      </c>
      <c r="B85" s="107"/>
      <c r="C85" s="107"/>
      <c r="D85" s="107"/>
      <c r="E85" s="107"/>
      <c r="F85" s="244"/>
      <c r="G85" s="244"/>
      <c r="H85" s="244"/>
      <c r="I85" s="11"/>
      <c r="J85" s="11"/>
      <c r="K85" s="11"/>
    </row>
    <row r="86" spans="1:11" s="9" customFormat="1" x14ac:dyDescent="0.35">
      <c r="A86" s="108" t="s">
        <v>63</v>
      </c>
      <c r="B86" s="108"/>
      <c r="C86" s="108"/>
      <c r="D86" s="108"/>
      <c r="E86" s="108"/>
      <c r="F86" s="243">
        <f>F74*0.8</f>
        <v>0</v>
      </c>
      <c r="G86" s="243"/>
      <c r="H86" s="243"/>
      <c r="I86" s="58"/>
      <c r="J86" s="58"/>
      <c r="K86" s="58"/>
    </row>
    <row r="87" spans="1:11" s="1" customFormat="1" ht="15.75" customHeight="1" x14ac:dyDescent="0.35">
      <c r="A87" s="170" t="s">
        <v>209</v>
      </c>
      <c r="B87" s="170"/>
      <c r="C87" s="170"/>
      <c r="D87" s="170"/>
      <c r="E87" s="170"/>
      <c r="F87" s="170"/>
      <c r="G87" s="170"/>
      <c r="H87" s="170"/>
      <c r="I87" s="59"/>
      <c r="J87" s="59"/>
      <c r="K87" s="59"/>
    </row>
    <row r="88" spans="1:11" s="1" customFormat="1" ht="15.75" customHeight="1" x14ac:dyDescent="0.35">
      <c r="A88" s="171" t="s">
        <v>64</v>
      </c>
      <c r="B88" s="171"/>
      <c r="C88" s="172" t="s">
        <v>118</v>
      </c>
      <c r="D88" s="172"/>
      <c r="E88" s="173" t="s">
        <v>65</v>
      </c>
      <c r="F88" s="173"/>
      <c r="G88" s="171" t="s">
        <v>66</v>
      </c>
      <c r="H88" s="171"/>
      <c r="I88" s="59"/>
      <c r="J88" s="59"/>
      <c r="K88" s="59"/>
    </row>
    <row r="89" spans="1:11" s="1" customFormat="1" x14ac:dyDescent="0.35">
      <c r="A89" s="175" t="s">
        <v>211</v>
      </c>
      <c r="B89" s="175"/>
      <c r="C89" s="177">
        <f>COUNT(D102:D103)*2+COUNT(D105:D106)</f>
        <v>6</v>
      </c>
      <c r="D89" s="177"/>
      <c r="E89" s="178">
        <f>SUM(D102:D103)*2+SUM(D105:D106)</f>
        <v>4756.9345200000007</v>
      </c>
      <c r="F89" s="178"/>
      <c r="G89" s="178">
        <f>SUM(F102:F103)*2+SUM(F105:F106)</f>
        <v>7611.0952319999997</v>
      </c>
      <c r="H89" s="178"/>
      <c r="I89" s="59"/>
      <c r="J89" s="59"/>
      <c r="K89" s="59"/>
    </row>
    <row r="90" spans="1:11" s="1" customFormat="1" ht="15.75" customHeight="1" x14ac:dyDescent="0.35">
      <c r="A90" s="170" t="s">
        <v>210</v>
      </c>
      <c r="B90" s="170"/>
      <c r="C90" s="170"/>
      <c r="D90" s="170"/>
      <c r="E90" s="170"/>
      <c r="F90" s="170"/>
      <c r="G90" s="170"/>
      <c r="H90" s="170"/>
      <c r="I90" s="59"/>
      <c r="J90" s="59"/>
      <c r="K90" s="59"/>
    </row>
    <row r="91" spans="1:11" s="1" customFormat="1" ht="15.75" customHeight="1" x14ac:dyDescent="0.35">
      <c r="A91" s="171" t="s">
        <v>64</v>
      </c>
      <c r="B91" s="171"/>
      <c r="C91" s="172" t="s">
        <v>118</v>
      </c>
      <c r="D91" s="172"/>
      <c r="E91" s="173" t="s">
        <v>65</v>
      </c>
      <c r="F91" s="173"/>
      <c r="G91" s="171" t="s">
        <v>66</v>
      </c>
      <c r="H91" s="171"/>
      <c r="I91" s="59"/>
      <c r="J91" s="59"/>
      <c r="K91" s="59"/>
    </row>
    <row r="92" spans="1:11" s="1" customFormat="1" x14ac:dyDescent="0.35">
      <c r="A92" s="175" t="s">
        <v>211</v>
      </c>
      <c r="B92" s="175"/>
      <c r="C92" s="177">
        <f>COUNT(D108:D113)+COUNT(D115:D122)+COUNT(D124:D131)*4+COUNT(D133:D140)+COUNT(D142:D149)</f>
        <v>62</v>
      </c>
      <c r="D92" s="177"/>
      <c r="E92" s="254"/>
      <c r="F92" s="254"/>
      <c r="G92" s="178"/>
      <c r="H92" s="178"/>
      <c r="I92" s="59"/>
      <c r="J92" s="59"/>
      <c r="K92" s="59"/>
    </row>
    <row r="93" spans="1:11" s="1" customFormat="1" x14ac:dyDescent="0.35">
      <c r="A93" s="170" t="s">
        <v>107</v>
      </c>
      <c r="B93" s="170"/>
      <c r="C93" s="170"/>
      <c r="D93" s="170"/>
      <c r="E93" s="170"/>
      <c r="F93" s="170"/>
      <c r="G93" s="170"/>
      <c r="H93" s="170"/>
      <c r="I93" s="59"/>
      <c r="J93" s="59"/>
      <c r="K93" s="59"/>
    </row>
    <row r="94" spans="1:11" s="1" customFormat="1" ht="15.75" customHeight="1" x14ac:dyDescent="0.35">
      <c r="A94" s="171" t="s">
        <v>64</v>
      </c>
      <c r="B94" s="171"/>
      <c r="C94" s="172" t="s">
        <v>118</v>
      </c>
      <c r="D94" s="172"/>
      <c r="E94" s="173" t="s">
        <v>65</v>
      </c>
      <c r="F94" s="173"/>
      <c r="G94" s="171" t="s">
        <v>66</v>
      </c>
      <c r="H94" s="171"/>
      <c r="I94" s="59"/>
      <c r="J94" s="59"/>
      <c r="K94" s="59"/>
    </row>
    <row r="95" spans="1:11" s="1" customFormat="1" x14ac:dyDescent="0.35">
      <c r="A95" s="175" t="s">
        <v>196</v>
      </c>
      <c r="B95" s="175"/>
      <c r="C95" s="177">
        <f>COUNT(D156:D158)+COUNT(D160:D162)+COUNT(D164:D166)*4+COUNT(D168:D170)+COUNT(D172:D173)</f>
        <v>23</v>
      </c>
      <c r="D95" s="177"/>
      <c r="E95" s="254"/>
      <c r="F95" s="254"/>
      <c r="G95" s="178"/>
      <c r="H95" s="178"/>
      <c r="I95" s="59"/>
      <c r="J95" s="59"/>
      <c r="K95" s="59"/>
    </row>
    <row r="96" spans="1:11" s="9" customFormat="1" x14ac:dyDescent="0.35">
      <c r="A96" s="115" t="s">
        <v>69</v>
      </c>
      <c r="B96" s="115"/>
      <c r="C96" s="115"/>
      <c r="D96" s="115"/>
      <c r="E96" s="115"/>
      <c r="F96" s="115"/>
      <c r="G96" s="115"/>
      <c r="H96" s="115"/>
      <c r="I96" s="58"/>
      <c r="J96" s="58"/>
      <c r="K96" s="58"/>
    </row>
    <row r="97" spans="1:22" x14ac:dyDescent="0.35">
      <c r="A97" s="115" t="s">
        <v>70</v>
      </c>
      <c r="B97" s="115"/>
      <c r="C97" s="115"/>
      <c r="D97" s="115"/>
      <c r="E97" s="115"/>
      <c r="F97" s="115"/>
      <c r="G97" s="115"/>
      <c r="H97" s="115"/>
      <c r="I97" s="11"/>
      <c r="J97" s="11"/>
      <c r="K97" s="11"/>
    </row>
    <row r="98" spans="1:22" ht="47.25" customHeight="1" x14ac:dyDescent="0.35">
      <c r="A98" s="188" t="s">
        <v>225</v>
      </c>
      <c r="B98" s="188" t="s">
        <v>178</v>
      </c>
      <c r="C98" s="188" t="s">
        <v>71</v>
      </c>
      <c r="D98" s="188" t="s">
        <v>72</v>
      </c>
      <c r="E98" s="190" t="s">
        <v>73</v>
      </c>
      <c r="F98" s="60" t="s">
        <v>175</v>
      </c>
      <c r="G98" s="186" t="s">
        <v>74</v>
      </c>
      <c r="H98" s="192"/>
      <c r="I98" s="11"/>
      <c r="J98" s="11"/>
      <c r="K98" s="11"/>
    </row>
    <row r="99" spans="1:22" s="2" customFormat="1" x14ac:dyDescent="0.35">
      <c r="A99" s="189"/>
      <c r="B99" s="189"/>
      <c r="C99" s="189"/>
      <c r="D99" s="189"/>
      <c r="E99" s="191"/>
      <c r="F99" s="61">
        <v>0.6</v>
      </c>
      <c r="G99" s="187"/>
      <c r="H99" s="193"/>
      <c r="I99" s="62"/>
      <c r="J99" s="62"/>
      <c r="K99" s="62"/>
    </row>
    <row r="100" spans="1:22" s="2" customFormat="1" x14ac:dyDescent="0.35">
      <c r="A100" s="183" t="s">
        <v>193</v>
      </c>
      <c r="B100" s="184"/>
      <c r="C100" s="184"/>
      <c r="D100" s="184"/>
      <c r="E100" s="184"/>
      <c r="F100" s="184"/>
      <c r="G100" s="184"/>
      <c r="H100" s="185"/>
      <c r="I100" s="62"/>
      <c r="J100" s="62"/>
      <c r="K100" s="62"/>
    </row>
    <row r="101" spans="1:22" s="2" customFormat="1" x14ac:dyDescent="0.35">
      <c r="A101" s="183" t="s">
        <v>195</v>
      </c>
      <c r="B101" s="184"/>
      <c r="C101" s="184"/>
      <c r="D101" s="184"/>
      <c r="E101" s="184"/>
      <c r="F101" s="184"/>
      <c r="G101" s="184"/>
      <c r="H101" s="185"/>
      <c r="I101" s="62"/>
      <c r="J101" s="62"/>
      <c r="K101" s="62"/>
    </row>
    <row r="102" spans="1:22" s="2" customFormat="1" x14ac:dyDescent="0.35">
      <c r="A102" s="111">
        <v>1</v>
      </c>
      <c r="B102" s="113"/>
      <c r="C102" s="63" t="s">
        <v>197</v>
      </c>
      <c r="D102" s="63">
        <f>89.65*10.764</f>
        <v>964.99260000000004</v>
      </c>
      <c r="E102" s="63">
        <v>0</v>
      </c>
      <c r="F102" s="63">
        <f>D102*(($F$99)+1)+E102</f>
        <v>1543.9881600000001</v>
      </c>
      <c r="G102" s="111" t="str">
        <f>A101</f>
        <v>Basement &amp; Lower Ground Floor for Commercial &amp; Amenities</v>
      </c>
      <c r="H102" s="113"/>
      <c r="I102" s="64"/>
      <c r="J102" s="62"/>
      <c r="K102" s="62"/>
      <c r="S102" s="223"/>
      <c r="T102" s="223"/>
      <c r="U102" s="31"/>
    </row>
    <row r="103" spans="1:22" s="2" customFormat="1" x14ac:dyDescent="0.35">
      <c r="A103" s="111">
        <f>A102+1</f>
        <v>2</v>
      </c>
      <c r="B103" s="113"/>
      <c r="C103" s="63" t="s">
        <v>197</v>
      </c>
      <c r="D103" s="63">
        <f>42.24*10.764</f>
        <v>454.67135999999999</v>
      </c>
      <c r="E103" s="63">
        <v>0</v>
      </c>
      <c r="F103" s="63">
        <f t="shared" ref="F103" si="0">D103*(($F$99)+1)+E103</f>
        <v>727.47417600000006</v>
      </c>
      <c r="G103" s="111" t="str">
        <f t="shared" ref="G103" si="1">G102</f>
        <v>Basement &amp; Lower Ground Floor for Commercial &amp; Amenities</v>
      </c>
      <c r="H103" s="113"/>
      <c r="I103" s="64"/>
      <c r="J103" s="62"/>
      <c r="K103" s="62"/>
      <c r="S103" s="223"/>
      <c r="T103" s="223"/>
      <c r="U103" s="31"/>
    </row>
    <row r="104" spans="1:22" s="2" customFormat="1" x14ac:dyDescent="0.35">
      <c r="A104" s="183" t="s">
        <v>198</v>
      </c>
      <c r="B104" s="184"/>
      <c r="C104" s="184"/>
      <c r="D104" s="184"/>
      <c r="E104" s="184"/>
      <c r="F104" s="184"/>
      <c r="G104" s="184"/>
      <c r="H104" s="185"/>
      <c r="I104" s="62"/>
      <c r="J104" s="62"/>
      <c r="K104" s="62"/>
    </row>
    <row r="105" spans="1:22" s="2" customFormat="1" x14ac:dyDescent="0.35">
      <c r="A105" s="111">
        <v>1</v>
      </c>
      <c r="B105" s="113"/>
      <c r="C105" s="63" t="s">
        <v>197</v>
      </c>
      <c r="D105" s="63">
        <f>134.81*10.764</f>
        <v>1451.09484</v>
      </c>
      <c r="E105" s="63">
        <v>0</v>
      </c>
      <c r="F105" s="63">
        <f>D105*(($F$99)+1)+E105</f>
        <v>2321.7517440000001</v>
      </c>
      <c r="G105" s="111" t="str">
        <f>A104</f>
        <v>Ground Floor for Commercial</v>
      </c>
      <c r="H105" s="113"/>
      <c r="I105" s="64"/>
      <c r="J105" s="62"/>
      <c r="K105" s="62"/>
      <c r="S105" s="223"/>
      <c r="T105" s="223"/>
      <c r="U105" s="31"/>
    </row>
    <row r="106" spans="1:22" s="2" customFormat="1" x14ac:dyDescent="0.35">
      <c r="A106" s="111">
        <f>A105+1</f>
        <v>2</v>
      </c>
      <c r="B106" s="113"/>
      <c r="C106" s="63" t="s">
        <v>197</v>
      </c>
      <c r="D106" s="63">
        <f>43.34*10.764</f>
        <v>466.51175999999998</v>
      </c>
      <c r="E106" s="63">
        <v>0</v>
      </c>
      <c r="F106" s="63">
        <f t="shared" ref="F106" si="2">D106*(($F$99)+1)+E106</f>
        <v>746.41881599999999</v>
      </c>
      <c r="G106" s="111" t="str">
        <f t="shared" ref="G106" si="3">G105</f>
        <v>Ground Floor for Commercial</v>
      </c>
      <c r="H106" s="113"/>
      <c r="I106" s="64"/>
      <c r="J106" s="62"/>
      <c r="K106" s="62"/>
      <c r="S106" s="223"/>
      <c r="T106" s="223"/>
      <c r="U106" s="31"/>
    </row>
    <row r="107" spans="1:22" s="2" customFormat="1" x14ac:dyDescent="0.35">
      <c r="A107" s="197" t="s">
        <v>200</v>
      </c>
      <c r="B107" s="197"/>
      <c r="C107" s="197"/>
      <c r="D107" s="197"/>
      <c r="E107" s="197"/>
      <c r="F107" s="197"/>
      <c r="G107" s="197"/>
      <c r="H107" s="197"/>
      <c r="I107" s="64"/>
      <c r="J107" s="62"/>
      <c r="K107" s="62"/>
      <c r="S107" s="223"/>
      <c r="T107" s="223"/>
      <c r="V107" s="2" t="str">
        <f>LEFT(A107,SUM(LEN(A107)-LEN(SUBSTITUTE(A107,{"0","1","2","3","4","5","6","7","8","9"},""))))</f>
        <v>1</v>
      </c>
    </row>
    <row r="108" spans="1:22" s="2" customFormat="1" x14ac:dyDescent="0.35">
      <c r="A108" s="194">
        <f t="shared" ref="A108:A113" ca="1" si="4">S108</f>
        <v>101</v>
      </c>
      <c r="B108" s="194"/>
      <c r="C108" s="63" t="s">
        <v>201</v>
      </c>
      <c r="D108" s="63">
        <f>18.67*10.764</f>
        <v>200.96388000000002</v>
      </c>
      <c r="E108" s="63">
        <v>0</v>
      </c>
      <c r="F108" s="63">
        <f t="shared" ref="F108:F113" si="5">D108*(($F$151)+1)+E108</f>
        <v>301.44582000000003</v>
      </c>
      <c r="G108" s="194" t="str">
        <f>A107</f>
        <v>1st Floor</v>
      </c>
      <c r="H108" s="194"/>
      <c r="I108" s="64"/>
      <c r="J108" s="62"/>
      <c r="K108" s="62"/>
      <c r="S108" s="223">
        <f t="shared" ref="S108:S113" ca="1" si="6">V108</f>
        <v>101</v>
      </c>
      <c r="T108" s="223"/>
      <c r="U108" s="31">
        <v>1</v>
      </c>
      <c r="V108" s="2">
        <f ca="1">(SUMPRODUCT(MID(0&amp;V107, LARGE(INDEX(ISNUMBER(--MID(V107, ROW(INDIRECT("1:"&amp;LEN(V107))), 1)) * ROW(INDIRECT("1:"&amp;LEN(V107))), 0), ROW(INDIRECT("1:"&amp;LEN(V107))))+1, 1) * 10^ROW(INDIRECT("1:"&amp;LEN(V107)))/10))*U108*100+1</f>
        <v>101</v>
      </c>
    </row>
    <row r="109" spans="1:22" s="2" customFormat="1" x14ac:dyDescent="0.35">
      <c r="A109" s="194">
        <f t="shared" ca="1" si="4"/>
        <v>102</v>
      </c>
      <c r="B109" s="194"/>
      <c r="C109" s="63" t="s">
        <v>201</v>
      </c>
      <c r="D109" s="63">
        <f>24.47*10.764</f>
        <v>263.39507999999995</v>
      </c>
      <c r="E109" s="63">
        <v>0</v>
      </c>
      <c r="F109" s="63">
        <f t="shared" si="5"/>
        <v>395.0926199999999</v>
      </c>
      <c r="G109" s="194" t="str">
        <f t="shared" ref="G109:G113" si="7">G108</f>
        <v>1st Floor</v>
      </c>
      <c r="H109" s="194"/>
      <c r="I109" s="64"/>
      <c r="J109" s="62"/>
      <c r="K109" s="62"/>
      <c r="S109" s="223">
        <f t="shared" ca="1" si="6"/>
        <v>102</v>
      </c>
      <c r="T109" s="223"/>
      <c r="U109" s="31">
        <f>U108+1</f>
        <v>2</v>
      </c>
      <c r="V109" s="2">
        <f ca="1">V108+1</f>
        <v>102</v>
      </c>
    </row>
    <row r="110" spans="1:22" s="2" customFormat="1" x14ac:dyDescent="0.35">
      <c r="A110" s="194">
        <f t="shared" ca="1" si="4"/>
        <v>103</v>
      </c>
      <c r="B110" s="194"/>
      <c r="C110" s="63" t="s">
        <v>201</v>
      </c>
      <c r="D110" s="63">
        <f>24.47*10.764</f>
        <v>263.39507999999995</v>
      </c>
      <c r="E110" s="63">
        <v>0</v>
      </c>
      <c r="F110" s="63">
        <f t="shared" si="5"/>
        <v>395.0926199999999</v>
      </c>
      <c r="G110" s="194" t="str">
        <f t="shared" si="7"/>
        <v>1st Floor</v>
      </c>
      <c r="H110" s="194"/>
      <c r="I110" s="64"/>
      <c r="J110" s="62"/>
      <c r="K110" s="62"/>
      <c r="S110" s="223">
        <f t="shared" ca="1" si="6"/>
        <v>103</v>
      </c>
      <c r="T110" s="223"/>
      <c r="U110" s="31">
        <f>U109+1</f>
        <v>3</v>
      </c>
      <c r="V110" s="2">
        <f ca="1">V109+1</f>
        <v>103</v>
      </c>
    </row>
    <row r="111" spans="1:22" s="2" customFormat="1" x14ac:dyDescent="0.35">
      <c r="A111" s="194">
        <f t="shared" ca="1" si="4"/>
        <v>104</v>
      </c>
      <c r="B111" s="194"/>
      <c r="C111" s="63" t="s">
        <v>201</v>
      </c>
      <c r="D111" s="63">
        <f>34.89*10.764</f>
        <v>375.55595999999997</v>
      </c>
      <c r="E111" s="63">
        <v>0</v>
      </c>
      <c r="F111" s="63">
        <f t="shared" si="5"/>
        <v>563.33393999999998</v>
      </c>
      <c r="G111" s="194" t="str">
        <f t="shared" si="7"/>
        <v>1st Floor</v>
      </c>
      <c r="H111" s="194"/>
      <c r="I111" s="64"/>
      <c r="J111" s="62"/>
      <c r="K111" s="62"/>
      <c r="S111" s="223">
        <f t="shared" ca="1" si="6"/>
        <v>104</v>
      </c>
      <c r="T111" s="223"/>
      <c r="U111" s="31">
        <f t="shared" ref="U111:V113" si="8">U110+1</f>
        <v>4</v>
      </c>
      <c r="V111" s="2">
        <f t="shared" ca="1" si="8"/>
        <v>104</v>
      </c>
    </row>
    <row r="112" spans="1:22" s="2" customFormat="1" x14ac:dyDescent="0.35">
      <c r="A112" s="194">
        <f t="shared" ca="1" si="4"/>
        <v>105</v>
      </c>
      <c r="B112" s="194"/>
      <c r="C112" s="63" t="s">
        <v>201</v>
      </c>
      <c r="D112" s="63">
        <f>32.82*10.764</f>
        <v>353.27447999999998</v>
      </c>
      <c r="E112" s="63">
        <v>0</v>
      </c>
      <c r="F112" s="63">
        <f t="shared" si="5"/>
        <v>529.91171999999995</v>
      </c>
      <c r="G112" s="194" t="str">
        <f t="shared" si="7"/>
        <v>1st Floor</v>
      </c>
      <c r="H112" s="194"/>
      <c r="I112" s="64"/>
      <c r="J112" s="62"/>
      <c r="K112" s="62"/>
      <c r="S112" s="223">
        <f t="shared" ca="1" si="6"/>
        <v>105</v>
      </c>
      <c r="T112" s="223"/>
      <c r="U112" s="31">
        <f t="shared" si="8"/>
        <v>5</v>
      </c>
      <c r="V112" s="2">
        <f t="shared" ca="1" si="8"/>
        <v>105</v>
      </c>
    </row>
    <row r="113" spans="1:23" s="2" customFormat="1" x14ac:dyDescent="0.35">
      <c r="A113" s="194">
        <f t="shared" ca="1" si="4"/>
        <v>106</v>
      </c>
      <c r="B113" s="194"/>
      <c r="C113" s="63" t="s">
        <v>201</v>
      </c>
      <c r="D113" s="63">
        <f>31.49*10.764</f>
        <v>338.95835999999997</v>
      </c>
      <c r="E113" s="63">
        <v>0</v>
      </c>
      <c r="F113" s="63">
        <f t="shared" si="5"/>
        <v>508.43753999999996</v>
      </c>
      <c r="G113" s="194" t="str">
        <f t="shared" si="7"/>
        <v>1st Floor</v>
      </c>
      <c r="H113" s="194"/>
      <c r="I113" s="64"/>
      <c r="J113" s="62"/>
      <c r="K113" s="62"/>
      <c r="S113" s="223">
        <f t="shared" ca="1" si="6"/>
        <v>106</v>
      </c>
      <c r="T113" s="223"/>
      <c r="U113" s="31">
        <f>U112+1</f>
        <v>6</v>
      </c>
      <c r="V113" s="2">
        <f t="shared" ca="1" si="8"/>
        <v>106</v>
      </c>
    </row>
    <row r="114" spans="1:23" s="2" customFormat="1" x14ac:dyDescent="0.35">
      <c r="A114" s="197" t="s">
        <v>177</v>
      </c>
      <c r="B114" s="197"/>
      <c r="C114" s="197"/>
      <c r="D114" s="197"/>
      <c r="E114" s="197"/>
      <c r="F114" s="197"/>
      <c r="G114" s="197"/>
      <c r="H114" s="197"/>
      <c r="I114" s="64"/>
      <c r="J114" s="62"/>
      <c r="K114" s="62"/>
      <c r="S114" s="223"/>
      <c r="T114" s="223"/>
      <c r="V114" s="2" t="str">
        <f>LEFT(A114,SUM(LEN(A114)-LEN(SUBSTITUTE(A114,{"0","1","2","3","4","5","6","7","8","9"},""))))</f>
        <v>2</v>
      </c>
    </row>
    <row r="115" spans="1:23" s="2" customFormat="1" x14ac:dyDescent="0.35">
      <c r="A115" s="194">
        <f t="shared" ref="A115:A120" ca="1" si="9">S115</f>
        <v>201</v>
      </c>
      <c r="B115" s="194"/>
      <c r="C115" s="63" t="s">
        <v>201</v>
      </c>
      <c r="D115" s="63">
        <f>18.67*10.764</f>
        <v>200.96388000000002</v>
      </c>
      <c r="E115" s="63">
        <v>0</v>
      </c>
      <c r="F115" s="63">
        <f t="shared" ref="F115:F122" si="10">D115*(($F$151)+1)+E115</f>
        <v>301.44582000000003</v>
      </c>
      <c r="G115" s="194" t="str">
        <f>A114</f>
        <v>2nd Floor</v>
      </c>
      <c r="H115" s="194"/>
      <c r="I115" s="64"/>
      <c r="J115" s="62"/>
      <c r="K115" s="62"/>
      <c r="S115" s="223">
        <f t="shared" ref="S115:S120" ca="1" si="11">V115</f>
        <v>201</v>
      </c>
      <c r="T115" s="223"/>
      <c r="U115" s="31">
        <v>1</v>
      </c>
      <c r="V115" s="2">
        <f ca="1">(SUMPRODUCT(MID(0&amp;V114, LARGE(INDEX(ISNUMBER(--MID(V114, ROW(INDIRECT("1:"&amp;LEN(V114))), 1)) * ROW(INDIRECT("1:"&amp;LEN(V114))), 0), ROW(INDIRECT("1:"&amp;LEN(V114))))+1, 1) * 10^ROW(INDIRECT("1:"&amp;LEN(V114)))/10))*U115*100+1</f>
        <v>201</v>
      </c>
    </row>
    <row r="116" spans="1:23" s="2" customFormat="1" x14ac:dyDescent="0.35">
      <c r="A116" s="194">
        <f t="shared" ca="1" si="9"/>
        <v>202</v>
      </c>
      <c r="B116" s="194"/>
      <c r="C116" s="63" t="s">
        <v>201</v>
      </c>
      <c r="D116" s="63">
        <f>24.47*10.764</f>
        <v>263.39507999999995</v>
      </c>
      <c r="E116" s="63">
        <v>0</v>
      </c>
      <c r="F116" s="63">
        <f t="shared" si="10"/>
        <v>395.0926199999999</v>
      </c>
      <c r="G116" s="194" t="str">
        <f t="shared" ref="G116:G122" si="12">G115</f>
        <v>2nd Floor</v>
      </c>
      <c r="H116" s="194"/>
      <c r="I116" s="64"/>
      <c r="J116" s="62"/>
      <c r="K116" s="62"/>
      <c r="S116" s="223">
        <f t="shared" ca="1" si="11"/>
        <v>202</v>
      </c>
      <c r="T116" s="223"/>
      <c r="U116" s="31">
        <f>U115+1</f>
        <v>2</v>
      </c>
      <c r="V116" s="2">
        <f ca="1">V115+1</f>
        <v>202</v>
      </c>
    </row>
    <row r="117" spans="1:23" s="2" customFormat="1" x14ac:dyDescent="0.35">
      <c r="A117" s="194">
        <f t="shared" ca="1" si="9"/>
        <v>203</v>
      </c>
      <c r="B117" s="194"/>
      <c r="C117" s="63" t="s">
        <v>201</v>
      </c>
      <c r="D117" s="63">
        <f>24.47*10.764</f>
        <v>263.39507999999995</v>
      </c>
      <c r="E117" s="63">
        <v>0</v>
      </c>
      <c r="F117" s="63">
        <f t="shared" si="10"/>
        <v>395.0926199999999</v>
      </c>
      <c r="G117" s="194" t="str">
        <f t="shared" si="12"/>
        <v>2nd Floor</v>
      </c>
      <c r="H117" s="194"/>
      <c r="I117" s="64"/>
      <c r="J117" s="62"/>
      <c r="K117" s="62"/>
      <c r="S117" s="223">
        <f t="shared" ca="1" si="11"/>
        <v>203</v>
      </c>
      <c r="T117" s="223"/>
      <c r="U117" s="31">
        <f>U116+1</f>
        <v>3</v>
      </c>
      <c r="V117" s="2">
        <f ca="1">V116+1</f>
        <v>203</v>
      </c>
    </row>
    <row r="118" spans="1:23" s="2" customFormat="1" x14ac:dyDescent="0.35">
      <c r="A118" s="194">
        <f t="shared" ca="1" si="9"/>
        <v>204</v>
      </c>
      <c r="B118" s="194"/>
      <c r="C118" s="63" t="s">
        <v>201</v>
      </c>
      <c r="D118" s="63">
        <f>34.89*10.764</f>
        <v>375.55595999999997</v>
      </c>
      <c r="E118" s="63">
        <v>0</v>
      </c>
      <c r="F118" s="63">
        <f t="shared" si="10"/>
        <v>563.33393999999998</v>
      </c>
      <c r="G118" s="194" t="str">
        <f t="shared" si="12"/>
        <v>2nd Floor</v>
      </c>
      <c r="H118" s="194"/>
      <c r="I118" s="64"/>
      <c r="J118" s="62"/>
      <c r="K118" s="62"/>
      <c r="S118" s="223">
        <f t="shared" ca="1" si="11"/>
        <v>204</v>
      </c>
      <c r="T118" s="223"/>
      <c r="U118" s="31">
        <f t="shared" ref="U118:V118" si="13">U117+1</f>
        <v>4</v>
      </c>
      <c r="V118" s="2">
        <f t="shared" ca="1" si="13"/>
        <v>204</v>
      </c>
    </row>
    <row r="119" spans="1:23" s="2" customFormat="1" x14ac:dyDescent="0.35">
      <c r="A119" s="194">
        <f t="shared" ca="1" si="9"/>
        <v>205</v>
      </c>
      <c r="B119" s="194"/>
      <c r="C119" s="63" t="s">
        <v>201</v>
      </c>
      <c r="D119" s="63">
        <f>32.82*10.764</f>
        <v>353.27447999999998</v>
      </c>
      <c r="E119" s="63">
        <v>0</v>
      </c>
      <c r="F119" s="63">
        <f t="shared" si="10"/>
        <v>529.91171999999995</v>
      </c>
      <c r="G119" s="194" t="str">
        <f t="shared" si="12"/>
        <v>2nd Floor</v>
      </c>
      <c r="H119" s="194"/>
      <c r="I119" s="64"/>
      <c r="J119" s="62"/>
      <c r="K119" s="62"/>
      <c r="S119" s="223">
        <f t="shared" ca="1" si="11"/>
        <v>205</v>
      </c>
      <c r="T119" s="223"/>
      <c r="U119" s="31">
        <f t="shared" ref="U119:V119" si="14">U118+1</f>
        <v>5</v>
      </c>
      <c r="V119" s="2">
        <f t="shared" ca="1" si="14"/>
        <v>205</v>
      </c>
    </row>
    <row r="120" spans="1:23" s="2" customFormat="1" x14ac:dyDescent="0.35">
      <c r="A120" s="194">
        <f t="shared" ca="1" si="9"/>
        <v>206</v>
      </c>
      <c r="B120" s="194"/>
      <c r="C120" s="63" t="s">
        <v>201</v>
      </c>
      <c r="D120" s="63">
        <f>31.49*10.764</f>
        <v>338.95835999999997</v>
      </c>
      <c r="E120" s="63">
        <v>0</v>
      </c>
      <c r="F120" s="63">
        <f t="shared" si="10"/>
        <v>508.43753999999996</v>
      </c>
      <c r="G120" s="194" t="str">
        <f t="shared" si="12"/>
        <v>2nd Floor</v>
      </c>
      <c r="H120" s="194"/>
      <c r="I120" s="64"/>
      <c r="J120" s="62"/>
      <c r="K120" s="62"/>
      <c r="S120" s="223">
        <f t="shared" ca="1" si="11"/>
        <v>206</v>
      </c>
      <c r="T120" s="223"/>
      <c r="U120" s="31">
        <f>U119+1</f>
        <v>6</v>
      </c>
      <c r="V120" s="2">
        <f t="shared" ref="V120" ca="1" si="15">V119+1</f>
        <v>206</v>
      </c>
    </row>
    <row r="121" spans="1:23" s="2" customFormat="1" x14ac:dyDescent="0.35">
      <c r="A121" s="194">
        <f t="shared" ref="A121:A122" ca="1" si="16">S121</f>
        <v>207</v>
      </c>
      <c r="B121" s="194"/>
      <c r="C121" s="63" t="s">
        <v>201</v>
      </c>
      <c r="D121" s="63">
        <f>30.23*10.764</f>
        <v>325.39571999999998</v>
      </c>
      <c r="E121" s="63">
        <v>0</v>
      </c>
      <c r="F121" s="63">
        <f t="shared" si="10"/>
        <v>488.09357999999997</v>
      </c>
      <c r="G121" s="194" t="str">
        <f t="shared" si="12"/>
        <v>2nd Floor</v>
      </c>
      <c r="H121" s="194"/>
      <c r="I121" s="64"/>
      <c r="J121" s="62"/>
      <c r="K121" s="62"/>
      <c r="S121" s="223">
        <f t="shared" ref="S121:S122" ca="1" si="17">V121</f>
        <v>207</v>
      </c>
      <c r="T121" s="223"/>
      <c r="U121" s="31">
        <f t="shared" ref="U121:V121" si="18">U120+1</f>
        <v>7</v>
      </c>
      <c r="V121" s="2">
        <f t="shared" ca="1" si="18"/>
        <v>207</v>
      </c>
    </row>
    <row r="122" spans="1:23" s="2" customFormat="1" x14ac:dyDescent="0.35">
      <c r="A122" s="194">
        <f t="shared" ca="1" si="16"/>
        <v>208</v>
      </c>
      <c r="B122" s="194"/>
      <c r="C122" s="63" t="s">
        <v>201</v>
      </c>
      <c r="D122" s="63">
        <f>29.36*10.764</f>
        <v>316.03103999999996</v>
      </c>
      <c r="E122" s="63">
        <v>0</v>
      </c>
      <c r="F122" s="63">
        <f t="shared" si="10"/>
        <v>474.04655999999994</v>
      </c>
      <c r="G122" s="194" t="str">
        <f t="shared" si="12"/>
        <v>2nd Floor</v>
      </c>
      <c r="H122" s="194"/>
      <c r="I122" s="64"/>
      <c r="J122" s="62"/>
      <c r="K122" s="62"/>
      <c r="S122" s="223">
        <f t="shared" ca="1" si="17"/>
        <v>208</v>
      </c>
      <c r="T122" s="223"/>
      <c r="U122" s="31">
        <f>U121+1</f>
        <v>8</v>
      </c>
      <c r="V122" s="2">
        <f t="shared" ref="V122" ca="1" si="19">V121+1</f>
        <v>208</v>
      </c>
    </row>
    <row r="123" spans="1:23" s="2" customFormat="1" ht="15.75" customHeight="1" x14ac:dyDescent="0.35">
      <c r="A123" s="183" t="s">
        <v>205</v>
      </c>
      <c r="B123" s="184"/>
      <c r="C123" s="184"/>
      <c r="D123" s="184"/>
      <c r="E123" s="184"/>
      <c r="F123" s="184"/>
      <c r="G123" s="184"/>
      <c r="H123" s="185"/>
      <c r="I123" s="64"/>
      <c r="J123" s="62"/>
      <c r="K123" s="62"/>
      <c r="S123" s="223" t="s">
        <v>176</v>
      </c>
      <c r="T123" s="223"/>
      <c r="V123" s="2" t="str">
        <f>LEFT(A123,SUM(LEN(A123)-LEN(SUBSTITUTE(A123,{"0","1","2","3","4","5","6","7","8","9"},""))))</f>
        <v>3rd,</v>
      </c>
      <c r="W123" s="2">
        <f ca="1">--TRIM(RIGHT(SUBSTITUTE(LEFT(A123,_xlfn.AGGREGATE(16,6,FIND({0,1,2,3,4,5,6,7,8,9},A123,ROW(INDIRECT("1:"&amp;LEN(A123)))),1))," ",REPT(" ",LEN(A123))),LEN(A123)))</f>
        <v>8</v>
      </c>
    </row>
    <row r="124" spans="1:23" s="2" customFormat="1" x14ac:dyDescent="0.35">
      <c r="A124" s="111" t="str">
        <f t="shared" ref="A124:A131" ca="1" si="20">S124</f>
        <v>301,..,801</v>
      </c>
      <c r="B124" s="113"/>
      <c r="C124" s="63" t="s">
        <v>201</v>
      </c>
      <c r="D124" s="63">
        <f>18.67*10.764</f>
        <v>200.96388000000002</v>
      </c>
      <c r="E124" s="63">
        <v>0</v>
      </c>
      <c r="F124" s="63">
        <f t="shared" ref="F124:F131" si="21">D124*(($F$151)+1)+E124</f>
        <v>301.44582000000003</v>
      </c>
      <c r="G124" s="111" t="str">
        <f>A123</f>
        <v>3rd, 5th, 6th &amp; 8th Floor</v>
      </c>
      <c r="H124" s="113"/>
      <c r="I124" s="64"/>
      <c r="J124" s="62"/>
      <c r="K124" s="62"/>
      <c r="S124" s="223" t="str">
        <f t="shared" ref="S124:S131" ca="1" si="22">V124&amp;""&amp;$S$163&amp;""&amp;W124</f>
        <v>301,..,801</v>
      </c>
      <c r="T124" s="223"/>
      <c r="U124" s="31">
        <v>1</v>
      </c>
      <c r="V124" s="2">
        <f ca="1">(SUMPRODUCT(MID(0&amp;V123, LARGE(INDEX(ISNUMBER(--MID(V123, ROW(INDIRECT("1:"&amp;LEN(V123))), 1)) * ROW(INDIRECT("1:"&amp;LEN(V123))), 0), ROW(INDIRECT("1:"&amp;LEN(V123))))+1, 1) * 10^ROW(INDIRECT("1:"&amp;LEN(V123)))/10))*U124*100+1</f>
        <v>301</v>
      </c>
      <c r="W124" s="2">
        <f ca="1">(SUMPRODUCT(MID(0&amp;W123, LARGE(INDEX(ISNUMBER(--MID(W123, ROW(INDIRECT("1:"&amp;LEN(W123))), 1)) * ROW(INDIRECT("1:"&amp;LEN(W123))), 0), ROW(INDIRECT("1:"&amp;LEN(W123))))+1, 1) * 10^ROW(INDIRECT("1:"&amp;LEN(W123)))/10))*U124*100+1</f>
        <v>801</v>
      </c>
    </row>
    <row r="125" spans="1:23" s="2" customFormat="1" x14ac:dyDescent="0.35">
      <c r="A125" s="111" t="str">
        <f t="shared" ca="1" si="20"/>
        <v>302,..,802</v>
      </c>
      <c r="B125" s="113"/>
      <c r="C125" s="63" t="s">
        <v>201</v>
      </c>
      <c r="D125" s="63">
        <f>24.47*10.764</f>
        <v>263.39507999999995</v>
      </c>
      <c r="E125" s="63">
        <v>0</v>
      </c>
      <c r="F125" s="63">
        <f t="shared" si="21"/>
        <v>395.0926199999999</v>
      </c>
      <c r="G125" s="111" t="str">
        <f t="shared" ref="G125:G131" si="23">G124</f>
        <v>3rd, 5th, 6th &amp; 8th Floor</v>
      </c>
      <c r="H125" s="113"/>
      <c r="I125" s="64"/>
      <c r="J125" s="62"/>
      <c r="K125" s="62"/>
      <c r="S125" s="223" t="str">
        <f t="shared" ca="1" si="22"/>
        <v>302,..,802</v>
      </c>
      <c r="T125" s="223"/>
      <c r="U125" s="31">
        <f t="shared" ref="U125:W125" si="24">U124+1</f>
        <v>2</v>
      </c>
      <c r="V125" s="2">
        <f t="shared" ca="1" si="24"/>
        <v>302</v>
      </c>
      <c r="W125" s="2">
        <f t="shared" ca="1" si="24"/>
        <v>802</v>
      </c>
    </row>
    <row r="126" spans="1:23" s="2" customFormat="1" x14ac:dyDescent="0.35">
      <c r="A126" s="111" t="str">
        <f t="shared" ca="1" si="20"/>
        <v>303,..,803</v>
      </c>
      <c r="B126" s="113"/>
      <c r="C126" s="63" t="s">
        <v>201</v>
      </c>
      <c r="D126" s="63">
        <f>24.47*10.764</f>
        <v>263.39507999999995</v>
      </c>
      <c r="E126" s="63">
        <v>0</v>
      </c>
      <c r="F126" s="63">
        <f t="shared" si="21"/>
        <v>395.0926199999999</v>
      </c>
      <c r="G126" s="111" t="str">
        <f t="shared" si="23"/>
        <v>3rd, 5th, 6th &amp; 8th Floor</v>
      </c>
      <c r="H126" s="113"/>
      <c r="I126" s="64"/>
      <c r="J126" s="62"/>
      <c r="K126" s="62"/>
      <c r="S126" s="223" t="str">
        <f t="shared" ca="1" si="22"/>
        <v>303,..,803</v>
      </c>
      <c r="T126" s="223"/>
      <c r="U126" s="31">
        <f t="shared" ref="U126:W126" si="25">U125+1</f>
        <v>3</v>
      </c>
      <c r="V126" s="2">
        <f t="shared" ca="1" si="25"/>
        <v>303</v>
      </c>
      <c r="W126" s="2">
        <f t="shared" ca="1" si="25"/>
        <v>803</v>
      </c>
    </row>
    <row r="127" spans="1:23" s="2" customFormat="1" x14ac:dyDescent="0.35">
      <c r="A127" s="111" t="str">
        <f t="shared" ca="1" si="20"/>
        <v>304,..,804</v>
      </c>
      <c r="B127" s="113"/>
      <c r="C127" s="63" t="s">
        <v>201</v>
      </c>
      <c r="D127" s="63">
        <f>34.89*10.764</f>
        <v>375.55595999999997</v>
      </c>
      <c r="E127" s="63">
        <v>0</v>
      </c>
      <c r="F127" s="63">
        <f t="shared" si="21"/>
        <v>563.33393999999998</v>
      </c>
      <c r="G127" s="111" t="str">
        <f t="shared" si="23"/>
        <v>3rd, 5th, 6th &amp; 8th Floor</v>
      </c>
      <c r="H127" s="113"/>
      <c r="I127" s="64"/>
      <c r="J127" s="62"/>
      <c r="K127" s="62"/>
      <c r="S127" s="223" t="str">
        <f t="shared" ca="1" si="22"/>
        <v>304,..,804</v>
      </c>
      <c r="T127" s="223"/>
      <c r="U127" s="31">
        <f t="shared" ref="U127:W127" si="26">U126+1</f>
        <v>4</v>
      </c>
      <c r="V127" s="2">
        <f t="shared" ca="1" si="26"/>
        <v>304</v>
      </c>
      <c r="W127" s="2">
        <f t="shared" ca="1" si="26"/>
        <v>804</v>
      </c>
    </row>
    <row r="128" spans="1:23" s="2" customFormat="1" x14ac:dyDescent="0.35">
      <c r="A128" s="111" t="str">
        <f t="shared" ca="1" si="20"/>
        <v>305,..,805</v>
      </c>
      <c r="B128" s="113"/>
      <c r="C128" s="63" t="s">
        <v>201</v>
      </c>
      <c r="D128" s="63">
        <f>32.82*10.764</f>
        <v>353.27447999999998</v>
      </c>
      <c r="E128" s="63">
        <v>0</v>
      </c>
      <c r="F128" s="63">
        <f t="shared" si="21"/>
        <v>529.91171999999995</v>
      </c>
      <c r="G128" s="111" t="str">
        <f t="shared" si="23"/>
        <v>3rd, 5th, 6th &amp; 8th Floor</v>
      </c>
      <c r="H128" s="113"/>
      <c r="I128" s="64"/>
      <c r="J128" s="62"/>
      <c r="K128" s="62"/>
      <c r="S128" s="223" t="str">
        <f t="shared" ca="1" si="22"/>
        <v>305,..,805</v>
      </c>
      <c r="T128" s="223"/>
      <c r="U128" s="31">
        <f t="shared" ref="U128:W128" si="27">U127+1</f>
        <v>5</v>
      </c>
      <c r="V128" s="2">
        <f t="shared" ca="1" si="27"/>
        <v>305</v>
      </c>
      <c r="W128" s="2">
        <f t="shared" ca="1" si="27"/>
        <v>805</v>
      </c>
    </row>
    <row r="129" spans="1:23" s="2" customFormat="1" x14ac:dyDescent="0.35">
      <c r="A129" s="111" t="str">
        <f t="shared" ca="1" si="20"/>
        <v>306,..,806</v>
      </c>
      <c r="B129" s="113"/>
      <c r="C129" s="63" t="s">
        <v>201</v>
      </c>
      <c r="D129" s="63">
        <f>31.49*10.764</f>
        <v>338.95835999999997</v>
      </c>
      <c r="E129" s="63">
        <v>0</v>
      </c>
      <c r="F129" s="63">
        <f t="shared" si="21"/>
        <v>508.43753999999996</v>
      </c>
      <c r="G129" s="111" t="str">
        <f t="shared" si="23"/>
        <v>3rd, 5th, 6th &amp; 8th Floor</v>
      </c>
      <c r="H129" s="113"/>
      <c r="I129" s="64"/>
      <c r="J129" s="62"/>
      <c r="K129" s="62"/>
      <c r="S129" s="223" t="str">
        <f t="shared" ca="1" si="22"/>
        <v>306,..,806</v>
      </c>
      <c r="T129" s="223"/>
      <c r="U129" s="31">
        <f t="shared" ref="U129:W129" si="28">U128+1</f>
        <v>6</v>
      </c>
      <c r="V129" s="2">
        <f t="shared" ca="1" si="28"/>
        <v>306</v>
      </c>
      <c r="W129" s="2">
        <f t="shared" ca="1" si="28"/>
        <v>806</v>
      </c>
    </row>
    <row r="130" spans="1:23" s="2" customFormat="1" x14ac:dyDescent="0.35">
      <c r="A130" s="111" t="str">
        <f t="shared" ca="1" si="20"/>
        <v>307,..,807</v>
      </c>
      <c r="B130" s="113"/>
      <c r="C130" s="63" t="s">
        <v>201</v>
      </c>
      <c r="D130" s="63">
        <f>30.23*10.764</f>
        <v>325.39571999999998</v>
      </c>
      <c r="E130" s="63">
        <v>0</v>
      </c>
      <c r="F130" s="63">
        <f t="shared" si="21"/>
        <v>488.09357999999997</v>
      </c>
      <c r="G130" s="111" t="str">
        <f t="shared" si="23"/>
        <v>3rd, 5th, 6th &amp; 8th Floor</v>
      </c>
      <c r="H130" s="113"/>
      <c r="I130" s="64"/>
      <c r="J130" s="62"/>
      <c r="K130" s="62"/>
      <c r="S130" s="223" t="str">
        <f t="shared" ca="1" si="22"/>
        <v>307,..,807</v>
      </c>
      <c r="T130" s="223"/>
      <c r="U130" s="31">
        <f t="shared" ref="U130:W130" si="29">U129+1</f>
        <v>7</v>
      </c>
      <c r="V130" s="2">
        <f t="shared" ca="1" si="29"/>
        <v>307</v>
      </c>
      <c r="W130" s="2">
        <f t="shared" ca="1" si="29"/>
        <v>807</v>
      </c>
    </row>
    <row r="131" spans="1:23" s="2" customFormat="1" x14ac:dyDescent="0.35">
      <c r="A131" s="111" t="str">
        <f t="shared" ca="1" si="20"/>
        <v>308,..,808</v>
      </c>
      <c r="B131" s="113"/>
      <c r="C131" s="63" t="s">
        <v>201</v>
      </c>
      <c r="D131" s="63">
        <f>29.36*10.764</f>
        <v>316.03103999999996</v>
      </c>
      <c r="E131" s="63">
        <v>0</v>
      </c>
      <c r="F131" s="63">
        <f t="shared" si="21"/>
        <v>474.04655999999994</v>
      </c>
      <c r="G131" s="111" t="str">
        <f t="shared" si="23"/>
        <v>3rd, 5th, 6th &amp; 8th Floor</v>
      </c>
      <c r="H131" s="113"/>
      <c r="I131" s="64"/>
      <c r="J131" s="62"/>
      <c r="K131" s="62"/>
      <c r="S131" s="223" t="str">
        <f t="shared" ca="1" si="22"/>
        <v>308,..,808</v>
      </c>
      <c r="T131" s="223"/>
      <c r="U131" s="31">
        <f t="shared" ref="U131:W131" si="30">U130+1</f>
        <v>8</v>
      </c>
      <c r="V131" s="2">
        <f t="shared" ca="1" si="30"/>
        <v>308</v>
      </c>
      <c r="W131" s="2">
        <f t="shared" ca="1" si="30"/>
        <v>808</v>
      </c>
    </row>
    <row r="132" spans="1:23" s="2" customFormat="1" x14ac:dyDescent="0.35">
      <c r="A132" s="197" t="s">
        <v>206</v>
      </c>
      <c r="B132" s="197"/>
      <c r="C132" s="197"/>
      <c r="D132" s="197"/>
      <c r="E132" s="197"/>
      <c r="F132" s="197"/>
      <c r="G132" s="197"/>
      <c r="H132" s="197"/>
      <c r="I132" s="64"/>
      <c r="J132" s="62"/>
      <c r="K132" s="62"/>
      <c r="S132" s="223"/>
      <c r="T132" s="223"/>
      <c r="V132" s="2" t="str">
        <f>LEFT(A132,SUM(LEN(A132)-LEN(SUBSTITUTE(A132,{"0","1","2","3","4","5","6","7","8","9"},""))))</f>
        <v>4</v>
      </c>
    </row>
    <row r="133" spans="1:23" s="2" customFormat="1" x14ac:dyDescent="0.35">
      <c r="A133" s="194">
        <f t="shared" ref="A133:A140" ca="1" si="31">S133</f>
        <v>401</v>
      </c>
      <c r="B133" s="194"/>
      <c r="C133" s="63" t="s">
        <v>201</v>
      </c>
      <c r="D133" s="63">
        <f>18.67*10.764</f>
        <v>200.96388000000002</v>
      </c>
      <c r="E133" s="63">
        <v>0</v>
      </c>
      <c r="F133" s="63">
        <f t="shared" ref="F133:F140" si="32">D133*(($F$151)+1)+E133</f>
        <v>301.44582000000003</v>
      </c>
      <c r="G133" s="194" t="str">
        <f>A132</f>
        <v>4th Floor</v>
      </c>
      <c r="H133" s="194"/>
      <c r="I133" s="64"/>
      <c r="J133" s="62"/>
      <c r="K133" s="62"/>
      <c r="S133" s="223">
        <f t="shared" ref="S133:S140" ca="1" si="33">V133</f>
        <v>401</v>
      </c>
      <c r="T133" s="223"/>
      <c r="U133" s="31">
        <v>1</v>
      </c>
      <c r="V133" s="2">
        <f ca="1">(SUMPRODUCT(MID(0&amp;V132, LARGE(INDEX(ISNUMBER(--MID(V132, ROW(INDIRECT("1:"&amp;LEN(V132))), 1)) * ROW(INDIRECT("1:"&amp;LEN(V132))), 0), ROW(INDIRECT("1:"&amp;LEN(V132))))+1, 1) * 10^ROW(INDIRECT("1:"&amp;LEN(V132)))/10))*U133*100+1</f>
        <v>401</v>
      </c>
    </row>
    <row r="134" spans="1:23" s="2" customFormat="1" x14ac:dyDescent="0.35">
      <c r="A134" s="194">
        <f t="shared" ca="1" si="31"/>
        <v>402</v>
      </c>
      <c r="B134" s="194"/>
      <c r="C134" s="63" t="s">
        <v>201</v>
      </c>
      <c r="D134" s="63">
        <f>24.47*10.764</f>
        <v>263.39507999999995</v>
      </c>
      <c r="E134" s="63">
        <v>0</v>
      </c>
      <c r="F134" s="63">
        <f t="shared" si="32"/>
        <v>395.0926199999999</v>
      </c>
      <c r="G134" s="194" t="str">
        <f t="shared" ref="G134:G140" si="34">G133</f>
        <v>4th Floor</v>
      </c>
      <c r="H134" s="194"/>
      <c r="I134" s="64"/>
      <c r="J134" s="62"/>
      <c r="K134" s="62"/>
      <c r="S134" s="223">
        <f t="shared" ca="1" si="33"/>
        <v>402</v>
      </c>
      <c r="T134" s="223"/>
      <c r="U134" s="31">
        <f>U133+1</f>
        <v>2</v>
      </c>
      <c r="V134" s="2">
        <f ca="1">V133+1</f>
        <v>402</v>
      </c>
    </row>
    <row r="135" spans="1:23" s="2" customFormat="1" x14ac:dyDescent="0.35">
      <c r="A135" s="194">
        <f t="shared" ca="1" si="31"/>
        <v>403</v>
      </c>
      <c r="B135" s="194"/>
      <c r="C135" s="63" t="s">
        <v>201</v>
      </c>
      <c r="D135" s="63">
        <f>24.47*10.764</f>
        <v>263.39507999999995</v>
      </c>
      <c r="E135" s="63">
        <v>0</v>
      </c>
      <c r="F135" s="63">
        <f t="shared" si="32"/>
        <v>395.0926199999999</v>
      </c>
      <c r="G135" s="194" t="str">
        <f t="shared" si="34"/>
        <v>4th Floor</v>
      </c>
      <c r="H135" s="194"/>
      <c r="I135" s="64"/>
      <c r="J135" s="62"/>
      <c r="K135" s="62"/>
      <c r="S135" s="223">
        <f t="shared" ca="1" si="33"/>
        <v>403</v>
      </c>
      <c r="T135" s="223"/>
      <c r="U135" s="31">
        <f>U134+1</f>
        <v>3</v>
      </c>
      <c r="V135" s="2">
        <f ca="1">V134+1</f>
        <v>403</v>
      </c>
    </row>
    <row r="136" spans="1:23" s="2" customFormat="1" x14ac:dyDescent="0.35">
      <c r="A136" s="194">
        <f t="shared" ca="1" si="31"/>
        <v>404</v>
      </c>
      <c r="B136" s="194"/>
      <c r="C136" s="63" t="s">
        <v>201</v>
      </c>
      <c r="D136" s="63">
        <f>34.89*10.764</f>
        <v>375.55595999999997</v>
      </c>
      <c r="E136" s="63">
        <v>0</v>
      </c>
      <c r="F136" s="63">
        <f t="shared" si="32"/>
        <v>563.33393999999998</v>
      </c>
      <c r="G136" s="194" t="str">
        <f t="shared" si="34"/>
        <v>4th Floor</v>
      </c>
      <c r="H136" s="194"/>
      <c r="I136" s="64"/>
      <c r="J136" s="62"/>
      <c r="K136" s="62"/>
      <c r="S136" s="223">
        <f t="shared" ca="1" si="33"/>
        <v>404</v>
      </c>
      <c r="T136" s="223"/>
      <c r="U136" s="31">
        <f t="shared" ref="U136:V136" si="35">U135+1</f>
        <v>4</v>
      </c>
      <c r="V136" s="2">
        <f t="shared" ca="1" si="35"/>
        <v>404</v>
      </c>
    </row>
    <row r="137" spans="1:23" s="2" customFormat="1" x14ac:dyDescent="0.35">
      <c r="A137" s="194">
        <f t="shared" ca="1" si="31"/>
        <v>405</v>
      </c>
      <c r="B137" s="194"/>
      <c r="C137" s="63" t="s">
        <v>201</v>
      </c>
      <c r="D137" s="63">
        <f>32.82*10.764</f>
        <v>353.27447999999998</v>
      </c>
      <c r="E137" s="63">
        <v>0</v>
      </c>
      <c r="F137" s="63">
        <f t="shared" si="32"/>
        <v>529.91171999999995</v>
      </c>
      <c r="G137" s="194" t="str">
        <f t="shared" si="34"/>
        <v>4th Floor</v>
      </c>
      <c r="H137" s="194"/>
      <c r="I137" s="64"/>
      <c r="J137" s="62"/>
      <c r="K137" s="62"/>
      <c r="S137" s="223">
        <f t="shared" ca="1" si="33"/>
        <v>405</v>
      </c>
      <c r="T137" s="223"/>
      <c r="U137" s="31">
        <f t="shared" ref="U137:V138" si="36">U136+1</f>
        <v>5</v>
      </c>
      <c r="V137" s="2">
        <f t="shared" ca="1" si="36"/>
        <v>405</v>
      </c>
    </row>
    <row r="138" spans="1:23" s="2" customFormat="1" x14ac:dyDescent="0.35">
      <c r="A138" s="194">
        <f t="shared" ca="1" si="31"/>
        <v>406</v>
      </c>
      <c r="B138" s="194"/>
      <c r="C138" s="63" t="s">
        <v>201</v>
      </c>
      <c r="D138" s="63">
        <f>31.49*10.764</f>
        <v>338.95835999999997</v>
      </c>
      <c r="E138" s="63">
        <v>0</v>
      </c>
      <c r="F138" s="63">
        <f t="shared" si="32"/>
        <v>508.43753999999996</v>
      </c>
      <c r="G138" s="194" t="str">
        <f t="shared" si="34"/>
        <v>4th Floor</v>
      </c>
      <c r="H138" s="194"/>
      <c r="I138" s="64"/>
      <c r="J138" s="62"/>
      <c r="K138" s="62"/>
      <c r="S138" s="223">
        <f t="shared" ca="1" si="33"/>
        <v>406</v>
      </c>
      <c r="T138" s="223"/>
      <c r="U138" s="31">
        <f>U137+1</f>
        <v>6</v>
      </c>
      <c r="V138" s="2">
        <f t="shared" ca="1" si="36"/>
        <v>406</v>
      </c>
    </row>
    <row r="139" spans="1:23" s="2" customFormat="1" x14ac:dyDescent="0.35">
      <c r="A139" s="194">
        <f t="shared" ca="1" si="31"/>
        <v>407</v>
      </c>
      <c r="B139" s="194"/>
      <c r="C139" s="63" t="s">
        <v>201</v>
      </c>
      <c r="D139" s="63">
        <f>30.23*10.764</f>
        <v>325.39571999999998</v>
      </c>
      <c r="E139" s="63">
        <v>0</v>
      </c>
      <c r="F139" s="63">
        <f t="shared" si="32"/>
        <v>488.09357999999997</v>
      </c>
      <c r="G139" s="194" t="str">
        <f t="shared" si="34"/>
        <v>4th Floor</v>
      </c>
      <c r="H139" s="194"/>
      <c r="I139" s="64"/>
      <c r="J139" s="62"/>
      <c r="K139" s="62"/>
      <c r="S139" s="223">
        <f t="shared" ca="1" si="33"/>
        <v>407</v>
      </c>
      <c r="T139" s="223"/>
      <c r="U139" s="31">
        <f t="shared" ref="U139:V140" si="37">U138+1</f>
        <v>7</v>
      </c>
      <c r="V139" s="2">
        <f t="shared" ca="1" si="37"/>
        <v>407</v>
      </c>
    </row>
    <row r="140" spans="1:23" s="2" customFormat="1" x14ac:dyDescent="0.35">
      <c r="A140" s="194">
        <f t="shared" ca="1" si="31"/>
        <v>408</v>
      </c>
      <c r="B140" s="194"/>
      <c r="C140" s="63" t="s">
        <v>201</v>
      </c>
      <c r="D140" s="63">
        <f>29.36*10.764</f>
        <v>316.03103999999996</v>
      </c>
      <c r="E140" s="63">
        <v>0</v>
      </c>
      <c r="F140" s="63">
        <f t="shared" si="32"/>
        <v>474.04655999999994</v>
      </c>
      <c r="G140" s="194" t="str">
        <f t="shared" si="34"/>
        <v>4th Floor</v>
      </c>
      <c r="H140" s="194"/>
      <c r="I140" s="64"/>
      <c r="J140" s="62"/>
      <c r="K140" s="62"/>
      <c r="S140" s="223">
        <f t="shared" ca="1" si="33"/>
        <v>408</v>
      </c>
      <c r="T140" s="223"/>
      <c r="U140" s="31">
        <f>U139+1</f>
        <v>8</v>
      </c>
      <c r="V140" s="2">
        <f t="shared" ca="1" si="37"/>
        <v>408</v>
      </c>
    </row>
    <row r="141" spans="1:23" s="2" customFormat="1" x14ac:dyDescent="0.35">
      <c r="A141" s="197" t="s">
        <v>207</v>
      </c>
      <c r="B141" s="197"/>
      <c r="C141" s="197"/>
      <c r="D141" s="197"/>
      <c r="E141" s="197"/>
      <c r="F141" s="197"/>
      <c r="G141" s="197"/>
      <c r="H141" s="197"/>
      <c r="I141" s="64"/>
      <c r="J141" s="62"/>
      <c r="K141" s="62"/>
      <c r="S141" s="223"/>
      <c r="T141" s="223"/>
      <c r="V141" s="2" t="str">
        <f>LEFT(A141,SUM(LEN(A141)-LEN(SUBSTITUTE(A141,{"0","1","2","3","4","5","6","7","8","9"},""))))</f>
        <v>7</v>
      </c>
    </row>
    <row r="142" spans="1:23" s="2" customFormat="1" ht="15.75" customHeight="1" x14ac:dyDescent="0.35">
      <c r="A142" s="194">
        <f t="shared" ref="A142:A149" ca="1" si="38">S142</f>
        <v>701</v>
      </c>
      <c r="B142" s="194"/>
      <c r="C142" s="63" t="s">
        <v>201</v>
      </c>
      <c r="D142" s="63">
        <f>18.67*10.764</f>
        <v>200.96388000000002</v>
      </c>
      <c r="E142" s="63">
        <v>0</v>
      </c>
      <c r="F142" s="63">
        <f t="shared" ref="F142:F149" si="39">D142*(($F$151)+1)+E142</f>
        <v>301.44582000000003</v>
      </c>
      <c r="G142" s="179" t="str">
        <f>A141</f>
        <v>7th Floor(Part Refuge Floor)</v>
      </c>
      <c r="H142" s="180"/>
      <c r="I142" s="64"/>
      <c r="J142" s="62"/>
      <c r="K142" s="62"/>
      <c r="S142" s="223">
        <f t="shared" ref="S142:S149" ca="1" si="40">V142</f>
        <v>701</v>
      </c>
      <c r="T142" s="223"/>
      <c r="U142" s="31">
        <v>1</v>
      </c>
      <c r="V142" s="2">
        <f ca="1">(SUMPRODUCT(MID(0&amp;V141, LARGE(INDEX(ISNUMBER(--MID(V141, ROW(INDIRECT("1:"&amp;LEN(V141))), 1)) * ROW(INDIRECT("1:"&amp;LEN(V141))), 0), ROW(INDIRECT("1:"&amp;LEN(V141))))+1, 1) * 10^ROW(INDIRECT("1:"&amp;LEN(V141)))/10))*U142*100+1</f>
        <v>701</v>
      </c>
    </row>
    <row r="143" spans="1:23" s="2" customFormat="1" ht="15.75" customHeight="1" x14ac:dyDescent="0.35">
      <c r="A143" s="194">
        <f t="shared" ca="1" si="38"/>
        <v>702</v>
      </c>
      <c r="B143" s="194"/>
      <c r="C143" s="63" t="s">
        <v>201</v>
      </c>
      <c r="D143" s="63">
        <f>24.47*10.764</f>
        <v>263.39507999999995</v>
      </c>
      <c r="E143" s="63">
        <v>0</v>
      </c>
      <c r="F143" s="63">
        <f t="shared" si="39"/>
        <v>395.0926199999999</v>
      </c>
      <c r="G143" s="195"/>
      <c r="H143" s="196"/>
      <c r="I143" s="64"/>
      <c r="J143" s="62"/>
      <c r="K143" s="62"/>
      <c r="S143" s="223">
        <f t="shared" ca="1" si="40"/>
        <v>702</v>
      </c>
      <c r="T143" s="223"/>
      <c r="U143" s="31">
        <f>U142+1</f>
        <v>2</v>
      </c>
      <c r="V143" s="2">
        <f ca="1">V142+1</f>
        <v>702</v>
      </c>
    </row>
    <row r="144" spans="1:23" s="2" customFormat="1" ht="15.75" customHeight="1" x14ac:dyDescent="0.35">
      <c r="A144" s="194">
        <f t="shared" ca="1" si="38"/>
        <v>703</v>
      </c>
      <c r="B144" s="194"/>
      <c r="C144" s="63" t="s">
        <v>201</v>
      </c>
      <c r="D144" s="63">
        <f>24.47*10.764</f>
        <v>263.39507999999995</v>
      </c>
      <c r="E144" s="63">
        <v>0</v>
      </c>
      <c r="F144" s="63">
        <f t="shared" si="39"/>
        <v>395.0926199999999</v>
      </c>
      <c r="G144" s="195"/>
      <c r="H144" s="196"/>
      <c r="I144" s="64"/>
      <c r="J144" s="62"/>
      <c r="K144" s="62"/>
      <c r="S144" s="223">
        <f t="shared" ca="1" si="40"/>
        <v>703</v>
      </c>
      <c r="T144" s="223"/>
      <c r="U144" s="31">
        <f>U143+1</f>
        <v>3</v>
      </c>
      <c r="V144" s="2">
        <f ca="1">V143+1</f>
        <v>703</v>
      </c>
    </row>
    <row r="145" spans="1:22" s="2" customFormat="1" ht="15.75" customHeight="1" x14ac:dyDescent="0.35">
      <c r="A145" s="194">
        <f t="shared" ca="1" si="38"/>
        <v>704</v>
      </c>
      <c r="B145" s="194"/>
      <c r="C145" s="63" t="s">
        <v>201</v>
      </c>
      <c r="D145" s="63">
        <f>34.89*10.764</f>
        <v>375.55595999999997</v>
      </c>
      <c r="E145" s="63">
        <v>0</v>
      </c>
      <c r="F145" s="63">
        <f t="shared" si="39"/>
        <v>563.33393999999998</v>
      </c>
      <c r="G145" s="195"/>
      <c r="H145" s="196"/>
      <c r="I145" s="64"/>
      <c r="J145" s="62"/>
      <c r="K145" s="62"/>
      <c r="S145" s="223">
        <f t="shared" ca="1" si="40"/>
        <v>704</v>
      </c>
      <c r="T145" s="223"/>
      <c r="U145" s="31">
        <f t="shared" ref="U145:V145" si="41">U144+1</f>
        <v>4</v>
      </c>
      <c r="V145" s="2">
        <f t="shared" ca="1" si="41"/>
        <v>704</v>
      </c>
    </row>
    <row r="146" spans="1:22" s="2" customFormat="1" ht="15.75" customHeight="1" x14ac:dyDescent="0.35">
      <c r="A146" s="194">
        <f t="shared" ca="1" si="38"/>
        <v>705</v>
      </c>
      <c r="B146" s="194"/>
      <c r="C146" s="63" t="s">
        <v>201</v>
      </c>
      <c r="D146" s="63">
        <f>32.82*10.764</f>
        <v>353.27447999999998</v>
      </c>
      <c r="E146" s="63">
        <v>0</v>
      </c>
      <c r="F146" s="63">
        <f t="shared" si="39"/>
        <v>529.91171999999995</v>
      </c>
      <c r="G146" s="195"/>
      <c r="H146" s="196"/>
      <c r="I146" s="64"/>
      <c r="J146" s="62"/>
      <c r="K146" s="62"/>
      <c r="S146" s="223">
        <f t="shared" ca="1" si="40"/>
        <v>705</v>
      </c>
      <c r="T146" s="223"/>
      <c r="U146" s="31">
        <f t="shared" ref="U146:V146" si="42">U145+1</f>
        <v>5</v>
      </c>
      <c r="V146" s="2">
        <f t="shared" ca="1" si="42"/>
        <v>705</v>
      </c>
    </row>
    <row r="147" spans="1:22" s="2" customFormat="1" ht="15.75" customHeight="1" x14ac:dyDescent="0.35">
      <c r="A147" s="194">
        <f t="shared" ca="1" si="38"/>
        <v>706</v>
      </c>
      <c r="B147" s="194"/>
      <c r="C147" s="63" t="s">
        <v>201</v>
      </c>
      <c r="D147" s="63">
        <f>31.49*10.764</f>
        <v>338.95835999999997</v>
      </c>
      <c r="E147" s="63">
        <v>0</v>
      </c>
      <c r="F147" s="63">
        <f t="shared" si="39"/>
        <v>508.43753999999996</v>
      </c>
      <c r="G147" s="195"/>
      <c r="H147" s="196"/>
      <c r="I147" s="64"/>
      <c r="J147" s="62"/>
      <c r="K147" s="62"/>
      <c r="S147" s="223">
        <f t="shared" ca="1" si="40"/>
        <v>706</v>
      </c>
      <c r="T147" s="223"/>
      <c r="U147" s="31">
        <f>U146+1</f>
        <v>6</v>
      </c>
      <c r="V147" s="2">
        <f t="shared" ref="V147" ca="1" si="43">V146+1</f>
        <v>706</v>
      </c>
    </row>
    <row r="148" spans="1:22" s="2" customFormat="1" ht="15.75" customHeight="1" x14ac:dyDescent="0.35">
      <c r="A148" s="194">
        <f t="shared" ca="1" si="38"/>
        <v>707</v>
      </c>
      <c r="B148" s="194"/>
      <c r="C148" s="63" t="s">
        <v>201</v>
      </c>
      <c r="D148" s="63">
        <f>30.23*10.764</f>
        <v>325.39571999999998</v>
      </c>
      <c r="E148" s="63">
        <v>0</v>
      </c>
      <c r="F148" s="63">
        <f t="shared" si="39"/>
        <v>488.09357999999997</v>
      </c>
      <c r="G148" s="195"/>
      <c r="H148" s="196"/>
      <c r="I148" s="64"/>
      <c r="J148" s="62"/>
      <c r="K148" s="62"/>
      <c r="S148" s="223">
        <f t="shared" ca="1" si="40"/>
        <v>707</v>
      </c>
      <c r="T148" s="223"/>
      <c r="U148" s="31">
        <f t="shared" ref="U148:V148" si="44">U147+1</f>
        <v>7</v>
      </c>
      <c r="V148" s="2">
        <f t="shared" ca="1" si="44"/>
        <v>707</v>
      </c>
    </row>
    <row r="149" spans="1:22" s="2" customFormat="1" ht="15.75" customHeight="1" x14ac:dyDescent="0.35">
      <c r="A149" s="194">
        <f t="shared" ca="1" si="38"/>
        <v>708</v>
      </c>
      <c r="B149" s="194"/>
      <c r="C149" s="63" t="s">
        <v>201</v>
      </c>
      <c r="D149" s="63">
        <f>29.36*10.764</f>
        <v>316.03103999999996</v>
      </c>
      <c r="E149" s="63">
        <v>0</v>
      </c>
      <c r="F149" s="63">
        <f t="shared" si="39"/>
        <v>474.04655999999994</v>
      </c>
      <c r="G149" s="181"/>
      <c r="H149" s="182"/>
      <c r="I149" s="64"/>
      <c r="J149" s="62"/>
      <c r="K149" s="62"/>
      <c r="S149" s="223">
        <f t="shared" ca="1" si="40"/>
        <v>708</v>
      </c>
      <c r="T149" s="223"/>
      <c r="U149" s="31">
        <f>U148+1</f>
        <v>8</v>
      </c>
      <c r="V149" s="2">
        <f t="shared" ref="V149" ca="1" si="45">V148+1</f>
        <v>708</v>
      </c>
    </row>
    <row r="150" spans="1:22" ht="45" hidden="1" x14ac:dyDescent="0.35">
      <c r="A150" s="186" t="s">
        <v>226</v>
      </c>
      <c r="B150" s="186" t="s">
        <v>179</v>
      </c>
      <c r="C150" s="188" t="s">
        <v>71</v>
      </c>
      <c r="D150" s="188" t="s">
        <v>72</v>
      </c>
      <c r="E150" s="190" t="s">
        <v>73</v>
      </c>
      <c r="F150" s="60" t="s">
        <v>175</v>
      </c>
      <c r="G150" s="186" t="s">
        <v>74</v>
      </c>
      <c r="H150" s="192"/>
      <c r="I150" s="64"/>
      <c r="J150" s="11"/>
      <c r="K150" s="11"/>
    </row>
    <row r="151" spans="1:22" s="2" customFormat="1" hidden="1" x14ac:dyDescent="0.35">
      <c r="A151" s="187"/>
      <c r="B151" s="187"/>
      <c r="C151" s="189"/>
      <c r="D151" s="189"/>
      <c r="E151" s="191"/>
      <c r="F151" s="61">
        <v>0.5</v>
      </c>
      <c r="G151" s="187"/>
      <c r="H151" s="193"/>
      <c r="I151" s="64"/>
      <c r="J151" s="62"/>
      <c r="K151" s="62"/>
    </row>
    <row r="152" spans="1:22" s="2" customFormat="1" x14ac:dyDescent="0.35">
      <c r="A152" s="183" t="s">
        <v>196</v>
      </c>
      <c r="B152" s="184"/>
      <c r="C152" s="184"/>
      <c r="D152" s="184"/>
      <c r="E152" s="184"/>
      <c r="F152" s="184"/>
      <c r="G152" s="184"/>
      <c r="H152" s="185"/>
      <c r="I152" s="64"/>
      <c r="J152" s="62"/>
      <c r="K152" s="62"/>
      <c r="U152" s="31"/>
    </row>
    <row r="153" spans="1:22" s="2" customFormat="1" x14ac:dyDescent="0.35">
      <c r="A153" s="183" t="s">
        <v>194</v>
      </c>
      <c r="B153" s="184"/>
      <c r="C153" s="184"/>
      <c r="D153" s="184"/>
      <c r="E153" s="184"/>
      <c r="F153" s="184"/>
      <c r="G153" s="184"/>
      <c r="H153" s="185"/>
      <c r="I153" s="64"/>
      <c r="J153" s="62"/>
      <c r="K153" s="62"/>
      <c r="U153" s="31"/>
    </row>
    <row r="154" spans="1:22" s="2" customFormat="1" x14ac:dyDescent="0.35">
      <c r="A154" s="183" t="s">
        <v>199</v>
      </c>
      <c r="B154" s="184"/>
      <c r="C154" s="184"/>
      <c r="D154" s="184"/>
      <c r="E154" s="184"/>
      <c r="F154" s="184"/>
      <c r="G154" s="184"/>
      <c r="H154" s="185"/>
      <c r="I154" s="64"/>
      <c r="J154" s="62"/>
      <c r="K154" s="62"/>
      <c r="U154" s="31"/>
    </row>
    <row r="155" spans="1:22" s="2" customFormat="1" x14ac:dyDescent="0.35">
      <c r="A155" s="197" t="s">
        <v>202</v>
      </c>
      <c r="B155" s="197"/>
      <c r="C155" s="197"/>
      <c r="D155" s="197"/>
      <c r="E155" s="197"/>
      <c r="F155" s="197"/>
      <c r="G155" s="197"/>
      <c r="H155" s="197"/>
      <c r="I155" s="64"/>
      <c r="J155" s="62"/>
      <c r="K155" s="62"/>
      <c r="S155" s="223"/>
      <c r="T155" s="223"/>
      <c r="V155" s="2" t="str">
        <f>LEFT(A155,SUM(LEN(A155)-LEN(SUBSTITUTE(A155,{"0","1","2","3","4","5","6","7","8","9"},""))))</f>
        <v>1</v>
      </c>
    </row>
    <row r="156" spans="1:22" s="2" customFormat="1" x14ac:dyDescent="0.35">
      <c r="A156" s="194">
        <f t="shared" ref="A156:A158" ca="1" si="46">S156</f>
        <v>101</v>
      </c>
      <c r="B156" s="194"/>
      <c r="C156" s="63" t="s">
        <v>203</v>
      </c>
      <c r="D156" s="63">
        <f>37.01*10.764</f>
        <v>398.37563999999998</v>
      </c>
      <c r="E156" s="63">
        <v>0</v>
      </c>
      <c r="F156" s="63">
        <f>D156*(($F$151)+1)+E156</f>
        <v>597.56345999999996</v>
      </c>
      <c r="G156" s="194" t="str">
        <f>A155</f>
        <v>1st Floor for Residential</v>
      </c>
      <c r="H156" s="194"/>
      <c r="I156" s="64"/>
      <c r="J156" s="62"/>
      <c r="K156" s="62"/>
      <c r="S156" s="223">
        <f t="shared" ref="S156:S158" ca="1" si="47">V156</f>
        <v>101</v>
      </c>
      <c r="T156" s="223"/>
      <c r="U156" s="31">
        <v>1</v>
      </c>
      <c r="V156" s="2">
        <f ca="1">(SUMPRODUCT(MID(0&amp;V155, LARGE(INDEX(ISNUMBER(--MID(V155, ROW(INDIRECT("1:"&amp;LEN(V155))), 1)) * ROW(INDIRECT("1:"&amp;LEN(V155))), 0), ROW(INDIRECT("1:"&amp;LEN(V155))))+1, 1) * 10^ROW(INDIRECT("1:"&amp;LEN(V155)))/10))*U156*100+1</f>
        <v>101</v>
      </c>
    </row>
    <row r="157" spans="1:22" s="2" customFormat="1" x14ac:dyDescent="0.35">
      <c r="A157" s="194">
        <f t="shared" ca="1" si="46"/>
        <v>102</v>
      </c>
      <c r="B157" s="194"/>
      <c r="C157" s="63" t="s">
        <v>204</v>
      </c>
      <c r="D157" s="63">
        <f>46.28*10.764</f>
        <v>498.15791999999999</v>
      </c>
      <c r="E157" s="63">
        <f>3.07*1.7*10.764</f>
        <v>56.17731599999999</v>
      </c>
      <c r="F157" s="63">
        <f>D157*(($F$151)+1)+E157</f>
        <v>803.41419599999995</v>
      </c>
      <c r="G157" s="194" t="str">
        <f t="shared" ref="G157:G158" si="48">G156</f>
        <v>1st Floor for Residential</v>
      </c>
      <c r="H157" s="194"/>
      <c r="I157" s="64"/>
      <c r="J157" s="62"/>
      <c r="K157" s="62"/>
      <c r="S157" s="223">
        <f t="shared" ca="1" si="47"/>
        <v>102</v>
      </c>
      <c r="T157" s="223"/>
      <c r="U157" s="31">
        <f>U156+1</f>
        <v>2</v>
      </c>
      <c r="V157" s="2">
        <f ca="1">V156+1</f>
        <v>102</v>
      </c>
    </row>
    <row r="158" spans="1:22" s="2" customFormat="1" x14ac:dyDescent="0.35">
      <c r="A158" s="194">
        <f t="shared" ca="1" si="46"/>
        <v>103</v>
      </c>
      <c r="B158" s="194"/>
      <c r="C158" s="63" t="s">
        <v>204</v>
      </c>
      <c r="D158" s="63">
        <f>46.71*10.764</f>
        <v>502.78643999999997</v>
      </c>
      <c r="E158" s="63">
        <f>3.07*1.7*10.764</f>
        <v>56.17731599999999</v>
      </c>
      <c r="F158" s="63">
        <f>D158*(($F$151)+1)+E158</f>
        <v>810.35697600000003</v>
      </c>
      <c r="G158" s="194" t="str">
        <f t="shared" si="48"/>
        <v>1st Floor for Residential</v>
      </c>
      <c r="H158" s="194"/>
      <c r="I158" s="64"/>
      <c r="J158" s="62"/>
      <c r="K158" s="62"/>
      <c r="S158" s="223">
        <f t="shared" ca="1" si="47"/>
        <v>103</v>
      </c>
      <c r="T158" s="223"/>
      <c r="U158" s="31">
        <f>U157+1</f>
        <v>3</v>
      </c>
      <c r="V158" s="2">
        <f ca="1">V157+1</f>
        <v>103</v>
      </c>
    </row>
    <row r="159" spans="1:22" s="2" customFormat="1" x14ac:dyDescent="0.35">
      <c r="A159" s="197" t="s">
        <v>177</v>
      </c>
      <c r="B159" s="197"/>
      <c r="C159" s="197"/>
      <c r="D159" s="197"/>
      <c r="E159" s="197"/>
      <c r="F159" s="197"/>
      <c r="G159" s="197"/>
      <c r="H159" s="197"/>
      <c r="I159" s="64"/>
      <c r="J159" s="62"/>
      <c r="K159" s="62"/>
      <c r="S159" s="223"/>
      <c r="T159" s="223"/>
      <c r="V159" s="2" t="str">
        <f>LEFT(A159,SUM(LEN(A159)-LEN(SUBSTITUTE(A159,{"0","1","2","3","4","5","6","7","8","9"},""))))</f>
        <v>2</v>
      </c>
    </row>
    <row r="160" spans="1:22" s="2" customFormat="1" x14ac:dyDescent="0.35">
      <c r="A160" s="194">
        <f t="shared" ref="A160:A162" ca="1" si="49">S160</f>
        <v>201</v>
      </c>
      <c r="B160" s="194"/>
      <c r="C160" s="63" t="s">
        <v>203</v>
      </c>
      <c r="D160" s="63">
        <f>37.01*10.764</f>
        <v>398.37563999999998</v>
      </c>
      <c r="E160" s="63">
        <v>0</v>
      </c>
      <c r="F160" s="63">
        <f>D160*(($F$151)+1)+E160</f>
        <v>597.56345999999996</v>
      </c>
      <c r="G160" s="194" t="str">
        <f>A159</f>
        <v>2nd Floor</v>
      </c>
      <c r="H160" s="194"/>
      <c r="I160" s="64"/>
      <c r="J160" s="62"/>
      <c r="K160" s="62"/>
      <c r="S160" s="223">
        <f t="shared" ref="S160:S162" ca="1" si="50">V160</f>
        <v>201</v>
      </c>
      <c r="T160" s="223"/>
      <c r="U160" s="31">
        <v>1</v>
      </c>
      <c r="V160" s="2">
        <f ca="1">(SUMPRODUCT(MID(0&amp;V159, LARGE(INDEX(ISNUMBER(--MID(V159, ROW(INDIRECT("1:"&amp;LEN(V159))), 1)) * ROW(INDIRECT("1:"&amp;LEN(V159))), 0), ROW(INDIRECT("1:"&amp;LEN(V159))))+1, 1) * 10^ROW(INDIRECT("1:"&amp;LEN(V159)))/10))*U160*100+1</f>
        <v>201</v>
      </c>
    </row>
    <row r="161" spans="1:23" s="2" customFormat="1" x14ac:dyDescent="0.35">
      <c r="A161" s="194">
        <f t="shared" ca="1" si="49"/>
        <v>202</v>
      </c>
      <c r="B161" s="194"/>
      <c r="C161" s="63" t="s">
        <v>204</v>
      </c>
      <c r="D161" s="63">
        <f>46.28*10.764</f>
        <v>498.15791999999999</v>
      </c>
      <c r="E161" s="63">
        <v>0</v>
      </c>
      <c r="F161" s="63">
        <f t="shared" ref="F161:F162" si="51">D161*(($F$151)+1)+E161</f>
        <v>747.23687999999993</v>
      </c>
      <c r="G161" s="194" t="str">
        <f t="shared" ref="G161:G162" si="52">G160</f>
        <v>2nd Floor</v>
      </c>
      <c r="H161" s="194"/>
      <c r="I161" s="64"/>
      <c r="J161" s="62"/>
      <c r="K161" s="62"/>
      <c r="S161" s="223">
        <f t="shared" ca="1" si="50"/>
        <v>202</v>
      </c>
      <c r="T161" s="223"/>
      <c r="U161" s="31">
        <f>U160+1</f>
        <v>2</v>
      </c>
      <c r="V161" s="2">
        <f ca="1">V160+1</f>
        <v>202</v>
      </c>
    </row>
    <row r="162" spans="1:23" s="2" customFormat="1" x14ac:dyDescent="0.35">
      <c r="A162" s="194">
        <f t="shared" ca="1" si="49"/>
        <v>203</v>
      </c>
      <c r="B162" s="194"/>
      <c r="C162" s="63" t="s">
        <v>204</v>
      </c>
      <c r="D162" s="63">
        <f>46.71*10.764</f>
        <v>502.78643999999997</v>
      </c>
      <c r="E162" s="63">
        <v>0</v>
      </c>
      <c r="F162" s="63">
        <f t="shared" si="51"/>
        <v>754.17966000000001</v>
      </c>
      <c r="G162" s="194" t="str">
        <f t="shared" si="52"/>
        <v>2nd Floor</v>
      </c>
      <c r="H162" s="194"/>
      <c r="I162" s="64"/>
      <c r="J162" s="62"/>
      <c r="K162" s="62"/>
      <c r="S162" s="223">
        <f t="shared" ca="1" si="50"/>
        <v>203</v>
      </c>
      <c r="T162" s="223"/>
      <c r="U162" s="31">
        <f>U161+1</f>
        <v>3</v>
      </c>
      <c r="V162" s="2">
        <f ca="1">V161+1</f>
        <v>203</v>
      </c>
    </row>
    <row r="163" spans="1:23" s="2" customFormat="1" ht="15.75" customHeight="1" x14ac:dyDescent="0.35">
      <c r="A163" s="183" t="s">
        <v>205</v>
      </c>
      <c r="B163" s="184"/>
      <c r="C163" s="184"/>
      <c r="D163" s="184"/>
      <c r="E163" s="184"/>
      <c r="F163" s="184"/>
      <c r="G163" s="184"/>
      <c r="H163" s="185"/>
      <c r="I163" s="64"/>
      <c r="J163" s="62"/>
      <c r="K163" s="62"/>
      <c r="S163" s="223" t="s">
        <v>176</v>
      </c>
      <c r="T163" s="223"/>
      <c r="V163" s="2" t="str">
        <f>LEFT(A163,SUM(LEN(A163)-LEN(SUBSTITUTE(A163,{"0","1","2","3","4","5","6","7","8","9"},""))))</f>
        <v>3rd,</v>
      </c>
      <c r="W163" s="2">
        <f ca="1">--TRIM(RIGHT(SUBSTITUTE(LEFT(A163,_xlfn.AGGREGATE(16,6,FIND({0,1,2,3,4,5,6,7,8,9},A163,ROW(INDIRECT("1:"&amp;LEN(A163)))),1))," ",REPT(" ",LEN(A163))),LEN(A163)))</f>
        <v>8</v>
      </c>
    </row>
    <row r="164" spans="1:23" s="2" customFormat="1" ht="15.75" customHeight="1" x14ac:dyDescent="0.35">
      <c r="A164" s="111" t="str">
        <f t="shared" ref="A164:A166" ca="1" si="53">S164</f>
        <v>301,..,801</v>
      </c>
      <c r="B164" s="113"/>
      <c r="C164" s="63" t="s">
        <v>203</v>
      </c>
      <c r="D164" s="63">
        <f>37.01*10.764</f>
        <v>398.37563999999998</v>
      </c>
      <c r="E164" s="63">
        <v>0</v>
      </c>
      <c r="F164" s="63">
        <f>D164*(($F$151)+1)+E164</f>
        <v>597.56345999999996</v>
      </c>
      <c r="G164" s="179" t="str">
        <f>A163</f>
        <v>3rd, 5th, 6th &amp; 8th Floor</v>
      </c>
      <c r="H164" s="180"/>
      <c r="I164" s="64"/>
      <c r="J164" s="62"/>
      <c r="K164" s="62"/>
      <c r="S164" s="223" t="str">
        <f ca="1">V164&amp;""&amp;$S$163&amp;""&amp;W164</f>
        <v>301,..,801</v>
      </c>
      <c r="T164" s="223"/>
      <c r="U164" s="31">
        <v>1</v>
      </c>
      <c r="V164" s="2">
        <f ca="1">(SUMPRODUCT(MID(0&amp;V163, LARGE(INDEX(ISNUMBER(--MID(V163, ROW(INDIRECT("1:"&amp;LEN(V163))), 1)) * ROW(INDIRECT("1:"&amp;LEN(V163))), 0), ROW(INDIRECT("1:"&amp;LEN(V163))))+1, 1) * 10^ROW(INDIRECT("1:"&amp;LEN(V163)))/10))*U164*100+1</f>
        <v>301</v>
      </c>
      <c r="W164" s="2">
        <f ca="1">(SUMPRODUCT(MID(0&amp;W163, LARGE(INDEX(ISNUMBER(--MID(W163, ROW(INDIRECT("1:"&amp;LEN(W163))), 1)) * ROW(INDIRECT("1:"&amp;LEN(W163))), 0), ROW(INDIRECT("1:"&amp;LEN(W163))))+1, 1) * 10^ROW(INDIRECT("1:"&amp;LEN(W163)))/10))*U164*100+1</f>
        <v>801</v>
      </c>
    </row>
    <row r="165" spans="1:23" s="2" customFormat="1" ht="15.75" customHeight="1" x14ac:dyDescent="0.35">
      <c r="A165" s="111" t="str">
        <f t="shared" ca="1" si="53"/>
        <v>302,..,802</v>
      </c>
      <c r="B165" s="113"/>
      <c r="C165" s="63" t="s">
        <v>204</v>
      </c>
      <c r="D165" s="63">
        <f>61.66*10.764</f>
        <v>663.70823999999993</v>
      </c>
      <c r="E165" s="63">
        <v>0</v>
      </c>
      <c r="F165" s="63">
        <f t="shared" ref="F165:F166" si="54">D165*(($F$151)+1)+E165</f>
        <v>995.5623599999999</v>
      </c>
      <c r="G165" s="195"/>
      <c r="H165" s="196"/>
      <c r="I165" s="64">
        <f>17100000/F165</f>
        <v>17176.221889304856</v>
      </c>
      <c r="J165" s="62">
        <f>(22500*D165)/F165</f>
        <v>15000</v>
      </c>
      <c r="K165" s="62"/>
      <c r="S165" s="223" t="str">
        <f ca="1">V165&amp;""&amp;$S$163&amp;""&amp;W165</f>
        <v>302,..,802</v>
      </c>
      <c r="T165" s="223"/>
      <c r="U165" s="31">
        <f t="shared" ref="U165:W166" si="55">U164+1</f>
        <v>2</v>
      </c>
      <c r="V165" s="2">
        <f t="shared" ca="1" si="55"/>
        <v>302</v>
      </c>
      <c r="W165" s="2">
        <f t="shared" ca="1" si="55"/>
        <v>802</v>
      </c>
    </row>
    <row r="166" spans="1:23" s="2" customFormat="1" ht="15.75" customHeight="1" x14ac:dyDescent="0.35">
      <c r="A166" s="111" t="str">
        <f t="shared" ca="1" si="53"/>
        <v>303,..,803</v>
      </c>
      <c r="B166" s="113"/>
      <c r="C166" s="63" t="s">
        <v>204</v>
      </c>
      <c r="D166" s="63">
        <f>61.8*10.764</f>
        <v>665.21519999999998</v>
      </c>
      <c r="E166" s="63">
        <v>0</v>
      </c>
      <c r="F166" s="63">
        <f t="shared" si="54"/>
        <v>997.82279999999992</v>
      </c>
      <c r="G166" s="181"/>
      <c r="H166" s="182"/>
      <c r="I166" s="64"/>
      <c r="J166" s="62"/>
      <c r="K166" s="62"/>
      <c r="S166" s="223" t="str">
        <f ca="1">V166&amp;""&amp;$S$163&amp;""&amp;W166</f>
        <v>303,..,803</v>
      </c>
      <c r="T166" s="223"/>
      <c r="U166" s="31">
        <f t="shared" si="55"/>
        <v>3</v>
      </c>
      <c r="V166" s="2">
        <f t="shared" ca="1" si="55"/>
        <v>303</v>
      </c>
      <c r="W166" s="2">
        <f t="shared" ca="1" si="55"/>
        <v>803</v>
      </c>
    </row>
    <row r="167" spans="1:23" s="2" customFormat="1" x14ac:dyDescent="0.35">
      <c r="A167" s="197" t="s">
        <v>206</v>
      </c>
      <c r="B167" s="197"/>
      <c r="C167" s="197"/>
      <c r="D167" s="197"/>
      <c r="E167" s="197"/>
      <c r="F167" s="197"/>
      <c r="G167" s="197"/>
      <c r="H167" s="197"/>
      <c r="I167" s="64"/>
      <c r="J167" s="62"/>
      <c r="K167" s="62"/>
      <c r="S167" s="223"/>
      <c r="T167" s="223"/>
      <c r="V167" s="2" t="str">
        <f>LEFT(A167,SUM(LEN(A167)-LEN(SUBSTITUTE(A167,{"0","1","2","3","4","5","6","7","8","9"},""))))</f>
        <v>4</v>
      </c>
    </row>
    <row r="168" spans="1:23" s="2" customFormat="1" x14ac:dyDescent="0.35">
      <c r="A168" s="194">
        <f t="shared" ref="A168:A170" ca="1" si="56">S168</f>
        <v>401</v>
      </c>
      <c r="B168" s="194"/>
      <c r="C168" s="63" t="s">
        <v>203</v>
      </c>
      <c r="D168" s="63">
        <f>37.01*10.764</f>
        <v>398.37563999999998</v>
      </c>
      <c r="E168" s="63">
        <v>0</v>
      </c>
      <c r="F168" s="63">
        <f>D168*(($F$151)+1)+E168</f>
        <v>597.56345999999996</v>
      </c>
      <c r="G168" s="194" t="str">
        <f>A167</f>
        <v>4th Floor</v>
      </c>
      <c r="H168" s="194"/>
      <c r="I168" s="64"/>
      <c r="J168" s="62"/>
      <c r="K168" s="62"/>
      <c r="S168" s="223">
        <f t="shared" ref="S168:S170" ca="1" si="57">V168</f>
        <v>401</v>
      </c>
      <c r="T168" s="223"/>
      <c r="U168" s="31">
        <v>1</v>
      </c>
      <c r="V168" s="2">
        <f ca="1">(SUMPRODUCT(MID(0&amp;V167, LARGE(INDEX(ISNUMBER(--MID(V167, ROW(INDIRECT("1:"&amp;LEN(V167))), 1)) * ROW(INDIRECT("1:"&amp;LEN(V167))), 0), ROW(INDIRECT("1:"&amp;LEN(V167))))+1, 1) * 10^ROW(INDIRECT("1:"&amp;LEN(V167)))/10))*U168*100+1</f>
        <v>401</v>
      </c>
    </row>
    <row r="169" spans="1:23" s="2" customFormat="1" x14ac:dyDescent="0.35">
      <c r="A169" s="194">
        <f t="shared" ca="1" si="56"/>
        <v>402</v>
      </c>
      <c r="B169" s="194"/>
      <c r="C169" s="63" t="s">
        <v>204</v>
      </c>
      <c r="D169" s="63">
        <f>61.66*10.764</f>
        <v>663.70823999999993</v>
      </c>
      <c r="E169" s="63">
        <v>0</v>
      </c>
      <c r="F169" s="63">
        <f t="shared" ref="F169:F170" si="58">D169*(($F$151)+1)+E169</f>
        <v>995.5623599999999</v>
      </c>
      <c r="G169" s="194" t="str">
        <f t="shared" ref="G169:G170" si="59">G168</f>
        <v>4th Floor</v>
      </c>
      <c r="H169" s="194"/>
      <c r="I169" s="64"/>
      <c r="J169" s="62"/>
      <c r="K169" s="62"/>
      <c r="S169" s="223">
        <f t="shared" ca="1" si="57"/>
        <v>402</v>
      </c>
      <c r="T169" s="223"/>
      <c r="U169" s="31">
        <f>U168+1</f>
        <v>2</v>
      </c>
      <c r="V169" s="2">
        <f ca="1">V168+1</f>
        <v>402</v>
      </c>
    </row>
    <row r="170" spans="1:23" s="2" customFormat="1" x14ac:dyDescent="0.35">
      <c r="A170" s="194">
        <f t="shared" ca="1" si="56"/>
        <v>403</v>
      </c>
      <c r="B170" s="194"/>
      <c r="C170" s="63" t="s">
        <v>204</v>
      </c>
      <c r="D170" s="63">
        <f>61.8*10.764</f>
        <v>665.21519999999998</v>
      </c>
      <c r="E170" s="63">
        <v>0</v>
      </c>
      <c r="F170" s="63">
        <f t="shared" si="58"/>
        <v>997.82279999999992</v>
      </c>
      <c r="G170" s="194" t="str">
        <f t="shared" si="59"/>
        <v>4th Floor</v>
      </c>
      <c r="H170" s="194"/>
      <c r="I170" s="64"/>
      <c r="J170" s="62"/>
      <c r="K170" s="62"/>
      <c r="S170" s="223">
        <f t="shared" ca="1" si="57"/>
        <v>403</v>
      </c>
      <c r="T170" s="223"/>
      <c r="U170" s="31">
        <f>U169+1</f>
        <v>3</v>
      </c>
      <c r="V170" s="2">
        <f ca="1">V169+1</f>
        <v>403</v>
      </c>
    </row>
    <row r="171" spans="1:23" s="2" customFormat="1" x14ac:dyDescent="0.35">
      <c r="A171" s="197" t="s">
        <v>207</v>
      </c>
      <c r="B171" s="197"/>
      <c r="C171" s="197"/>
      <c r="D171" s="197"/>
      <c r="E171" s="197"/>
      <c r="F171" s="197"/>
      <c r="G171" s="197"/>
      <c r="H171" s="197"/>
      <c r="I171" s="64"/>
      <c r="J171" s="62"/>
      <c r="K171" s="62"/>
      <c r="S171" s="223"/>
      <c r="T171" s="223"/>
      <c r="V171" s="2" t="str">
        <f>LEFT(A171,SUM(LEN(A171)-LEN(SUBSTITUTE(A171,{"0","1","2","3","4","5","6","7","8","9"},""))))</f>
        <v>7</v>
      </c>
    </row>
    <row r="172" spans="1:23" s="2" customFormat="1" ht="15.75" customHeight="1" x14ac:dyDescent="0.35">
      <c r="A172" s="194">
        <f t="shared" ref="A172:A174" ca="1" si="60">S172</f>
        <v>701</v>
      </c>
      <c r="B172" s="194"/>
      <c r="C172" s="63" t="s">
        <v>203</v>
      </c>
      <c r="D172" s="63">
        <f>37.01*10.764</f>
        <v>398.37563999999998</v>
      </c>
      <c r="E172" s="63">
        <v>0</v>
      </c>
      <c r="F172" s="63">
        <f>D172*(($F$151)+1)+E172</f>
        <v>597.56345999999996</v>
      </c>
      <c r="G172" s="179" t="str">
        <f>A171</f>
        <v>7th Floor(Part Refuge Floor)</v>
      </c>
      <c r="H172" s="180"/>
      <c r="I172" s="64"/>
      <c r="J172" s="62"/>
      <c r="K172" s="62"/>
      <c r="S172" s="223">
        <f t="shared" ref="S172:S174" ca="1" si="61">V172</f>
        <v>701</v>
      </c>
      <c r="T172" s="223"/>
      <c r="U172" s="31">
        <v>1</v>
      </c>
      <c r="V172" s="2">
        <f ca="1">(SUMPRODUCT(MID(0&amp;V171, LARGE(INDEX(ISNUMBER(--MID(V171, ROW(INDIRECT("1:"&amp;LEN(V171))), 1)) * ROW(INDIRECT("1:"&amp;LEN(V171))), 0), ROW(INDIRECT("1:"&amp;LEN(V171))))+1, 1) * 10^ROW(INDIRECT("1:"&amp;LEN(V171)))/10))*U172*100+1</f>
        <v>701</v>
      </c>
    </row>
    <row r="173" spans="1:23" s="2" customFormat="1" ht="15.75" customHeight="1" x14ac:dyDescent="0.35">
      <c r="A173" s="194">
        <f t="shared" ca="1" si="60"/>
        <v>702</v>
      </c>
      <c r="B173" s="194"/>
      <c r="C173" s="63" t="s">
        <v>204</v>
      </c>
      <c r="D173" s="63">
        <f>87.46*10.764</f>
        <v>941.4194399999999</v>
      </c>
      <c r="E173" s="63">
        <v>0</v>
      </c>
      <c r="F173" s="63">
        <f>D173*(($F$151)+1)+E173</f>
        <v>1412.12916</v>
      </c>
      <c r="G173" s="195"/>
      <c r="H173" s="196"/>
      <c r="I173" s="64"/>
      <c r="J173" s="62"/>
      <c r="K173" s="62"/>
      <c r="S173" s="223">
        <f t="shared" ca="1" si="61"/>
        <v>702</v>
      </c>
      <c r="T173" s="223"/>
      <c r="U173" s="31">
        <f>U172+1</f>
        <v>2</v>
      </c>
      <c r="V173" s="2">
        <f ca="1">V172+1</f>
        <v>702</v>
      </c>
    </row>
    <row r="174" spans="1:23" s="2" customFormat="1" ht="15.75" customHeight="1" x14ac:dyDescent="0.35">
      <c r="A174" s="194">
        <f t="shared" ca="1" si="60"/>
        <v>703</v>
      </c>
      <c r="B174" s="194"/>
      <c r="C174" s="111" t="s">
        <v>208</v>
      </c>
      <c r="D174" s="112"/>
      <c r="E174" s="112"/>
      <c r="F174" s="113"/>
      <c r="G174" s="181"/>
      <c r="H174" s="182"/>
      <c r="I174" s="64"/>
      <c r="J174" s="62"/>
      <c r="K174" s="62"/>
      <c r="S174" s="223">
        <f t="shared" ca="1" si="61"/>
        <v>703</v>
      </c>
      <c r="T174" s="223"/>
      <c r="U174" s="31">
        <f>U173+1</f>
        <v>3</v>
      </c>
      <c r="V174" s="2">
        <f ca="1">V173+1</f>
        <v>703</v>
      </c>
    </row>
    <row r="175" spans="1:23" s="1" customFormat="1" x14ac:dyDescent="0.35">
      <c r="A175" s="202" t="s">
        <v>84</v>
      </c>
      <c r="B175" s="202"/>
      <c r="C175" s="202"/>
      <c r="D175" s="202"/>
      <c r="E175" s="202"/>
      <c r="F175" s="202"/>
      <c r="G175" s="202"/>
      <c r="H175" s="202"/>
      <c r="I175" s="59"/>
      <c r="J175" s="59"/>
      <c r="K175" s="59"/>
    </row>
    <row r="176" spans="1:23" s="10" customFormat="1" ht="112.5" customHeight="1" x14ac:dyDescent="0.35">
      <c r="A176" s="203" t="s">
        <v>216</v>
      </c>
      <c r="B176" s="203"/>
      <c r="C176" s="203"/>
      <c r="D176" s="203"/>
      <c r="E176" s="203"/>
      <c r="F176" s="203"/>
      <c r="G176" s="203"/>
      <c r="H176" s="203"/>
      <c r="I176" s="65"/>
      <c r="J176" s="65"/>
      <c r="K176" s="65"/>
    </row>
    <row r="177" spans="1:11" x14ac:dyDescent="0.35">
      <c r="A177" s="204" t="s">
        <v>75</v>
      </c>
      <c r="B177" s="204"/>
      <c r="C177" s="204"/>
      <c r="D177" s="204"/>
      <c r="E177" s="204"/>
      <c r="F177" s="204"/>
      <c r="G177" s="204"/>
      <c r="H177" s="204"/>
      <c r="I177" s="11"/>
      <c r="J177" s="11"/>
      <c r="K177" s="11"/>
    </row>
    <row r="178" spans="1:11" x14ac:dyDescent="0.35">
      <c r="A178" s="107" t="s">
        <v>76</v>
      </c>
      <c r="B178" s="107"/>
      <c r="C178" s="107"/>
      <c r="D178" s="107"/>
      <c r="E178" s="107"/>
      <c r="F178" s="107"/>
      <c r="G178" s="107"/>
      <c r="H178" s="107"/>
      <c r="I178" s="11"/>
      <c r="J178" s="11"/>
      <c r="K178" s="11"/>
    </row>
    <row r="179" spans="1:11" ht="15.75" customHeight="1" x14ac:dyDescent="0.35">
      <c r="A179" s="204" t="s">
        <v>77</v>
      </c>
      <c r="B179" s="204"/>
      <c r="C179" s="204"/>
      <c r="D179" s="204"/>
      <c r="E179" s="204"/>
      <c r="F179" s="204"/>
      <c r="G179" s="204"/>
      <c r="H179" s="204"/>
      <c r="I179" s="11"/>
      <c r="J179" s="11"/>
      <c r="K179" s="11"/>
    </row>
    <row r="180" spans="1:11" x14ac:dyDescent="0.35">
      <c r="A180" s="107" t="s">
        <v>78</v>
      </c>
      <c r="B180" s="107"/>
      <c r="C180" s="107"/>
      <c r="D180" s="107"/>
      <c r="E180" s="107"/>
      <c r="F180" s="107"/>
      <c r="G180" s="107"/>
      <c r="H180" s="107"/>
      <c r="I180" s="11"/>
      <c r="J180" s="11"/>
      <c r="K180" s="11"/>
    </row>
    <row r="181" spans="1:11" x14ac:dyDescent="0.35">
      <c r="A181" s="107" t="s">
        <v>79</v>
      </c>
      <c r="B181" s="107"/>
      <c r="C181" s="107"/>
      <c r="D181" s="107"/>
      <c r="E181" s="107"/>
      <c r="F181" s="107"/>
      <c r="G181" s="107"/>
      <c r="H181" s="107"/>
      <c r="I181" s="11"/>
      <c r="J181" s="11"/>
      <c r="K181" s="11"/>
    </row>
    <row r="182" spans="1:11" x14ac:dyDescent="0.35">
      <c r="A182" s="107" t="s">
        <v>80</v>
      </c>
      <c r="B182" s="107"/>
      <c r="C182" s="107"/>
      <c r="D182" s="107"/>
      <c r="E182" s="107"/>
      <c r="F182" s="107"/>
      <c r="G182" s="107"/>
      <c r="H182" s="107"/>
      <c r="I182" s="11"/>
      <c r="J182" s="11"/>
      <c r="K182" s="11"/>
    </row>
    <row r="183" spans="1:11" ht="35.25" customHeight="1" x14ac:dyDescent="0.35">
      <c r="A183" s="118" t="s">
        <v>81</v>
      </c>
      <c r="B183" s="118"/>
      <c r="C183" s="118"/>
      <c r="D183" s="118"/>
      <c r="E183" s="118"/>
      <c r="F183" s="118"/>
      <c r="G183" s="118"/>
      <c r="H183" s="118"/>
      <c r="I183" s="11"/>
      <c r="J183" s="11"/>
      <c r="K183" s="11"/>
    </row>
    <row r="184" spans="1:11" x14ac:dyDescent="0.35">
      <c r="A184" s="201" t="s">
        <v>117</v>
      </c>
      <c r="B184" s="201"/>
      <c r="C184" s="201" t="s">
        <v>230</v>
      </c>
      <c r="D184" s="201"/>
      <c r="E184" s="201" t="s">
        <v>160</v>
      </c>
      <c r="F184" s="201"/>
      <c r="G184" s="201" t="s">
        <v>212</v>
      </c>
      <c r="H184" s="201"/>
      <c r="I184" s="11"/>
      <c r="J184" s="11"/>
      <c r="K184" s="11"/>
    </row>
    <row r="185" spans="1:11" x14ac:dyDescent="0.35">
      <c r="A185" s="198" t="s">
        <v>120</v>
      </c>
      <c r="B185" s="198"/>
      <c r="C185" s="198"/>
      <c r="D185" s="198"/>
      <c r="E185" s="198"/>
      <c r="F185" s="198"/>
      <c r="G185" s="198"/>
      <c r="H185" s="198"/>
      <c r="I185" s="11"/>
      <c r="J185" s="11"/>
      <c r="K185" s="11"/>
    </row>
    <row r="186" spans="1:11" x14ac:dyDescent="0.35">
      <c r="A186" s="198"/>
      <c r="B186" s="198"/>
      <c r="C186" s="198"/>
      <c r="D186" s="198"/>
      <c r="E186" s="198"/>
      <c r="F186" s="198"/>
      <c r="G186" s="198"/>
      <c r="H186" s="198"/>
      <c r="I186" s="11"/>
      <c r="J186" s="11"/>
      <c r="K186" s="11"/>
    </row>
    <row r="187" spans="1:11" x14ac:dyDescent="0.35">
      <c r="A187" s="198"/>
      <c r="B187" s="198"/>
      <c r="C187" s="198"/>
      <c r="D187" s="198"/>
      <c r="E187" s="198"/>
      <c r="F187" s="198"/>
      <c r="G187" s="198"/>
      <c r="H187" s="198"/>
      <c r="I187" s="11"/>
      <c r="J187" s="11"/>
      <c r="K187" s="11"/>
    </row>
    <row r="188" spans="1:11" x14ac:dyDescent="0.35">
      <c r="A188" s="198"/>
      <c r="B188" s="198"/>
      <c r="C188" s="198"/>
      <c r="D188" s="198"/>
      <c r="E188" s="198"/>
      <c r="F188" s="198"/>
      <c r="G188" s="198"/>
      <c r="H188" s="198"/>
      <c r="I188" s="11"/>
      <c r="J188" s="11"/>
      <c r="K188" s="11"/>
    </row>
    <row r="189" spans="1:11" x14ac:dyDescent="0.35">
      <c r="A189" s="66" t="s">
        <v>82</v>
      </c>
      <c r="B189" s="67"/>
      <c r="C189" s="67"/>
      <c r="D189" s="66" t="str">
        <f>E8</f>
        <v>Sandu W2.O</v>
      </c>
      <c r="E189" s="68"/>
      <c r="F189" s="67"/>
      <c r="G189" s="67"/>
      <c r="H189" s="67"/>
      <c r="I189" s="11"/>
      <c r="J189" s="11"/>
      <c r="K189" s="11"/>
    </row>
    <row r="190" spans="1:11" x14ac:dyDescent="0.35">
      <c r="A190" s="15"/>
      <c r="B190" s="15"/>
      <c r="C190" s="15"/>
      <c r="D190" s="15"/>
      <c r="E190" s="15"/>
      <c r="F190" s="15"/>
      <c r="G190" s="15"/>
      <c r="H190" s="15"/>
    </row>
    <row r="191" spans="1:11" x14ac:dyDescent="0.35">
      <c r="A191" s="15"/>
      <c r="B191" s="15"/>
      <c r="C191" s="15"/>
      <c r="D191" s="15"/>
      <c r="E191" s="15"/>
      <c r="F191" s="15"/>
      <c r="G191" s="15"/>
      <c r="H191" s="15"/>
    </row>
    <row r="192" spans="1:11" ht="15" customHeight="1" x14ac:dyDescent="0.35"/>
    <row r="233" spans="1:1" x14ac:dyDescent="0.35">
      <c r="A233" s="17" t="s">
        <v>83</v>
      </c>
    </row>
  </sheetData>
  <mergeCells count="415">
    <mergeCell ref="S143:T143"/>
    <mergeCell ref="A144:B144"/>
    <mergeCell ref="S144:T144"/>
    <mergeCell ref="A46:B48"/>
    <mergeCell ref="C48:H48"/>
    <mergeCell ref="A138:B138"/>
    <mergeCell ref="G138:H138"/>
    <mergeCell ref="S138:T138"/>
    <mergeCell ref="A139:B139"/>
    <mergeCell ref="G139:H139"/>
    <mergeCell ref="S139:T139"/>
    <mergeCell ref="A140:B140"/>
    <mergeCell ref="G140:H140"/>
    <mergeCell ref="S140:T140"/>
    <mergeCell ref="A135:B135"/>
    <mergeCell ref="G135:H135"/>
    <mergeCell ref="S135:T135"/>
    <mergeCell ref="A136:B136"/>
    <mergeCell ref="G136:H136"/>
    <mergeCell ref="S136:T136"/>
    <mergeCell ref="E98:E99"/>
    <mergeCell ref="D98:D99"/>
    <mergeCell ref="C98:C99"/>
    <mergeCell ref="G105:H105"/>
    <mergeCell ref="G128:H128"/>
    <mergeCell ref="A129:B129"/>
    <mergeCell ref="G129:H129"/>
    <mergeCell ref="A130:B130"/>
    <mergeCell ref="G130:H130"/>
    <mergeCell ref="A109:B109"/>
    <mergeCell ref="A110:B110"/>
    <mergeCell ref="G124:H124"/>
    <mergeCell ref="A114:H114"/>
    <mergeCell ref="A122:B122"/>
    <mergeCell ref="G122:H122"/>
    <mergeCell ref="A123:H123"/>
    <mergeCell ref="G113:H113"/>
    <mergeCell ref="A124:B124"/>
    <mergeCell ref="G169:H169"/>
    <mergeCell ref="S169:T169"/>
    <mergeCell ref="G158:H158"/>
    <mergeCell ref="A161:B161"/>
    <mergeCell ref="A162:B162"/>
    <mergeCell ref="G162:H162"/>
    <mergeCell ref="S163:T163"/>
    <mergeCell ref="S158:T158"/>
    <mergeCell ref="S162:T162"/>
    <mergeCell ref="A169:B169"/>
    <mergeCell ref="A160:B160"/>
    <mergeCell ref="A158:B158"/>
    <mergeCell ref="A164:B164"/>
    <mergeCell ref="S168:T168"/>
    <mergeCell ref="G160:H160"/>
    <mergeCell ref="A159:H159"/>
    <mergeCell ref="S161:T161"/>
    <mergeCell ref="S159:T159"/>
    <mergeCell ref="A168:B168"/>
    <mergeCell ref="G168:H168"/>
    <mergeCell ref="G161:H161"/>
    <mergeCell ref="A137:B137"/>
    <mergeCell ref="G137:H137"/>
    <mergeCell ref="A128:B128"/>
    <mergeCell ref="S160:T160"/>
    <mergeCell ref="S128:T128"/>
    <mergeCell ref="S129:T129"/>
    <mergeCell ref="S130:T130"/>
    <mergeCell ref="S131:T131"/>
    <mergeCell ref="S132:T132"/>
    <mergeCell ref="S133:T133"/>
    <mergeCell ref="S134:T134"/>
    <mergeCell ref="A145:B145"/>
    <mergeCell ref="S145:T145"/>
    <mergeCell ref="A146:B146"/>
    <mergeCell ref="S146:T146"/>
    <mergeCell ref="G156:H156"/>
    <mergeCell ref="G157:H157"/>
    <mergeCell ref="S155:T155"/>
    <mergeCell ref="B150:B151"/>
    <mergeCell ref="A157:B157"/>
    <mergeCell ref="C150:C151"/>
    <mergeCell ref="D150:D151"/>
    <mergeCell ref="S141:T141"/>
    <mergeCell ref="A142:B142"/>
    <mergeCell ref="S142:T142"/>
    <mergeCell ref="S123:T123"/>
    <mergeCell ref="A131:B131"/>
    <mergeCell ref="C92:D92"/>
    <mergeCell ref="E92:F92"/>
    <mergeCell ref="G92:H92"/>
    <mergeCell ref="A173:B173"/>
    <mergeCell ref="S173:T173"/>
    <mergeCell ref="A174:B174"/>
    <mergeCell ref="S174:T174"/>
    <mergeCell ref="G172:H174"/>
    <mergeCell ref="C174:F174"/>
    <mergeCell ref="G164:H166"/>
    <mergeCell ref="S164:T164"/>
    <mergeCell ref="S165:T165"/>
    <mergeCell ref="S166:T166"/>
    <mergeCell ref="S167:T167"/>
    <mergeCell ref="A167:H167"/>
    <mergeCell ref="A172:B172"/>
    <mergeCell ref="S172:T172"/>
    <mergeCell ref="A171:H171"/>
    <mergeCell ref="S171:T171"/>
    <mergeCell ref="A170:B170"/>
    <mergeCell ref="G170:H170"/>
    <mergeCell ref="S170:T170"/>
    <mergeCell ref="A181:H181"/>
    <mergeCell ref="A182:H182"/>
    <mergeCell ref="A183:H183"/>
    <mergeCell ref="A57:C57"/>
    <mergeCell ref="D57:H57"/>
    <mergeCell ref="A175:H175"/>
    <mergeCell ref="A176:H176"/>
    <mergeCell ref="A177:H177"/>
    <mergeCell ref="A178:H178"/>
    <mergeCell ref="A97:H97"/>
    <mergeCell ref="A156:B156"/>
    <mergeCell ref="A94:B94"/>
    <mergeCell ref="A63:B63"/>
    <mergeCell ref="A96:H96"/>
    <mergeCell ref="A82:E82"/>
    <mergeCell ref="A59:H59"/>
    <mergeCell ref="G62:H62"/>
    <mergeCell ref="A61:B61"/>
    <mergeCell ref="A84:E84"/>
    <mergeCell ref="F84:H84"/>
    <mergeCell ref="A64:B64"/>
    <mergeCell ref="F82:H82"/>
    <mergeCell ref="A165:B165"/>
    <mergeCell ref="A179:H179"/>
    <mergeCell ref="A24:D24"/>
    <mergeCell ref="E24:H24"/>
    <mergeCell ref="E23:H23"/>
    <mergeCell ref="A25:D25"/>
    <mergeCell ref="E25:H25"/>
    <mergeCell ref="A22:D22"/>
    <mergeCell ref="E22:H22"/>
    <mergeCell ref="A26:D26"/>
    <mergeCell ref="E26:H26"/>
    <mergeCell ref="A23:D23"/>
    <mergeCell ref="E38:H38"/>
    <mergeCell ref="A27:D27"/>
    <mergeCell ref="E27:H27"/>
    <mergeCell ref="A34:H34"/>
    <mergeCell ref="A33:B33"/>
    <mergeCell ref="A28:D28"/>
    <mergeCell ref="E28:H28"/>
    <mergeCell ref="A36:H36"/>
    <mergeCell ref="A37:D37"/>
    <mergeCell ref="E37:H37"/>
    <mergeCell ref="F30:H30"/>
    <mergeCell ref="F31:H31"/>
    <mergeCell ref="A38:D38"/>
    <mergeCell ref="C29:E29"/>
    <mergeCell ref="F32:H32"/>
    <mergeCell ref="F33:H33"/>
    <mergeCell ref="A35:B35"/>
    <mergeCell ref="E35:F35"/>
    <mergeCell ref="C35:D35"/>
    <mergeCell ref="G35:H35"/>
    <mergeCell ref="F29:H29"/>
    <mergeCell ref="A30:B30"/>
    <mergeCell ref="A29:B29"/>
    <mergeCell ref="A19:D20"/>
    <mergeCell ref="E19:H20"/>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G44:H44"/>
    <mergeCell ref="G45:H45"/>
    <mergeCell ref="A39:D39"/>
    <mergeCell ref="E39:H39"/>
    <mergeCell ref="E40:H40"/>
    <mergeCell ref="E41:H41"/>
    <mergeCell ref="E42:H42"/>
    <mergeCell ref="A40:D40"/>
    <mergeCell ref="A41:D41"/>
    <mergeCell ref="A42:D42"/>
    <mergeCell ref="A43:H43"/>
    <mergeCell ref="A185:H188"/>
    <mergeCell ref="A184:B184"/>
    <mergeCell ref="E184:F184"/>
    <mergeCell ref="C184:D184"/>
    <mergeCell ref="G184:H184"/>
    <mergeCell ref="A87:H87"/>
    <mergeCell ref="A85:E85"/>
    <mergeCell ref="F85:H85"/>
    <mergeCell ref="A86:E86"/>
    <mergeCell ref="F86:H86"/>
    <mergeCell ref="A155:H155"/>
    <mergeCell ref="A95:B95"/>
    <mergeCell ref="A166:B166"/>
    <mergeCell ref="A89:B89"/>
    <mergeCell ref="A180:H180"/>
    <mergeCell ref="A93:H93"/>
    <mergeCell ref="C95:D95"/>
    <mergeCell ref="E95:F95"/>
    <mergeCell ref="G95:H95"/>
    <mergeCell ref="A163:H163"/>
    <mergeCell ref="C88:D88"/>
    <mergeCell ref="A88:B88"/>
    <mergeCell ref="E88:F88"/>
    <mergeCell ref="A113:B113"/>
    <mergeCell ref="A55:C55"/>
    <mergeCell ref="A56:C56"/>
    <mergeCell ref="D55:H55"/>
    <mergeCell ref="C30:E30"/>
    <mergeCell ref="A31:B31"/>
    <mergeCell ref="C31:E31"/>
    <mergeCell ref="A32:B32"/>
    <mergeCell ref="C32:E32"/>
    <mergeCell ref="C33:E33"/>
    <mergeCell ref="D56:H56"/>
    <mergeCell ref="C45:E45"/>
    <mergeCell ref="A49:B49"/>
    <mergeCell ref="C49:E49"/>
    <mergeCell ref="A45:B45"/>
    <mergeCell ref="A50:H50"/>
    <mergeCell ref="A51:C51"/>
    <mergeCell ref="A54:C54"/>
    <mergeCell ref="D54:H54"/>
    <mergeCell ref="A52:C52"/>
    <mergeCell ref="D52:H52"/>
    <mergeCell ref="D51:H51"/>
    <mergeCell ref="C46:E46"/>
    <mergeCell ref="A44:B44"/>
    <mergeCell ref="C44:E44"/>
    <mergeCell ref="A58:C58"/>
    <mergeCell ref="D58:H58"/>
    <mergeCell ref="F83:H83"/>
    <mergeCell ref="A79:E79"/>
    <mergeCell ref="F79:H79"/>
    <mergeCell ref="A80:E80"/>
    <mergeCell ref="F80:H80"/>
    <mergeCell ref="A81:E81"/>
    <mergeCell ref="F81:H81"/>
    <mergeCell ref="A69:B69"/>
    <mergeCell ref="A77:E77"/>
    <mergeCell ref="F77:H77"/>
    <mergeCell ref="A78:E78"/>
    <mergeCell ref="F78:H78"/>
    <mergeCell ref="E63:F69"/>
    <mergeCell ref="A70:E70"/>
    <mergeCell ref="F70:H70"/>
    <mergeCell ref="C61:H61"/>
    <mergeCell ref="A65:B65"/>
    <mergeCell ref="E62:F62"/>
    <mergeCell ref="A62:B62"/>
    <mergeCell ref="A76:E76"/>
    <mergeCell ref="G46:H46"/>
    <mergeCell ref="D53:H53"/>
    <mergeCell ref="A53:C53"/>
    <mergeCell ref="G49:H49"/>
    <mergeCell ref="G63:H69"/>
    <mergeCell ref="S107:T107"/>
    <mergeCell ref="A100:H100"/>
    <mergeCell ref="A73:H73"/>
    <mergeCell ref="A74:E74"/>
    <mergeCell ref="F74:H74"/>
    <mergeCell ref="A71:H71"/>
    <mergeCell ref="A72:B72"/>
    <mergeCell ref="C72:H72"/>
    <mergeCell ref="F75:H75"/>
    <mergeCell ref="A75:E75"/>
    <mergeCell ref="F76:H76"/>
    <mergeCell ref="G88:H88"/>
    <mergeCell ref="A83:E83"/>
    <mergeCell ref="C47:E47"/>
    <mergeCell ref="G47:H47"/>
    <mergeCell ref="C89:D89"/>
    <mergeCell ref="E89:F89"/>
    <mergeCell ref="G89:H89"/>
    <mergeCell ref="C94:D94"/>
    <mergeCell ref="S113:T113"/>
    <mergeCell ref="A117:B117"/>
    <mergeCell ref="G117:H117"/>
    <mergeCell ref="S117:T117"/>
    <mergeCell ref="A66:B66"/>
    <mergeCell ref="A67:B67"/>
    <mergeCell ref="A68:B68"/>
    <mergeCell ref="E94:F94"/>
    <mergeCell ref="G94:H94"/>
    <mergeCell ref="G98:H99"/>
    <mergeCell ref="A101:H101"/>
    <mergeCell ref="A102:B102"/>
    <mergeCell ref="G102:H102"/>
    <mergeCell ref="B98:B99"/>
    <mergeCell ref="A98:A99"/>
    <mergeCell ref="A90:H90"/>
    <mergeCell ref="A91:B91"/>
    <mergeCell ref="C91:D91"/>
    <mergeCell ref="E91:F91"/>
    <mergeCell ref="G91:H91"/>
    <mergeCell ref="A107:H107"/>
    <mergeCell ref="A111:B111"/>
    <mergeCell ref="A92:B92"/>
    <mergeCell ref="G111:H111"/>
    <mergeCell ref="S111:T111"/>
    <mergeCell ref="A112:B112"/>
    <mergeCell ref="G112:H112"/>
    <mergeCell ref="S102:T102"/>
    <mergeCell ref="A103:B103"/>
    <mergeCell ref="G103:H103"/>
    <mergeCell ref="S103:T103"/>
    <mergeCell ref="S108:T108"/>
    <mergeCell ref="S106:T106"/>
    <mergeCell ref="S105:T105"/>
    <mergeCell ref="S110:T110"/>
    <mergeCell ref="S109:T109"/>
    <mergeCell ref="A104:H104"/>
    <mergeCell ref="S112:T112"/>
    <mergeCell ref="A105:B105"/>
    <mergeCell ref="A106:B106"/>
    <mergeCell ref="A108:B108"/>
    <mergeCell ref="G110:H110"/>
    <mergeCell ref="G109:H109"/>
    <mergeCell ref="G106:H106"/>
    <mergeCell ref="G108:H108"/>
    <mergeCell ref="S124:T124"/>
    <mergeCell ref="A125:B125"/>
    <mergeCell ref="G125:H125"/>
    <mergeCell ref="S125:T125"/>
    <mergeCell ref="A126:B126"/>
    <mergeCell ref="G126:H126"/>
    <mergeCell ref="S126:T126"/>
    <mergeCell ref="A127:B127"/>
    <mergeCell ref="G127:H127"/>
    <mergeCell ref="S127:T127"/>
    <mergeCell ref="A141:H141"/>
    <mergeCell ref="E150:E151"/>
    <mergeCell ref="G150:H151"/>
    <mergeCell ref="S156:T156"/>
    <mergeCell ref="S157:T157"/>
    <mergeCell ref="A152:H152"/>
    <mergeCell ref="A153:H153"/>
    <mergeCell ref="A154:H154"/>
    <mergeCell ref="G131:H131"/>
    <mergeCell ref="A132:H132"/>
    <mergeCell ref="A133:B133"/>
    <mergeCell ref="G133:H133"/>
    <mergeCell ref="A134:B134"/>
    <mergeCell ref="G134:H134"/>
    <mergeCell ref="A147:B147"/>
    <mergeCell ref="S147:T147"/>
    <mergeCell ref="A150:A151"/>
    <mergeCell ref="A148:B148"/>
    <mergeCell ref="S148:T148"/>
    <mergeCell ref="A149:B149"/>
    <mergeCell ref="S149:T149"/>
    <mergeCell ref="G142:H149"/>
    <mergeCell ref="S137:T137"/>
    <mergeCell ref="A143:B143"/>
    <mergeCell ref="S114:T114"/>
    <mergeCell ref="A115:B115"/>
    <mergeCell ref="G115:H115"/>
    <mergeCell ref="S115:T115"/>
    <mergeCell ref="A116:B116"/>
    <mergeCell ref="G116:H116"/>
    <mergeCell ref="S116:T116"/>
    <mergeCell ref="A118:B118"/>
    <mergeCell ref="G118:H118"/>
    <mergeCell ref="S118:T118"/>
    <mergeCell ref="S122:T122"/>
    <mergeCell ref="A119:B119"/>
    <mergeCell ref="G119:H119"/>
    <mergeCell ref="S119:T119"/>
    <mergeCell ref="A120:B120"/>
    <mergeCell ref="G120:H120"/>
    <mergeCell ref="S120:T120"/>
    <mergeCell ref="A121:B121"/>
    <mergeCell ref="G121:H121"/>
    <mergeCell ref="S121:T121"/>
  </mergeCells>
  <printOptions horizontalCentered="1"/>
  <pageMargins left="0.39370078740157483" right="0.39370078740157483" top="0.78740157480314965" bottom="0.78740157480314965" header="0.19685039370078741" footer="0.19685039370078741"/>
  <pageSetup orientation="portrait" r:id="rId1"/>
  <headerFooter>
    <oddHeader>&amp;C&amp;G</oddHeader>
    <oddFooter>&amp;L&amp;"Times New Roman,Bold"&amp;12Ref No: &amp;F&amp;R&amp;"Times New Roman,Bold"&amp;12&amp;G                                                           &amp;P</oddFooter>
  </headerFooter>
  <rowBreaks count="2" manualBreakCount="2">
    <brk id="188" max="16383" man="1"/>
    <brk id="232"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workbookViewId="0">
      <selection activeCell="M197" sqref="M197"/>
    </sheetView>
  </sheetViews>
  <sheetFormatPr defaultRowHeight="14.5" x14ac:dyDescent="0.35"/>
  <cols>
    <col min="2" max="2" width="12.36328125" customWidth="1"/>
  </cols>
  <sheetData>
    <row r="2" spans="1:12" x14ac:dyDescent="0.35">
      <c r="B2" s="3" t="s">
        <v>85</v>
      </c>
      <c r="C2" s="266"/>
      <c r="D2" s="266"/>
    </row>
    <row r="3" spans="1:12" x14ac:dyDescent="0.35">
      <c r="D3" s="4"/>
      <c r="E3" s="4"/>
      <c r="F3" s="4"/>
      <c r="G3" s="4"/>
      <c r="H3" s="4"/>
      <c r="I3" s="4"/>
    </row>
    <row r="4" spans="1:12" x14ac:dyDescent="0.35">
      <c r="A4" s="3" t="s">
        <v>86</v>
      </c>
      <c r="B4" s="5" t="s">
        <v>87</v>
      </c>
      <c r="C4" s="267" t="s">
        <v>88</v>
      </c>
      <c r="D4" s="267"/>
      <c r="E4" s="267"/>
      <c r="F4" s="6"/>
      <c r="G4" s="267" t="s">
        <v>89</v>
      </c>
      <c r="H4" s="267"/>
      <c r="I4" s="267"/>
      <c r="J4" s="267" t="s">
        <v>90</v>
      </c>
      <c r="K4" s="267"/>
      <c r="L4" s="267"/>
    </row>
    <row r="5" spans="1:12" x14ac:dyDescent="0.35">
      <c r="A5" s="3">
        <v>202</v>
      </c>
      <c r="B5" s="5"/>
      <c r="C5" s="5" t="s">
        <v>91</v>
      </c>
      <c r="D5" s="5" t="s">
        <v>92</v>
      </c>
      <c r="E5" s="5" t="s">
        <v>67</v>
      </c>
      <c r="F5" s="5"/>
      <c r="G5" s="5" t="s">
        <v>91</v>
      </c>
      <c r="H5" s="5" t="s">
        <v>92</v>
      </c>
      <c r="I5" s="5" t="s">
        <v>67</v>
      </c>
      <c r="J5" s="5" t="s">
        <v>91</v>
      </c>
      <c r="K5" s="5" t="s">
        <v>92</v>
      </c>
      <c r="L5" s="5" t="s">
        <v>67</v>
      </c>
    </row>
    <row r="6" spans="1:12" x14ac:dyDescent="0.35">
      <c r="B6" s="7" t="s">
        <v>93</v>
      </c>
      <c r="C6" s="7">
        <v>4.5</v>
      </c>
      <c r="D6" s="7">
        <v>2.9</v>
      </c>
      <c r="E6" s="7">
        <f>C6*D6</f>
        <v>13.049999999999999</v>
      </c>
      <c r="F6" s="7" t="s">
        <v>94</v>
      </c>
      <c r="G6" s="7"/>
      <c r="H6" s="7"/>
      <c r="I6" s="7">
        <f>G6*H6</f>
        <v>0</v>
      </c>
      <c r="J6" s="7"/>
      <c r="K6" s="7"/>
      <c r="L6" s="7">
        <f>J6*K6</f>
        <v>0</v>
      </c>
    </row>
    <row r="7" spans="1:12" x14ac:dyDescent="0.35">
      <c r="B7" s="7"/>
      <c r="C7" s="7"/>
      <c r="D7" s="7"/>
      <c r="E7" s="7">
        <f t="shared" ref="E7:E33" si="0">C7*D7</f>
        <v>0</v>
      </c>
      <c r="F7" s="7" t="s">
        <v>95</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96</v>
      </c>
      <c r="C9" s="7">
        <v>1.88</v>
      </c>
      <c r="D9" s="7">
        <v>2.13</v>
      </c>
      <c r="E9" s="7">
        <f t="shared" si="0"/>
        <v>4.0043999999999995</v>
      </c>
      <c r="F9" s="7" t="s">
        <v>94</v>
      </c>
      <c r="G9" s="7"/>
      <c r="H9" s="7"/>
      <c r="I9" s="7">
        <f t="shared" si="1"/>
        <v>0</v>
      </c>
      <c r="J9" s="7"/>
      <c r="K9" s="7"/>
      <c r="L9" s="7">
        <f t="shared" si="2"/>
        <v>0</v>
      </c>
    </row>
    <row r="10" spans="1:12" x14ac:dyDescent="0.35">
      <c r="B10" s="7"/>
      <c r="C10" s="7"/>
      <c r="D10" s="7"/>
      <c r="E10" s="7">
        <f t="shared" si="0"/>
        <v>0</v>
      </c>
      <c r="F10" s="7" t="s">
        <v>95</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97</v>
      </c>
      <c r="C13" s="7"/>
      <c r="D13" s="7"/>
      <c r="E13" s="7">
        <f t="shared" si="0"/>
        <v>0</v>
      </c>
      <c r="F13" s="7" t="s">
        <v>94</v>
      </c>
      <c r="G13" s="7"/>
      <c r="H13" s="7"/>
      <c r="I13" s="7">
        <f t="shared" si="1"/>
        <v>0</v>
      </c>
      <c r="J13" s="7"/>
      <c r="K13" s="7"/>
      <c r="L13" s="7">
        <f t="shared" si="2"/>
        <v>0</v>
      </c>
    </row>
    <row r="14" spans="1:12" x14ac:dyDescent="0.35">
      <c r="B14" s="7"/>
      <c r="C14" s="7"/>
      <c r="D14" s="7"/>
      <c r="E14" s="7">
        <f t="shared" si="0"/>
        <v>0</v>
      </c>
      <c r="F14" s="7" t="s">
        <v>95</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98</v>
      </c>
      <c r="C17" s="7"/>
      <c r="D17" s="7"/>
      <c r="E17" s="7">
        <f t="shared" si="0"/>
        <v>0</v>
      </c>
      <c r="F17" s="7" t="s">
        <v>94</v>
      </c>
      <c r="G17" s="7"/>
      <c r="H17" s="7"/>
      <c r="I17" s="7">
        <f t="shared" si="1"/>
        <v>0</v>
      </c>
      <c r="J17" s="7"/>
      <c r="K17" s="7"/>
      <c r="L17" s="7">
        <f t="shared" si="2"/>
        <v>0</v>
      </c>
    </row>
    <row r="18" spans="2:12" x14ac:dyDescent="0.35">
      <c r="B18" s="7"/>
      <c r="C18" s="7"/>
      <c r="D18" s="7"/>
      <c r="E18" s="7">
        <f t="shared" si="0"/>
        <v>0</v>
      </c>
      <c r="F18" s="7" t="s">
        <v>95</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98</v>
      </c>
      <c r="C20" s="7"/>
      <c r="D20" s="7"/>
      <c r="E20" s="7">
        <f t="shared" si="0"/>
        <v>0</v>
      </c>
      <c r="F20" s="7" t="s">
        <v>94</v>
      </c>
      <c r="G20" s="7"/>
      <c r="H20" s="7"/>
      <c r="I20" s="7">
        <f t="shared" si="1"/>
        <v>0</v>
      </c>
      <c r="J20" s="7"/>
      <c r="K20" s="7"/>
      <c r="L20" s="7">
        <f t="shared" si="2"/>
        <v>0</v>
      </c>
    </row>
    <row r="21" spans="2:12" x14ac:dyDescent="0.35">
      <c r="B21" s="7"/>
      <c r="C21" s="7"/>
      <c r="D21" s="7"/>
      <c r="E21" s="7">
        <f t="shared" si="0"/>
        <v>0</v>
      </c>
      <c r="F21" s="7" t="s">
        <v>95</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99</v>
      </c>
      <c r="C23" s="7">
        <v>1.9</v>
      </c>
      <c r="D23" s="7">
        <v>1.07</v>
      </c>
      <c r="E23" s="7">
        <f t="shared" si="0"/>
        <v>2.0329999999999999</v>
      </c>
      <c r="F23" s="7" t="s">
        <v>100</v>
      </c>
      <c r="G23" s="7"/>
      <c r="H23" s="7"/>
      <c r="I23" s="7">
        <f t="shared" si="1"/>
        <v>0</v>
      </c>
      <c r="J23" s="7"/>
      <c r="K23" s="7"/>
      <c r="L23" s="7">
        <f t="shared" si="2"/>
        <v>0</v>
      </c>
    </row>
    <row r="24" spans="2:12" x14ac:dyDescent="0.35">
      <c r="B24" s="7" t="s">
        <v>101</v>
      </c>
      <c r="C24" s="7"/>
      <c r="D24" s="7"/>
      <c r="E24" s="7">
        <f t="shared" si="0"/>
        <v>0</v>
      </c>
      <c r="F24" s="7" t="s">
        <v>100</v>
      </c>
      <c r="G24" s="7"/>
      <c r="H24" s="7"/>
      <c r="I24" s="7">
        <f t="shared" si="1"/>
        <v>0</v>
      </c>
      <c r="J24" s="7"/>
      <c r="K24" s="7"/>
      <c r="L24" s="7">
        <f t="shared" si="2"/>
        <v>0</v>
      </c>
    </row>
    <row r="25" spans="2:12" x14ac:dyDescent="0.35">
      <c r="B25" s="7" t="s">
        <v>102</v>
      </c>
      <c r="C25" s="7"/>
      <c r="D25" s="7"/>
      <c r="E25" s="7">
        <f t="shared" si="0"/>
        <v>0</v>
      </c>
      <c r="F25" s="7" t="s">
        <v>100</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103</v>
      </c>
      <c r="C27" s="7"/>
      <c r="D27" s="7"/>
      <c r="E27" s="7">
        <f t="shared" si="0"/>
        <v>0</v>
      </c>
      <c r="F27" s="7"/>
      <c r="G27" s="7"/>
      <c r="H27" s="7"/>
      <c r="I27" s="7">
        <f t="shared" si="1"/>
        <v>0</v>
      </c>
      <c r="J27" s="7"/>
      <c r="K27" s="7"/>
      <c r="L27" s="7">
        <f t="shared" si="2"/>
        <v>0</v>
      </c>
    </row>
    <row r="28" spans="2:12" x14ac:dyDescent="0.35">
      <c r="B28" s="7" t="s">
        <v>104</v>
      </c>
      <c r="C28" s="7"/>
      <c r="D28" s="7"/>
      <c r="E28" s="7">
        <f t="shared" si="0"/>
        <v>0</v>
      </c>
      <c r="F28" s="7"/>
      <c r="G28" s="7"/>
      <c r="H28" s="7"/>
      <c r="I28" s="7">
        <f t="shared" si="1"/>
        <v>0</v>
      </c>
      <c r="J28" s="7"/>
      <c r="K28" s="7"/>
      <c r="L28" s="7">
        <f t="shared" si="2"/>
        <v>0</v>
      </c>
    </row>
    <row r="29" spans="2:12" x14ac:dyDescent="0.35">
      <c r="B29" s="7" t="s">
        <v>105</v>
      </c>
      <c r="C29" s="7"/>
      <c r="D29" s="7"/>
      <c r="E29" s="7">
        <f t="shared" si="0"/>
        <v>0</v>
      </c>
      <c r="F29" s="7"/>
      <c r="G29" s="7"/>
      <c r="H29" s="7"/>
      <c r="I29" s="7">
        <f t="shared" si="1"/>
        <v>0</v>
      </c>
      <c r="J29" s="7"/>
      <c r="K29" s="7"/>
      <c r="L29" s="7">
        <f t="shared" si="2"/>
        <v>0</v>
      </c>
    </row>
    <row r="30" spans="2:12" x14ac:dyDescent="0.35">
      <c r="B30" s="7" t="s">
        <v>106</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68</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C16" sqref="C16"/>
    </sheetView>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115" zoomScaleNormal="115" workbookViewId="0"/>
  </sheetViews>
  <sheetFormatPr defaultColWidth="8.6328125" defaultRowHeight="14.5" x14ac:dyDescent="0.35"/>
  <cols>
    <col min="1" max="1" width="8.6328125" style="19"/>
    <col min="2" max="2" width="22.08984375" style="19" customWidth="1"/>
    <col min="3" max="3" width="37" style="19" customWidth="1"/>
    <col min="4" max="5" width="11.453125" style="19" customWidth="1"/>
    <col min="6" max="6" width="14" style="19" customWidth="1"/>
    <col min="7" max="7" width="20" style="19" customWidth="1"/>
    <col min="8" max="8" width="16.453125" style="19" customWidth="1"/>
    <col min="9" max="16384" width="8.6328125" style="19"/>
  </cols>
  <sheetData>
    <row r="1" spans="1:9" ht="15" customHeight="1" x14ac:dyDescent="0.35"/>
    <row r="2" spans="1:9" ht="15" customHeight="1" x14ac:dyDescent="0.35">
      <c r="A2" s="20"/>
      <c r="B2" s="20"/>
      <c r="C2" s="20"/>
      <c r="D2" s="20"/>
      <c r="E2" s="20"/>
      <c r="F2" s="20"/>
      <c r="G2" s="20"/>
      <c r="H2" s="20"/>
    </row>
    <row r="3" spans="1:9" ht="15.75" customHeight="1" x14ac:dyDescent="0.35">
      <c r="A3" s="20"/>
      <c r="B3" s="268" t="s">
        <v>161</v>
      </c>
      <c r="C3" s="268"/>
      <c r="D3" s="268"/>
      <c r="E3" s="268"/>
      <c r="F3" s="268"/>
      <c r="G3" s="268"/>
      <c r="H3" s="268"/>
    </row>
    <row r="4" spans="1:9" x14ac:dyDescent="0.35">
      <c r="A4" s="20"/>
      <c r="B4" s="21" t="s">
        <v>162</v>
      </c>
      <c r="C4" s="21" t="s">
        <v>163</v>
      </c>
      <c r="D4" s="21" t="s">
        <v>86</v>
      </c>
      <c r="E4" s="21" t="s">
        <v>164</v>
      </c>
      <c r="F4" s="21" t="s">
        <v>171</v>
      </c>
      <c r="G4" s="21" t="s">
        <v>172</v>
      </c>
      <c r="H4" s="21" t="s">
        <v>165</v>
      </c>
    </row>
    <row r="5" spans="1:9" ht="15" customHeight="1" x14ac:dyDescent="0.35">
      <c r="A5" s="20"/>
      <c r="B5" s="23" t="s">
        <v>166</v>
      </c>
      <c r="C5" s="24"/>
      <c r="D5" s="23" t="s">
        <v>167</v>
      </c>
      <c r="E5" s="23">
        <v>1106</v>
      </c>
      <c r="F5" s="25">
        <f>E5*1.6</f>
        <v>1769.6000000000001</v>
      </c>
      <c r="G5" s="25">
        <f>H5/F5</f>
        <v>31532.549728752259</v>
      </c>
      <c r="H5" s="26">
        <v>55800000</v>
      </c>
    </row>
    <row r="6" spans="1:9" x14ac:dyDescent="0.35">
      <c r="A6" s="20"/>
      <c r="B6" s="23" t="s">
        <v>166</v>
      </c>
      <c r="C6" s="27"/>
      <c r="D6" s="23"/>
      <c r="E6" s="23"/>
      <c r="F6" s="25">
        <f t="shared" ref="F6:F11" si="0">E6*1.6</f>
        <v>0</v>
      </c>
      <c r="G6" s="25" t="e">
        <f t="shared" ref="G6:G11" si="1">H6/F6</f>
        <v>#DIV/0!</v>
      </c>
      <c r="H6" s="26"/>
    </row>
    <row r="7" spans="1:9" ht="15" customHeight="1" x14ac:dyDescent="0.35">
      <c r="A7" s="20"/>
      <c r="B7" s="23" t="s">
        <v>166</v>
      </c>
      <c r="C7" s="24"/>
      <c r="D7" s="23"/>
      <c r="E7" s="23"/>
      <c r="F7" s="25">
        <f t="shared" si="0"/>
        <v>0</v>
      </c>
      <c r="G7" s="25" t="e">
        <f t="shared" si="1"/>
        <v>#DIV/0!</v>
      </c>
      <c r="H7" s="26"/>
    </row>
    <row r="8" spans="1:9" x14ac:dyDescent="0.35">
      <c r="A8" s="20"/>
      <c r="B8" s="23" t="s">
        <v>166</v>
      </c>
      <c r="C8" s="27"/>
      <c r="D8" s="23"/>
      <c r="E8" s="23"/>
      <c r="F8" s="25">
        <f t="shared" si="0"/>
        <v>0</v>
      </c>
      <c r="G8" s="25" t="e">
        <f t="shared" si="1"/>
        <v>#DIV/0!</v>
      </c>
      <c r="H8" s="26"/>
    </row>
    <row r="9" spans="1:9" ht="15" customHeight="1" x14ac:dyDescent="0.35">
      <c r="A9" s="20"/>
      <c r="B9" s="23" t="s">
        <v>166</v>
      </c>
      <c r="C9" s="27"/>
      <c r="D9" s="23"/>
      <c r="E9" s="23"/>
      <c r="F9" s="25">
        <f t="shared" si="0"/>
        <v>0</v>
      </c>
      <c r="G9" s="25" t="e">
        <f t="shared" si="1"/>
        <v>#DIV/0!</v>
      </c>
      <c r="H9" s="26"/>
    </row>
    <row r="10" spans="1:9" ht="15" customHeight="1" x14ac:dyDescent="0.35">
      <c r="A10" s="20"/>
      <c r="B10" s="23" t="s">
        <v>168</v>
      </c>
      <c r="C10" s="24"/>
      <c r="D10" s="23"/>
      <c r="E10" s="23"/>
      <c r="F10" s="25">
        <f t="shared" si="0"/>
        <v>0</v>
      </c>
      <c r="G10" s="25" t="e">
        <f t="shared" si="1"/>
        <v>#DIV/0!</v>
      </c>
      <c r="H10" s="26"/>
    </row>
    <row r="11" spans="1:9" ht="15" customHeight="1" x14ac:dyDescent="0.35">
      <c r="A11" s="20"/>
      <c r="B11" s="23" t="s">
        <v>168</v>
      </c>
      <c r="C11" s="24"/>
      <c r="D11" s="23"/>
      <c r="E11" s="23"/>
      <c r="F11" s="25">
        <f t="shared" si="0"/>
        <v>0</v>
      </c>
      <c r="G11" s="25" t="e">
        <f t="shared" si="1"/>
        <v>#DIV/0!</v>
      </c>
      <c r="H11" s="26"/>
    </row>
    <row r="12" spans="1:9" ht="15" customHeight="1" x14ac:dyDescent="0.35">
      <c r="A12" s="20"/>
      <c r="B12" s="28" t="s">
        <v>169</v>
      </c>
      <c r="C12" s="23"/>
      <c r="D12" s="23"/>
      <c r="E12" s="23"/>
      <c r="F12" s="23"/>
      <c r="G12" s="29" t="e">
        <f>AVERAGE(G5:G11)</f>
        <v>#DIV/0!</v>
      </c>
      <c r="H12" s="23"/>
    </row>
    <row r="13" spans="1:9" ht="15" customHeight="1" x14ac:dyDescent="0.35">
      <c r="B13" s="28" t="s">
        <v>170</v>
      </c>
      <c r="C13" s="23"/>
      <c r="D13" s="23"/>
      <c r="E13" s="23"/>
      <c r="F13" s="30"/>
      <c r="G13" s="28"/>
      <c r="H13" s="28"/>
      <c r="I13" s="22"/>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Report (2)</vt:lpstr>
      <vt:lpstr>Report</vt:lpstr>
      <vt:lpstr>Flat detail</vt:lpstr>
      <vt:lpstr>Note</vt:lpstr>
      <vt:lpstr>valuation</vt:lpstr>
      <vt:lpstr>Report!Print_Area</vt:lpstr>
      <vt:lpstr>'Report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2025-08-04T13:02:35Z</cp:lastPrinted>
  <dcterms:created xsi:type="dcterms:W3CDTF">2019-07-16T09:29:46Z</dcterms:created>
  <dcterms:modified xsi:type="dcterms:W3CDTF">2025-08-04T13:17:59Z</dcterms:modified>
</cp:coreProperties>
</file>