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05-08-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3" i="1" l="1"/>
  <c r="J124" i="1" l="1"/>
  <c r="J129" i="1"/>
  <c r="D162" i="1"/>
  <c r="F162" i="1" s="1"/>
  <c r="H162" i="1" s="1"/>
  <c r="D161" i="1"/>
  <c r="F161" i="1" s="1"/>
  <c r="H161" i="1" s="1"/>
  <c r="D160" i="1"/>
  <c r="F160" i="1" s="1"/>
  <c r="H160" i="1" s="1"/>
  <c r="D159" i="1"/>
  <c r="F159" i="1" s="1"/>
  <c r="H159" i="1" s="1"/>
  <c r="D158" i="1"/>
  <c r="F158" i="1" s="1"/>
  <c r="H158" i="1" s="1"/>
  <c r="D157" i="1"/>
  <c r="F157" i="1" s="1"/>
  <c r="H157" i="1" s="1"/>
  <c r="D156" i="1"/>
  <c r="F156" i="1" s="1"/>
  <c r="H156" i="1" s="1"/>
  <c r="D154" i="1"/>
  <c r="F154" i="1" s="1"/>
  <c r="H154" i="1" s="1"/>
  <c r="D153" i="1"/>
  <c r="F153" i="1" s="1"/>
  <c r="H153" i="1" s="1"/>
  <c r="D152" i="1"/>
  <c r="F152" i="1" s="1"/>
  <c r="H152" i="1" s="1"/>
  <c r="D151" i="1"/>
  <c r="F151" i="1" s="1"/>
  <c r="H151" i="1" s="1"/>
  <c r="D150" i="1"/>
  <c r="F150" i="1" s="1"/>
  <c r="H150" i="1" s="1"/>
  <c r="D149" i="1"/>
  <c r="F149" i="1" s="1"/>
  <c r="H149" i="1" s="1"/>
  <c r="D148" i="1"/>
  <c r="F148" i="1" s="1"/>
  <c r="H148" i="1" s="1"/>
  <c r="G104" i="1" l="1"/>
  <c r="E104" i="1"/>
  <c r="C104" i="1"/>
  <c r="I131" i="1"/>
  <c r="I129" i="1"/>
  <c r="D145" i="1" l="1"/>
  <c r="F145" i="1" s="1"/>
  <c r="H145" i="1" s="1"/>
  <c r="D144" i="1"/>
  <c r="F144" i="1" s="1"/>
  <c r="H144" i="1" s="1"/>
  <c r="D143" i="1"/>
  <c r="F143" i="1" s="1"/>
  <c r="H143" i="1" s="1"/>
  <c r="D142" i="1"/>
  <c r="F142" i="1" s="1"/>
  <c r="H142" i="1" s="1"/>
  <c r="D141" i="1"/>
  <c r="F141" i="1" s="1"/>
  <c r="H141" i="1" s="1"/>
  <c r="D140" i="1"/>
  <c r="F140" i="1" s="1"/>
  <c r="H140" i="1" s="1"/>
  <c r="D139" i="1"/>
  <c r="F139" i="1" s="1"/>
  <c r="D138" i="1"/>
  <c r="F138" i="1" s="1"/>
  <c r="H138" i="1" s="1"/>
  <c r="D136" i="1"/>
  <c r="F136" i="1" s="1"/>
  <c r="H136" i="1" s="1"/>
  <c r="D135" i="1"/>
  <c r="F135" i="1" s="1"/>
  <c r="H135" i="1" s="1"/>
  <c r="D134" i="1"/>
  <c r="F134" i="1" s="1"/>
  <c r="H134" i="1" s="1"/>
  <c r="D133" i="1"/>
  <c r="F133" i="1" s="1"/>
  <c r="H133" i="1" s="1"/>
  <c r="D132" i="1"/>
  <c r="D131" i="1"/>
  <c r="F131" i="1" s="1"/>
  <c r="H131" i="1" s="1"/>
  <c r="D130" i="1"/>
  <c r="F130" i="1" s="1"/>
  <c r="H130" i="1" s="1"/>
  <c r="D129" i="1"/>
  <c r="F129" i="1" s="1"/>
  <c r="D126" i="1"/>
  <c r="F126" i="1" s="1"/>
  <c r="D124" i="1"/>
  <c r="F124" i="1" s="1"/>
  <c r="H124" i="1" s="1"/>
  <c r="D120" i="1"/>
  <c r="D119" i="1"/>
  <c r="F132" i="1"/>
  <c r="H132" i="1" s="1"/>
  <c r="A123" i="1"/>
  <c r="A124" i="1" s="1"/>
  <c r="A125" i="1" s="1"/>
  <c r="A126" i="1" s="1"/>
  <c r="E43" i="1"/>
  <c r="H129" i="1" l="1"/>
  <c r="C103" i="1"/>
  <c r="E103" i="1"/>
  <c r="H139" i="1"/>
  <c r="H126" i="1"/>
  <c r="I45" i="1"/>
  <c r="G103" i="1" l="1"/>
  <c r="B198" i="1"/>
  <c r="F120" i="1" l="1"/>
  <c r="H120" i="1" s="1"/>
  <c r="F119" i="1"/>
  <c r="E102" i="1" l="1"/>
  <c r="E105" i="1" s="1"/>
  <c r="C102" i="1"/>
  <c r="C105" i="1" s="1"/>
  <c r="H119" i="1"/>
  <c r="G102" i="1" s="1"/>
  <c r="G105" i="1" s="1"/>
  <c r="G58" i="1"/>
  <c r="C58" i="1"/>
  <c r="G56" i="1"/>
  <c r="C56" i="1"/>
  <c r="C54" i="1"/>
  <c r="S33" i="1" l="1"/>
  <c r="F11" i="5" l="1"/>
  <c r="G11" i="5" s="1"/>
  <c r="F10" i="5"/>
  <c r="G10" i="5" s="1"/>
  <c r="F9" i="5"/>
  <c r="G9" i="5" s="1"/>
  <c r="F8" i="5"/>
  <c r="G8" i="5" s="1"/>
  <c r="F7" i="5"/>
  <c r="G7" i="5" s="1"/>
  <c r="F6" i="5"/>
  <c r="G6" i="5" s="1"/>
  <c r="F5" i="5"/>
  <c r="G5" i="5" s="1"/>
  <c r="G12" i="5" s="1"/>
  <c r="D221" i="1"/>
  <c r="B199" i="1"/>
  <c r="F195" i="1"/>
  <c r="H195" i="1" s="1"/>
  <c r="F194" i="1"/>
  <c r="H194" i="1" s="1"/>
  <c r="F193" i="1"/>
  <c r="H193" i="1" s="1"/>
  <c r="F192" i="1"/>
  <c r="H192" i="1" s="1"/>
  <c r="F191" i="1"/>
  <c r="H191" i="1" s="1"/>
  <c r="F189" i="1"/>
  <c r="H189" i="1" s="1"/>
  <c r="F188" i="1"/>
  <c r="H188" i="1" s="1"/>
  <c r="F187" i="1"/>
  <c r="H187" i="1" s="1"/>
  <c r="F186" i="1"/>
  <c r="H186" i="1" s="1"/>
  <c r="F185" i="1"/>
  <c r="H185" i="1" s="1"/>
  <c r="F183" i="1"/>
  <c r="H183" i="1" s="1"/>
  <c r="F182" i="1"/>
  <c r="H182" i="1" s="1"/>
  <c r="F181" i="1"/>
  <c r="H181" i="1" s="1"/>
  <c r="F180" i="1"/>
  <c r="H180" i="1" s="1"/>
  <c r="F179" i="1"/>
  <c r="H179" i="1" s="1"/>
  <c r="F177" i="1"/>
  <c r="H177" i="1" s="1"/>
  <c r="F176" i="1"/>
  <c r="H176" i="1" s="1"/>
  <c r="F175" i="1"/>
  <c r="H175" i="1" s="1"/>
  <c r="F174" i="1"/>
  <c r="H174" i="1" s="1"/>
  <c r="F173" i="1"/>
  <c r="H173" i="1" s="1"/>
  <c r="A173" i="1"/>
  <c r="A174" i="1" s="1"/>
  <c r="A175" i="1" s="1"/>
  <c r="A176" i="1" s="1"/>
  <c r="A177" i="1" s="1"/>
  <c r="F171" i="1"/>
  <c r="H171" i="1" s="1"/>
  <c r="F170" i="1"/>
  <c r="H170" i="1" s="1"/>
  <c r="F169" i="1"/>
  <c r="H169" i="1" s="1"/>
  <c r="A169" i="1"/>
  <c r="A170" i="1" s="1"/>
  <c r="A171" i="1" s="1"/>
  <c r="F168" i="1"/>
  <c r="H168" i="1" s="1"/>
  <c r="A120" i="1"/>
  <c r="G111" i="1"/>
  <c r="E111" i="1"/>
  <c r="C111" i="1"/>
  <c r="F99" i="1"/>
  <c r="D67" i="1"/>
  <c r="G51" i="1"/>
  <c r="C51" i="1"/>
  <c r="C52" i="1" s="1"/>
  <c r="E44" i="1"/>
  <c r="E45" i="1" s="1"/>
  <c r="E31" i="1"/>
  <c r="E28" i="1"/>
  <c r="E26" i="1"/>
  <c r="C16" i="1"/>
  <c r="I15" i="1"/>
  <c r="Z13" i="1"/>
  <c r="E8" i="1"/>
  <c r="E3" i="1"/>
  <c r="A191" i="1"/>
  <c r="H74" i="1"/>
  <c r="A179" i="1"/>
  <c r="A185" i="1"/>
  <c r="J73" i="1" l="1"/>
  <c r="J75" i="1" s="1"/>
  <c r="J76" i="1"/>
  <c r="J77" i="1"/>
  <c r="J78" i="1"/>
  <c r="C77" i="1" s="1"/>
  <c r="D81" i="1"/>
  <c r="D83" i="1"/>
  <c r="D82" i="1"/>
  <c r="D86" i="1"/>
  <c r="D80" i="1"/>
  <c r="D85" i="1"/>
  <c r="D79" i="1"/>
  <c r="D84" i="1"/>
  <c r="B74" i="1"/>
  <c r="J79" i="1" s="1"/>
  <c r="A180" i="1"/>
  <c r="A186" i="1"/>
  <c r="A192" i="1"/>
  <c r="D77" i="1" l="1"/>
  <c r="J83" i="1"/>
  <c r="J82" i="1"/>
  <c r="J80" i="1"/>
  <c r="J84" i="1"/>
  <c r="A181" i="1"/>
  <c r="A193" i="1"/>
  <c r="A187" i="1"/>
  <c r="J85" i="1" l="1"/>
  <c r="J81" i="1"/>
  <c r="A182" i="1"/>
  <c r="A188" i="1"/>
  <c r="A194" i="1"/>
  <c r="J86" i="1" l="1"/>
  <c r="C78" i="1" s="1"/>
  <c r="A183" i="1"/>
  <c r="A189" i="1"/>
  <c r="A195" i="1"/>
  <c r="G77" i="1" l="1"/>
  <c r="D71" i="1" s="1"/>
  <c r="D78" i="1"/>
  <c r="I74" i="1" s="1"/>
  <c r="J74" i="1"/>
  <c r="E77" i="1"/>
  <c r="I75" i="1" l="1"/>
  <c r="I73" i="1" s="1"/>
  <c r="C75" i="1" s="1"/>
  <c r="F72" i="1"/>
  <c r="D72"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65"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<sst xmlns="http://schemas.openxmlformats.org/spreadsheetml/2006/main" count="605" uniqueCount="377">
  <si>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</si>
  <si>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</si>
  <si>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</si>
  <si>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</si>
  <si>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</si>
  <si>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</si>
  <si>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</si>
  <si>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</si>
  <si>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</si>
  <si>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</si>
  <si>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</si>
  <si>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</si>
  <si>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</si>
  <si>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</si>
  <si>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</si>
  <si>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</si>
  <si>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</si>
  <si>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</si>
  <si>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</si>
  <si>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</si>
  <si>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</si>
  <si>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</si>
  <si>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</si>
  <si>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</si>
  <si>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</si>
  <si>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</si>
  <si>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</si>
  <si>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</si>
  <si>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</si>
  <si>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</si>
  <si>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</si>
  <si>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</si>
  <si>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</si>
  <si>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</si>
  <si>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</si>
  <si>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</si>
  <si>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</si>
  <si>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</si>
  <si>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</si>
  <si>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</si>
  <si>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</si>
  <si>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</si>
  <si>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</si>
  <si>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</si>
  <si>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</si>
  <si>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</si>
  <si>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</si>
  <si>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</si>
  <si>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</si>
  <si>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</si>
  <si>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</si>
  <si>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</si>
  <si>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</si>
  <si>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</si>
  <si>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</si>
  <si>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</si>
  <si>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</si>
  <si>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</si>
  <si>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</si>
  <si>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</si>
  <si>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</si>
  <si>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</si>
  <si>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</si>
  <si>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</si>
  <si>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</si>
  <si>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</si>
  <si>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</si>
  <si>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</si>
  <si>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</si>
  <si>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</si>
  <si>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</si>
  <si>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</si>
  <si>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</si>
  <si>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</si>
  <si>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</si>
  <si>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</si>
  <si>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</si>
  <si>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</si>
  <si>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</si>
  <si>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</si>
  <si>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</si>
  <si>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</si>
  <si>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</si>
  <si>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</si>
  <si>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</si>
  <si>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</si>
  <si>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</si>
  <si>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</si>
  <si>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</si>
  <si>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</si>
  <si>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</si>
  <si>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</si>
  <si>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</si>
  <si>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</si>
  <si>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</si>
  <si>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</si>
  <si>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</si>
  <si>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</si>
  <si>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</si>
  <si>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</si>
  <si>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</si>
  <si>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</si>
  <si>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</si>
  <si>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</si>
  <si>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</si>
  <si>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</si>
  <si>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</si>
  <si>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</si>
  <si>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</si>
  <si>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</si>
  <si>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</si>
  <si>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</si>
  <si>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</si>
  <si>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</si>
  <si>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</si>
  <si>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</si>
  <si>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</si>
  <si>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</si>
  <si>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</si>
  <si>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</si>
  <si>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</si>
  <si>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</si>
  <si>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</si>
  <si>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</si>
  <si>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</si>
  <si>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</si>
  <si>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</si>
  <si>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</si>
  <si>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</si>
  <si>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</si>
  <si>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</si>
  <si>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</si>
  <si>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</si>
  <si>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</si>
  <si>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</si>
  <si>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</si>
  <si>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</si>
  <si>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</si>
  <si>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</si>
  <si>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</si>
  <si>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</si>
  <si>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</si>
  <si>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</si>
  <si>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</si>
  <si>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</si>
  <si>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</si>
  <si>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</si>
  <si>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</si>
  <si>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</si>
  <si>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</si>
  <si>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</si>
  <si>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</si>
  <si>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</si>
  <si>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</si>
  <si>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</si>
  <si>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</si>
  <si>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</si>
  <si>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</si>
  <si>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</si>
  <si>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</si>
  <si>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</si>
  <si>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</si>
  <si>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</si>
  <si>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</si>
  <si>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</si>
  <si>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</si>
  <si>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</si>
  <si>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</si>
  <si>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</si>
  <si>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</si>
  <si>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</si>
  <si>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</si>
  <si>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</si>
  <si>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</si>
  <si>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</si>
  <si>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</si>
  <si>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</si>
  <si>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CTS No</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</si>
  <si>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</si>
  <si>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</si>
  <si>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</si>
  <si>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</si>
  <si>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</si>
  <si>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</si>
  <si>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</si>
  <si>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</si>
  <si>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</si>
  <si>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</si>
  <si>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</si>
  <si>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</si>
  <si>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</si>
  <si>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</si>
  <si>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</si>
  <si>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</si>
  <si>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</si>
  <si>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</si>
  <si>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</si>
  <si>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</si>
  <si>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</si>
  <si>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</si>
  <si>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</si>
  <si>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</si>
  <si>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</si>
  <si>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</si>
  <si>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</si>
  <si>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</si>
  <si>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</si>
  <si>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</si>
  <si>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</si>
  <si>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</si>
  <si>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</si>
  <si>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</si>
  <si>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</si>
  <si>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</si>
  <si>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</si>
  <si>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</si>
  <si>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</si>
  <si>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</si>
  <si>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</si>
  <si>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</si>
  <si>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</si>
  <si>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</si>
  <si>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</si>
  <si>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</si>
  <si>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</si>
  <si>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</si>
  <si>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</si>
  <si>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</si>
  <si>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</si>
  <si>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</si>
  <si>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</si>
  <si>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</si>
  <si>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</si>
  <si>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</si>
  <si>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</si>
  <si>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</si>
  <si>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</si>
  <si>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</si>
  <si>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</si>
  <si>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</si>
  <si>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</si>
  <si>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</si>
  <si>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</si>
  <si>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</si>
  <si>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</si>
  <si>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</si>
  <si>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</si>
  <si>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</si>
  <si>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</si>
  <si>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</si>
  <si>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</si>
  <si>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</si>
  <si>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</si>
  <si>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</si>
  <si>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</si>
  <si>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</si>
  <si>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</si>
  <si>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</si>
  <si>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</si>
  <si>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</si>
  <si>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</si>
  <si>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</si>
  <si>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</si>
  <si>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</si>
  <si>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</si>
  <si>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</si>
  <si>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</si>
  <si>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</si>
  <si>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</si>
  <si>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</si>
  <si>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</si>
  <si>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</si>
  <si>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</si>
  <si>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</si>
  <si>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</si>
  <si>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</si>
  <si>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</si>
  <si>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</si>
  <si>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</si>
  <si>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</si>
  <si>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</si>
  <si>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</si>
  <si>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</si>
  <si>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</si>
  <si>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</si>
  <si>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</si>
  <si>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</si>
  <si>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</si>
  <si>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</si>
  <si>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</si>
  <si>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</si>
  <si>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</si>
  <si>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</si>
  <si>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</si>
  <si>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</si>
  <si>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</si>
  <si>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</si>
  <si>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</si>
  <si>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</si>
  <si>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</si>
  <si>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</si>
  <si>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</si>
  <si>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</si>
  <si>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</si>
  <si>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</si>
  <si>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</si>
  <si>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Yura Business Park Private Limited</t>
  </si>
  <si>
    <t>Yura Business Park</t>
  </si>
  <si>
    <t>Yura Building No. 1</t>
  </si>
  <si>
    <t>"Chambers", Juhu Ekta CHS LTD</t>
  </si>
  <si>
    <t>Juhu Versova Link Road</t>
  </si>
  <si>
    <t>19.117700,72.828914</t>
  </si>
  <si>
    <t>https://maps.app.goo.gl/XwEEf8fkDP8KirNL9</t>
  </si>
  <si>
    <t>P51800005547</t>
  </si>
  <si>
    <t>Andheri West</t>
  </si>
  <si>
    <t>Juhu Dhara Complex</t>
  </si>
  <si>
    <t>195(Part)</t>
  </si>
  <si>
    <t>Redevelopement of "Juhu Ekta CHS LTD"</t>
  </si>
  <si>
    <t>Kapaswadi</t>
  </si>
  <si>
    <t>3.10KM from Andheri Railway Station</t>
  </si>
  <si>
    <t>27.50 M. Wide D.P. Road</t>
  </si>
  <si>
    <t>Other Plot</t>
  </si>
  <si>
    <t>Other Plot/9.00 M. Wide Road</t>
  </si>
  <si>
    <t>Internal Road</t>
  </si>
  <si>
    <t>Juhu Ekta CHS LTD/Building</t>
  </si>
  <si>
    <t>The Karachi Citizen CHS society/Building</t>
  </si>
  <si>
    <t>SRA/ENG/3340/KW/MHL/AP</t>
  </si>
  <si>
    <t>This C.C. is re-endorsed as per approved amended plans dated 19/01/2024</t>
  </si>
  <si>
    <t>Sale Building No. 1 = 2B + LG + UG + 1st to 4th Floor</t>
  </si>
  <si>
    <t>As per RERA - 31/12/2027</t>
  </si>
  <si>
    <r>
      <t xml:space="preserve">Proposed Amenities :                                                                                                                                                                                                                         </t>
    </r>
    <r>
      <rPr>
        <b/>
        <sz val="12"/>
        <rFont val="Times New Roman"/>
        <family val="1"/>
      </rPr>
      <t xml:space="preserve">                                               </t>
    </r>
  </si>
  <si>
    <t>Luxurious Entrance Lobby, Modern Glass Façade, Ample Car Parking, Costomizable Offices.</t>
  </si>
  <si>
    <t>Sale Building No. 1</t>
  </si>
  <si>
    <t>1st &amp; 2nd Basement For Parking</t>
  </si>
  <si>
    <t>Lower Ground Floor for Commercial, Pump Room, Meter Room &amp; Parking</t>
  </si>
  <si>
    <t>Shop</t>
  </si>
  <si>
    <t>Shop (Duplex With UG Floor)</t>
  </si>
  <si>
    <t>Upper Ground Floor for Commercial</t>
  </si>
  <si>
    <t>Shop (Duplex With LG Floor)</t>
  </si>
  <si>
    <t>Cafeteria</t>
  </si>
  <si>
    <t>1st Floor</t>
  </si>
  <si>
    <t>1A</t>
  </si>
  <si>
    <t>2A</t>
  </si>
  <si>
    <t>3A</t>
  </si>
  <si>
    <t>4A</t>
  </si>
  <si>
    <t>5A</t>
  </si>
  <si>
    <t>6A</t>
  </si>
  <si>
    <t>7A</t>
  </si>
  <si>
    <t>8A</t>
  </si>
  <si>
    <t>1B</t>
  </si>
  <si>
    <t>2B</t>
  </si>
  <si>
    <t>3B</t>
  </si>
  <si>
    <t>4B</t>
  </si>
  <si>
    <t>5B</t>
  </si>
  <si>
    <t>6B</t>
  </si>
  <si>
    <t>7B</t>
  </si>
  <si>
    <t>2nd to 4th Floor</t>
  </si>
  <si>
    <t>RERA Carpet area</t>
  </si>
  <si>
    <t xml:space="preserve">Details of Commercials in Building   </t>
  </si>
  <si>
    <t>Construction work is in process at the time of Visit (labour found)
Construction work was not active at the time of Visit. (labour Not found)
All work completed. Wait for OC / OC received.</t>
  </si>
  <si>
    <t>We considered Gross carpet area = Net carpet.</t>
  </si>
  <si>
    <t>Shops</t>
  </si>
  <si>
    <t>A Wing</t>
  </si>
  <si>
    <t>B Wing</t>
  </si>
  <si>
    <t>Office</t>
  </si>
  <si>
    <t xml:space="preserve">Office </t>
  </si>
  <si>
    <t xml:space="preserve">A Wing </t>
  </si>
  <si>
    <t>2 Wings</t>
  </si>
  <si>
    <t>Approved Plans, CC, Cost Sheet.</t>
  </si>
  <si>
    <t>Shops - 3, Office - 60</t>
  </si>
  <si>
    <t>Sale Building No. 1 (A &amp; B Wing) = 2B + LG + UG + 1st to 6th Floor</t>
  </si>
  <si>
    <t>Tushar Bhuwad</t>
  </si>
  <si>
    <t>Recommended Rates of the Property have been revised on 16/12/2024</t>
  </si>
  <si>
    <t xml:space="preserve"> Rate 33000 Shailesh Verbal    16/12/2024 A104&amp; A105</t>
  </si>
  <si>
    <t>Pooja Kawale</t>
  </si>
  <si>
    <t>Mr. Sunil Chavan : 9930910067</t>
  </si>
  <si>
    <t>Construction work is in process at the time of Visit (labour found).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</si>
</sst>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19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7" xfId="0" applyFont="1" applyBorder="1" applyProtection="1">
      <protection hidden="1"/>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6" xfId="1" applyFont="1" applyBorder="1"/>
    <xf numFmtId="0" fontId="18"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7" fillId="0" borderId="0" xfId="1" applyFont="1" applyProtection="1">
      <protection locked="0"/>
    </xf>
    <xf numFmtId="0" fontId="26" fillId="0" borderId="18" xfId="0" applyFont="1" applyBorder="1"/>
    <xf numFmtId="0" fontId="26" fillId="0" borderId="3" xfId="0" applyFont="1" applyBorder="1"/>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17" xfId="0" applyFill="1" applyBorder="1"/>
    <xf numFmtId="0" fontId="0" fillId="0" borderId="4" xfId="0" applyBorder="1"/>
    <xf numFmtId="0" fontId="0" fillId="0" borderId="1" xfId="0" applyBorder="1" applyAlignment="1">
      <alignment vertical="top" wrapText="1"/>
    </xf>
    <xf numFmtId="0" fontId="0" fillId="0" borderId="1" xfId="0" applyFill="1" applyBorder="1"/>
    <xf numFmtId="164" fontId="7" fillId="0" borderId="0" xfId="1" applyNumberFormat="1" applyFont="1"/>
    <xf numFmtId="0" fontId="7" fillId="0" borderId="0" xfId="1" applyFont="1" applyAlignment="1">
      <alignment horizontal="center" vertical="center"/>
    </xf>
    <xf numFmtId="9" fontId="12" fillId="0" borderId="1" xfId="8" applyFont="1" applyFill="1" applyBorder="1" applyAlignment="1" applyProtection="1">
      <alignment horizontal="center" vertical="top" wrapText="1"/>
      <protection locked="0"/>
    </xf>
    <xf numFmtId="9" fontId="13" fillId="0" borderId="10" xfId="8" applyFont="1" applyFill="1" applyBorder="1" applyAlignment="1" applyProtection="1">
      <alignment horizontal="center" vertical="top" wrapText="1"/>
      <protection locked="0"/>
    </xf>
    <xf numFmtId="0" fontId="7" fillId="0" borderId="0" xfId="1" applyFont="1" applyBorder="1" applyAlignment="1">
      <alignment horizontal="center" vertical="center"/>
    </xf>
    <xf numFmtId="1" fontId="7" fillId="0" borderId="0" xfId="1" applyNumberFormat="1" applyFont="1" applyBorder="1" applyAlignment="1">
      <alignment horizontal="center" vertical="center"/>
    </xf>
    <xf numFmtId="1" fontId="6" fillId="0" borderId="0"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0" applyFont="1" applyAlignment="1">
      <alignment horizontal="center" vertical="center"/>
    </xf>
    <xf numFmtId="0" fontId="6" fillId="0" borderId="1" xfId="1" applyFont="1" applyFill="1" applyBorder="1" applyAlignment="1" applyProtection="1">
      <alignment vertical="top" wrapText="1"/>
      <protection locked="0"/>
    </xf>
    <xf numFmtId="0" fontId="8" fillId="0" borderId="1" xfId="1" applyFont="1" applyFill="1" applyBorder="1" applyAlignment="1" applyProtection="1">
      <alignment vertical="top"/>
      <protection locked="0"/>
    </xf>
    <xf numFmtId="1" fontId="6" fillId="0" borderId="1" xfId="0" applyNumberFormat="1" applyFont="1" applyFill="1" applyBorder="1" applyAlignment="1" applyProtection="1">
      <alignment vertical="center" wrapText="1"/>
      <protection locked="0"/>
    </xf>
    <xf numFmtId="1" fontId="13" fillId="0" borderId="2" xfId="1" applyNumberFormat="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0" fontId="8" fillId="0" borderId="0" xfId="1" applyFont="1" applyFill="1" applyAlignment="1" applyProtection="1">
      <alignment vertical="top"/>
      <protection locked="0"/>
    </xf>
    <xf numFmtId="0" fontId="8" fillId="0" borderId="0" xfId="1" applyFont="1" applyFill="1" applyAlignment="1" applyProtection="1">
      <alignment vertical="top" wrapText="1"/>
      <protection locked="0"/>
    </xf>
    <xf numFmtId="0" fontId="7" fillId="0" borderId="0" xfId="1" applyFont="1" applyFill="1" applyProtection="1">
      <protection locked="0"/>
    </xf>
    <xf numFmtId="0" fontId="10" fillId="0" borderId="0" xfId="1" applyFont="1" applyFill="1" applyProtection="1">
      <protection locked="0"/>
    </xf>
    <xf numFmtId="0" fontId="7" fillId="0" borderId="0" xfId="0" applyFont="1" applyAlignment="1">
      <alignment horizontal="center" vertical="center"/>
    </xf>
    <xf numFmtId="1" fontId="6" fillId="0" borderId="1" xfId="0" applyNumberFormat="1" applyFont="1" applyFill="1" applyBorder="1" applyAlignment="1" applyProtection="1">
      <alignment horizontal="center" vertical="center" wrapText="1"/>
      <protection locked="0"/>
    </xf>
    <xf numFmtId="1" fontId="12" fillId="0" borderId="1" xfId="1" applyNumberFormat="1" applyFont="1" applyFill="1" applyBorder="1" applyAlignment="1" applyProtection="1">
      <alignment horizontal="center" vertical="top" wrapText="1"/>
      <protection locked="0"/>
    </xf>
    <xf numFmtId="0" fontId="25" fillId="2" borderId="9" xfId="0" applyFont="1" applyFill="1" applyBorder="1"/>
    <xf numFmtId="0" fontId="26" fillId="0" borderId="5" xfId="0" applyFont="1" applyBorder="1"/>
    <xf numFmtId="9" fontId="17" fillId="0" borderId="1" xfId="8"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center" wrapText="1"/>
      <protection locked="0"/>
    </xf>
    <xf numFmtId="1" fontId="8" fillId="0" borderId="1" xfId="1" applyNumberFormat="1" applyFont="1" applyFill="1" applyBorder="1" applyAlignment="1" applyProtection="1">
      <alignment horizontal="center" vertical="top" wrapText="1"/>
      <protection locked="0"/>
    </xf>
    <xf numFmtId="0" fontId="12" fillId="0" borderId="1" xfId="1" applyFont="1" applyFill="1" applyBorder="1" applyAlignment="1" applyProtection="1">
      <alignment horizontal="center" vertical="top"/>
      <protection locked="0"/>
    </xf>
    <xf numFmtId="0" fontId="7" fillId="0" borderId="0" xfId="1" applyFont="1" applyAlignment="1">
      <alignment horizontal="center" vertical="center"/>
    </xf>
    <xf numFmtId="1" fontId="6" fillId="0" borderId="1" xfId="1" applyNumberFormat="1" applyFont="1" applyFill="1" applyBorder="1" applyAlignment="1" applyProtection="1">
      <alignment horizontal="center" vertical="center" wrapText="1"/>
      <protection locked="0"/>
    </xf>
    <xf numFmtId="1" fontId="7" fillId="0" borderId="1" xfId="0" applyNumberFormat="1"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1" fontId="7" fillId="0" borderId="1" xfId="0" applyNumberFormat="1" applyFont="1" applyFill="1" applyBorder="1" applyAlignment="1" applyProtection="1">
      <alignment horizontal="center" vertical="top" wrapText="1"/>
      <protection locked="0"/>
    </xf>
    <xf numFmtId="1" fontId="6" fillId="0" borderId="2" xfId="0" applyNumberFormat="1" applyFont="1" applyFill="1" applyBorder="1" applyAlignment="1" applyProtection="1">
      <alignment horizontal="center" vertical="center" wrapText="1"/>
      <protection locked="0"/>
    </xf>
    <xf numFmtId="1" fontId="6" fillId="0" borderId="10" xfId="0" applyNumberFormat="1" applyFont="1" applyFill="1" applyBorder="1" applyAlignment="1" applyProtection="1">
      <alignment horizontal="center" vertical="center" wrapText="1"/>
      <protection locked="0"/>
    </xf>
    <xf numFmtId="1" fontId="6" fillId="0" borderId="4" xfId="1" applyNumberFormat="1" applyFont="1" applyFill="1" applyBorder="1" applyAlignment="1" applyProtection="1">
      <alignment horizontal="center" vertical="center" wrapText="1"/>
      <protection locked="0"/>
    </xf>
    <xf numFmtId="1" fontId="6" fillId="0" borderId="5" xfId="1" applyNumberFormat="1" applyFont="1" applyFill="1" applyBorder="1" applyAlignment="1" applyProtection="1">
      <alignment horizontal="center" vertical="center" wrapText="1"/>
      <protection locked="0"/>
    </xf>
    <xf numFmtId="14" fontId="6" fillId="0" borderId="4" xfId="1" applyNumberFormat="1" applyFont="1" applyFill="1" applyBorder="1" applyAlignment="1" applyProtection="1">
      <alignment horizontal="left" vertical="top" wrapText="1"/>
      <protection locked="0"/>
    </xf>
    <xf numFmtId="0" fontId="6" fillId="0" borderId="5"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6" fillId="0" borderId="12" xfId="1" applyFont="1" applyFill="1" applyBorder="1" applyAlignment="1" applyProtection="1">
      <alignment horizontal="left" vertical="top" wrapText="1"/>
      <protection locked="0"/>
    </xf>
    <xf numFmtId="0" fontId="6" fillId="0" borderId="13" xfId="1" applyFont="1" applyFill="1" applyBorder="1" applyAlignment="1" applyProtection="1">
      <alignment horizontal="left" vertical="top" wrapText="1"/>
      <protection locked="0"/>
    </xf>
    <xf numFmtId="0" fontId="6" fillId="0" borderId="14" xfId="1" applyFont="1" applyFill="1" applyBorder="1" applyAlignment="1" applyProtection="1">
      <alignment horizontal="left" vertical="top" wrapText="1"/>
      <protection locked="0"/>
    </xf>
    <xf numFmtId="0" fontId="6" fillId="0" borderId="4" xfId="1" applyFont="1" applyFill="1" applyBorder="1" applyAlignment="1" applyProtection="1">
      <alignment horizontal="left" vertical="top" wrapText="1"/>
      <protection locked="0"/>
    </xf>
    <xf numFmtId="0" fontId="6" fillId="0" borderId="15" xfId="1" applyFont="1" applyFill="1" applyBorder="1" applyAlignment="1" applyProtection="1">
      <alignment horizontal="left" vertical="top" wrapText="1"/>
      <protection locked="0"/>
    </xf>
    <xf numFmtId="0" fontId="6" fillId="0" borderId="4" xfId="1" applyFont="1" applyFill="1" applyBorder="1" applyAlignment="1" applyProtection="1">
      <alignment vertical="top" wrapText="1"/>
      <protection locked="0"/>
    </xf>
    <xf numFmtId="0" fontId="6" fillId="0" borderId="15" xfId="1" applyFont="1" applyFill="1" applyBorder="1" applyAlignment="1" applyProtection="1">
      <alignment vertical="top" wrapText="1"/>
      <protection locked="0"/>
    </xf>
    <xf numFmtId="0" fontId="6" fillId="0" borderId="5" xfId="1" applyFont="1" applyFill="1" applyBorder="1" applyAlignment="1" applyProtection="1">
      <alignment vertical="top" wrapText="1"/>
      <protection locked="0"/>
    </xf>
    <xf numFmtId="0" fontId="15" fillId="0" borderId="11" xfId="1" applyFont="1" applyFill="1" applyBorder="1" applyAlignment="1" applyProtection="1">
      <alignment horizontal="left" vertical="top" wrapText="1"/>
      <protection locked="0"/>
    </xf>
    <xf numFmtId="0" fontId="15" fillId="0" borderId="12" xfId="1" applyFont="1" applyFill="1" applyBorder="1" applyAlignment="1" applyProtection="1">
      <alignment horizontal="left" vertical="top" wrapText="1"/>
      <protection locked="0"/>
    </xf>
    <xf numFmtId="0" fontId="15" fillId="0" borderId="13" xfId="1" applyFont="1" applyFill="1" applyBorder="1" applyAlignment="1" applyProtection="1">
      <alignment horizontal="left" vertical="top" wrapText="1"/>
      <protection locked="0"/>
    </xf>
    <xf numFmtId="0" fontId="15" fillId="0" borderId="14" xfId="1" applyFont="1" applyFill="1" applyBorder="1" applyAlignment="1" applyProtection="1">
      <alignment horizontal="left" vertical="top" wrapText="1"/>
      <protection locked="0"/>
    </xf>
    <xf numFmtId="1" fontId="8" fillId="0" borderId="2" xfId="1" applyNumberFormat="1" applyFont="1" applyFill="1" applyBorder="1" applyAlignment="1" applyProtection="1">
      <alignment horizontal="center" vertical="top" wrapText="1"/>
      <protection locked="0"/>
    </xf>
    <xf numFmtId="1" fontId="8" fillId="0" borderId="10" xfId="1" applyNumberFormat="1" applyFont="1" applyFill="1" applyBorder="1" applyAlignment="1" applyProtection="1">
      <alignment horizontal="center" vertical="top" wrapText="1"/>
      <protection locked="0"/>
    </xf>
    <xf numFmtId="0" fontId="12" fillId="0" borderId="11" xfId="1" applyFont="1" applyFill="1" applyBorder="1" applyAlignment="1" applyProtection="1">
      <alignment horizontal="left" vertical="top" wrapText="1"/>
      <protection locked="0"/>
    </xf>
    <xf numFmtId="0" fontId="12" fillId="0" borderId="16" xfId="1" applyFont="1" applyFill="1" applyBorder="1" applyAlignment="1" applyProtection="1">
      <alignment horizontal="left" vertical="top" wrapText="1"/>
      <protection locked="0"/>
    </xf>
    <xf numFmtId="0" fontId="12" fillId="0" borderId="4" xfId="1" applyFont="1" applyFill="1" applyBorder="1" applyAlignment="1" applyProtection="1">
      <alignment horizontal="left" vertical="top" wrapText="1"/>
      <protection locked="0"/>
    </xf>
    <xf numFmtId="0" fontId="12" fillId="0" borderId="15" xfId="1" applyFont="1" applyFill="1" applyBorder="1" applyAlignment="1" applyProtection="1">
      <alignment horizontal="left" vertical="top" wrapText="1"/>
      <protection locked="0"/>
    </xf>
    <xf numFmtId="0" fontId="12" fillId="0" borderId="5" xfId="1" applyFont="1" applyFill="1" applyBorder="1" applyAlignment="1" applyProtection="1">
      <alignment horizontal="left" vertical="top" wrapText="1"/>
      <protection locked="0"/>
    </xf>
    <xf numFmtId="0" fontId="7" fillId="0" borderId="17" xfId="1" applyFont="1" applyBorder="1" applyAlignment="1">
      <alignment horizontal="center"/>
    </xf>
    <xf numFmtId="0" fontId="7" fillId="0" borderId="0" xfId="1" applyFont="1" applyAlignment="1">
      <alignment horizontal="center"/>
    </xf>
    <xf numFmtId="167" fontId="12" fillId="0" borderId="1" xfId="9" applyNumberFormat="1" applyFont="1" applyFill="1" applyBorder="1" applyAlignment="1" applyProtection="1">
      <alignment horizontal="left" vertical="top"/>
      <protection locked="0"/>
    </xf>
    <xf numFmtId="0" fontId="6" fillId="0" borderId="1" xfId="1" applyFont="1" applyFill="1" applyBorder="1" applyAlignment="1" applyProtection="1">
      <alignment horizontal="left" vertical="top"/>
      <protection locked="0"/>
    </xf>
    <xf numFmtId="0" fontId="8" fillId="0" borderId="4" xfId="1" applyFont="1" applyFill="1" applyBorder="1" applyAlignment="1" applyProtection="1">
      <alignment horizontal="left" vertical="top" wrapText="1"/>
      <protection locked="0"/>
    </xf>
    <xf numFmtId="0" fontId="8" fillId="0" borderId="5" xfId="1" applyFont="1" applyFill="1" applyBorder="1" applyAlignment="1" applyProtection="1">
      <alignment horizontal="left" vertical="top" wrapText="1"/>
      <protection locked="0"/>
    </xf>
    <xf numFmtId="0" fontId="8" fillId="0" borderId="15"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2" xfId="1" applyFont="1" applyFill="1" applyBorder="1" applyAlignment="1" applyProtection="1">
      <alignment horizontal="left" vertical="top"/>
      <protection locked="0"/>
    </xf>
    <xf numFmtId="164" fontId="6"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center" vertical="top" wrapText="1"/>
      <protection locked="0"/>
    </xf>
    <xf numFmtId="0" fontId="12" fillId="0" borderId="1" xfId="1" applyFont="1" applyFill="1" applyBorder="1" applyAlignment="1" applyProtection="1">
      <alignment horizontal="left" vertical="top"/>
      <protection locked="0"/>
    </xf>
    <xf numFmtId="0" fontId="8" fillId="0" borderId="4" xfId="1" applyFont="1" applyFill="1" applyBorder="1" applyAlignment="1" applyProtection="1">
      <alignment horizontal="left" vertical="top"/>
      <protection locked="0"/>
    </xf>
    <xf numFmtId="0" fontId="8" fillId="0" borderId="5" xfId="1" applyFont="1" applyFill="1" applyBorder="1" applyAlignment="1" applyProtection="1">
      <alignment horizontal="left" vertical="top"/>
      <protection locked="0"/>
    </xf>
    <xf numFmtId="0" fontId="10" fillId="0" borderId="1" xfId="0"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1" fontId="8" fillId="0" borderId="1" xfId="1" applyNumberFormat="1" applyFont="1" applyFill="1" applyBorder="1" applyAlignment="1" applyProtection="1">
      <alignment horizontal="center" vertical="center" wrapText="1"/>
      <protection locked="0"/>
    </xf>
    <xf numFmtId="1" fontId="8" fillId="0" borderId="1" xfId="0" applyNumberFormat="1" applyFont="1" applyFill="1" applyBorder="1" applyAlignment="1" applyProtection="1">
      <alignment horizontal="center" vertical="top" wrapText="1"/>
      <protection locked="0"/>
    </xf>
    <xf numFmtId="0" fontId="10" fillId="0" borderId="1" xfId="0" applyFont="1" applyFill="1" applyBorder="1" applyAlignment="1" applyProtection="1">
      <alignment horizontal="center" vertical="top" wrapText="1"/>
      <protection locked="0"/>
    </xf>
    <xf numFmtId="0" fontId="13" fillId="0" borderId="1" xfId="1" applyFont="1" applyFill="1" applyBorder="1" applyAlignment="1" applyProtection="1">
      <alignment horizontal="center" vertical="top"/>
      <protection locked="0"/>
    </xf>
    <xf numFmtId="1" fontId="10" fillId="0" borderId="1" xfId="0" applyNumberFormat="1" applyFont="1" applyFill="1" applyBorder="1" applyAlignment="1" applyProtection="1">
      <alignment horizontal="center" vertical="center"/>
      <protection locked="0"/>
    </xf>
    <xf numFmtId="1" fontId="6" fillId="0" borderId="1" xfId="0" applyNumberFormat="1"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top" wrapText="1"/>
      <protection locked="0"/>
    </xf>
    <xf numFmtId="1" fontId="6" fillId="0" borderId="1" xfId="0" applyNumberFormat="1" applyFont="1" applyFill="1" applyBorder="1" applyAlignment="1" applyProtection="1">
      <alignment horizontal="center" vertical="top" wrapText="1"/>
      <protection locked="0"/>
    </xf>
    <xf numFmtId="1" fontId="8" fillId="0" borderId="20" xfId="0" applyNumberFormat="1" applyFont="1" applyFill="1" applyBorder="1" applyAlignment="1" applyProtection="1">
      <alignment horizontal="center" vertical="top" wrapText="1"/>
      <protection locked="0"/>
    </xf>
    <xf numFmtId="1" fontId="8" fillId="0" borderId="21" xfId="0" applyNumberFormat="1" applyFont="1" applyFill="1" applyBorder="1" applyAlignment="1" applyProtection="1">
      <alignment horizontal="center" vertical="top" wrapText="1"/>
      <protection locked="0"/>
    </xf>
    <xf numFmtId="0" fontId="6" fillId="0" borderId="1" xfId="1" applyFont="1" applyFill="1" applyBorder="1" applyAlignment="1" applyProtection="1">
      <alignment vertical="top"/>
      <protection locked="0"/>
    </xf>
    <xf numFmtId="1" fontId="13" fillId="0" borderId="1" xfId="1" applyNumberFormat="1" applyFont="1" applyFill="1" applyBorder="1" applyAlignment="1" applyProtection="1">
      <alignment horizontal="center" vertical="top" wrapText="1"/>
      <protection locked="0"/>
    </xf>
    <xf numFmtId="1" fontId="8" fillId="0" borderId="1" xfId="1" applyNumberFormat="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vertical="top" wrapText="1"/>
      <protection locked="0"/>
    </xf>
    <xf numFmtId="1" fontId="8" fillId="0" borderId="1" xfId="0" applyNumberFormat="1" applyFont="1" applyFill="1" applyBorder="1" applyAlignment="1" applyProtection="1">
      <alignment horizontal="left" vertical="top" wrapText="1"/>
      <protection locked="0"/>
    </xf>
    <xf numFmtId="1" fontId="17" fillId="0" borderId="4" xfId="0" applyNumberFormat="1" applyFont="1" applyFill="1" applyBorder="1" applyAlignment="1" applyProtection="1">
      <alignment vertical="top" wrapText="1"/>
      <protection locked="0"/>
    </xf>
    <xf numFmtId="1" fontId="17" fillId="0" borderId="15" xfId="0" applyNumberFormat="1" applyFont="1" applyFill="1" applyBorder="1" applyAlignment="1" applyProtection="1">
      <alignment vertical="top" wrapText="1"/>
      <protection locked="0"/>
    </xf>
    <xf numFmtId="1" fontId="17" fillId="0" borderId="5" xfId="0" applyNumberFormat="1" applyFont="1" applyFill="1" applyBorder="1" applyAlignment="1" applyProtection="1">
      <alignment vertical="top" wrapText="1"/>
      <protection locked="0"/>
    </xf>
    <xf numFmtId="1" fontId="8" fillId="0" borderId="19" xfId="0" applyNumberFormat="1" applyFont="1" applyFill="1" applyBorder="1" applyAlignment="1" applyProtection="1">
      <alignment horizontal="center" vertical="center" wrapText="1"/>
      <protection locked="0"/>
    </xf>
    <xf numFmtId="1" fontId="8" fillId="0" borderId="20" xfId="0" applyNumberFormat="1" applyFont="1" applyFill="1" applyBorder="1" applyAlignment="1" applyProtection="1">
      <alignment horizontal="center" vertical="center" wrapText="1"/>
      <protection locked="0"/>
    </xf>
    <xf numFmtId="0" fontId="10" fillId="0" borderId="20" xfId="0" applyFont="1" applyFill="1" applyBorder="1" applyAlignment="1" applyProtection="1">
      <alignment horizontal="center" vertical="center"/>
      <protection locked="0"/>
    </xf>
    <xf numFmtId="1" fontId="8" fillId="0" borderId="4" xfId="0" applyNumberFormat="1" applyFont="1" applyFill="1" applyBorder="1" applyAlignment="1" applyProtection="1">
      <alignment vertical="top" wrapText="1"/>
      <protection locked="0"/>
    </xf>
    <xf numFmtId="1" fontId="8" fillId="0" borderId="15" xfId="0" applyNumberFormat="1" applyFont="1" applyFill="1" applyBorder="1" applyAlignment="1" applyProtection="1">
      <alignment vertical="top" wrapText="1"/>
      <protection locked="0"/>
    </xf>
    <xf numFmtId="1" fontId="8" fillId="0" borderId="5" xfId="0" applyNumberFormat="1" applyFont="1" applyFill="1" applyBorder="1" applyAlignment="1" applyProtection="1">
      <alignment vertical="top" wrapText="1"/>
      <protection locked="0"/>
    </xf>
    <xf numFmtId="1" fontId="13" fillId="0" borderId="1" xfId="0" applyNumberFormat="1" applyFont="1" applyFill="1" applyBorder="1" applyAlignment="1" applyProtection="1">
      <alignment vertical="top" wrapText="1"/>
      <protection locked="0"/>
    </xf>
    <xf numFmtId="0" fontId="8" fillId="0" borderId="1" xfId="1" applyFont="1" applyFill="1" applyBorder="1" applyAlignment="1" applyProtection="1">
      <alignment vertical="top"/>
      <protection locked="0"/>
    </xf>
    <xf numFmtId="0" fontId="8" fillId="0" borderId="10" xfId="1" applyFont="1" applyFill="1" applyBorder="1" applyAlignment="1" applyProtection="1">
      <alignment horizontal="center" vertical="top"/>
      <protection locked="0"/>
    </xf>
    <xf numFmtId="1" fontId="4" fillId="0" borderId="2" xfId="1" applyNumberFormat="1" applyFont="1" applyFill="1" applyBorder="1" applyAlignment="1" applyProtection="1">
      <alignment horizontal="center" vertical="top" wrapText="1"/>
      <protection locked="0"/>
    </xf>
    <xf numFmtId="1" fontId="4" fillId="0" borderId="10" xfId="1" applyNumberFormat="1" applyFont="1" applyFill="1" applyBorder="1" applyAlignment="1" applyProtection="1">
      <alignment horizontal="center" vertical="top" wrapText="1"/>
      <protection locked="0"/>
    </xf>
    <xf numFmtId="0" fontId="12" fillId="0" borderId="2" xfId="1" applyFont="1" applyFill="1" applyBorder="1" applyAlignment="1" applyProtection="1">
      <alignment horizontal="left" vertical="top" wrapText="1"/>
      <protection locked="0"/>
    </xf>
    <xf numFmtId="0" fontId="13" fillId="0" borderId="1" xfId="1" applyFont="1" applyFill="1" applyBorder="1" applyAlignment="1" applyProtection="1">
      <alignment horizontal="center" vertical="top" wrapText="1"/>
      <protection locked="0"/>
    </xf>
    <xf numFmtId="0" fontId="14" fillId="0" borderId="1" xfId="1" applyFont="1" applyFill="1" applyBorder="1" applyAlignment="1" applyProtection="1">
      <alignment horizontal="center" vertical="top" wrapText="1"/>
      <protection locked="0"/>
    </xf>
    <xf numFmtId="1" fontId="8" fillId="0" borderId="1" xfId="0" applyNumberFormat="1" applyFont="1" applyFill="1" applyBorder="1" applyAlignment="1" applyProtection="1">
      <alignment horizontal="center" vertical="center" wrapText="1"/>
      <protection locked="0"/>
    </xf>
    <xf numFmtId="0" fontId="8" fillId="0" borderId="1" xfId="1" applyFont="1" applyFill="1" applyBorder="1" applyAlignment="1" applyProtection="1">
      <alignment horizontal="left" vertical="top"/>
      <protection locked="0"/>
    </xf>
    <xf numFmtId="1" fontId="8" fillId="0" borderId="2" xfId="0" applyNumberFormat="1"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top" wrapText="1"/>
      <protection locked="0"/>
    </xf>
    <xf numFmtId="1" fontId="8" fillId="0" borderId="2" xfId="0" applyNumberFormat="1" applyFont="1" applyFill="1" applyBorder="1" applyAlignment="1" applyProtection="1">
      <alignment horizontal="center" vertical="top" wrapText="1"/>
      <protection locked="0"/>
    </xf>
    <xf numFmtId="0" fontId="11" fillId="0" borderId="1" xfId="1" applyFont="1" applyFill="1" applyBorder="1" applyAlignment="1" applyProtection="1">
      <alignment horizontal="center" vertical="top" wrapText="1"/>
      <protection locked="0"/>
    </xf>
    <xf numFmtId="0" fontId="8" fillId="0" borderId="1" xfId="1" applyFont="1" applyFill="1" applyBorder="1" applyAlignment="1" applyProtection="1">
      <alignment horizontal="center" vertical="top"/>
      <protection locked="0"/>
    </xf>
    <xf numFmtId="0" fontId="13" fillId="0" borderId="1" xfId="1" applyFont="1" applyFill="1" applyBorder="1" applyAlignment="1" applyProtection="1">
      <alignment horizontal="left" vertical="top"/>
      <protection locked="0"/>
    </xf>
    <xf numFmtId="14" fontId="12" fillId="0" borderId="1" xfId="1" applyNumberFormat="1" applyFont="1" applyFill="1" applyBorder="1" applyAlignment="1" applyProtection="1">
      <alignment horizontal="left" vertical="top"/>
      <protection locked="0"/>
    </xf>
    <xf numFmtId="0" fontId="12" fillId="0" borderId="1" xfId="1" applyFont="1" applyFill="1" applyBorder="1" applyAlignment="1" applyProtection="1">
      <alignment horizontal="left" vertical="top" wrapText="1"/>
      <protection locked="0"/>
    </xf>
    <xf numFmtId="0" fontId="12" fillId="0" borderId="1" xfId="1" applyFont="1" applyFill="1" applyBorder="1" applyAlignment="1" applyProtection="1">
      <alignment horizontal="center" vertical="top"/>
      <protection locked="0"/>
    </xf>
    <xf numFmtId="0" fontId="12" fillId="0" borderId="1" xfId="1" applyFont="1" applyFill="1" applyBorder="1" applyAlignment="1" applyProtection="1">
      <alignment horizontal="left"/>
      <protection locked="0"/>
    </xf>
    <xf numFmtId="0" fontId="12" fillId="0" borderId="1" xfId="1" applyFont="1" applyFill="1" applyBorder="1" applyAlignment="1" applyProtection="1">
      <alignment horizontal="center" vertical="center" wrapText="1"/>
      <protection locked="0"/>
    </xf>
    <xf numFmtId="0" fontId="12" fillId="0" borderId="1" xfId="1" applyFont="1" applyFill="1" applyBorder="1" applyAlignment="1" applyProtection="1">
      <alignment horizontal="center"/>
      <protection locked="0"/>
    </xf>
    <xf numFmtId="0" fontId="13" fillId="0" borderId="1" xfId="1" applyFont="1" applyFill="1" applyBorder="1" applyAlignment="1" applyProtection="1">
      <alignment horizontal="center"/>
      <protection locked="0"/>
    </xf>
    <xf numFmtId="0" fontId="12" fillId="0" borderId="1" xfId="1" applyFont="1" applyFill="1" applyBorder="1" applyAlignment="1" applyProtection="1">
      <alignment horizontal="center" vertical="center"/>
      <protection locked="0"/>
    </xf>
    <xf numFmtId="2" fontId="6" fillId="0" borderId="1" xfId="1" applyNumberFormat="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9" fontId="12" fillId="0" borderId="1" xfId="8" applyFont="1" applyFill="1" applyBorder="1" applyAlignment="1" applyProtection="1">
      <alignment horizontal="center" vertical="center" wrapText="1"/>
      <protection locked="0"/>
    </xf>
    <xf numFmtId="1" fontId="6" fillId="0" borderId="1" xfId="1" applyNumberFormat="1" applyFont="1" applyFill="1" applyBorder="1" applyAlignment="1" applyProtection="1">
      <alignment horizontal="left" vertical="top" wrapText="1"/>
      <protection locked="0"/>
    </xf>
    <xf numFmtId="2" fontId="6" fillId="0" borderId="1" xfId="1" applyNumberFormat="1" applyFont="1" applyFill="1" applyBorder="1" applyAlignment="1" applyProtection="1">
      <alignment horizontal="left" vertical="top"/>
      <protection locked="0"/>
    </xf>
    <xf numFmtId="0" fontId="7" fillId="0" borderId="0" xfId="1" applyFont="1" applyBorder="1" applyAlignment="1">
      <alignment horizontal="center" vertical="center"/>
    </xf>
    <xf numFmtId="1" fontId="8" fillId="0" borderId="4" xfId="1" applyNumberFormat="1" applyFont="1" applyFill="1" applyBorder="1" applyAlignment="1" applyProtection="1">
      <alignment horizontal="center" vertical="center" wrapText="1"/>
      <protection locked="0"/>
    </xf>
    <xf numFmtId="1" fontId="8" fillId="0" borderId="15" xfId="1" applyNumberFormat="1" applyFont="1" applyFill="1" applyBorder="1" applyAlignment="1" applyProtection="1">
      <alignment horizontal="center" vertical="center" wrapText="1"/>
      <protection locked="0"/>
    </xf>
    <xf numFmtId="1" fontId="8" fillId="0" borderId="5" xfId="1" applyNumberFormat="1" applyFont="1" applyFill="1" applyBorder="1" applyAlignment="1" applyProtection="1">
      <alignment horizontal="center" vertical="center" wrapText="1"/>
      <protection locked="0"/>
    </xf>
    <xf numFmtId="0" fontId="15" fillId="0" borderId="2" xfId="1" applyFont="1" applyFill="1" applyBorder="1" applyAlignment="1" applyProtection="1">
      <alignment horizontal="left" vertical="top"/>
      <protection locked="0"/>
    </xf>
    <xf numFmtId="0" fontId="12" fillId="0" borderId="12" xfId="1" applyFont="1" applyFill="1" applyBorder="1" applyAlignment="1" applyProtection="1">
      <alignment horizontal="left" vertical="top" wrapText="1"/>
      <protection locked="0"/>
    </xf>
    <xf numFmtId="0" fontId="10" fillId="0" borderId="20" xfId="0" applyFont="1" applyFill="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0" fontId="13" fillId="0" borderId="1" xfId="1" applyFont="1" applyFill="1" applyBorder="1" applyAlignment="1" applyProtection="1">
      <alignment horizontal="left" vertical="top" wrapText="1"/>
      <protection locked="0"/>
    </xf>
    <xf numFmtId="0" fontId="13" fillId="0" borderId="4" xfId="1" applyFont="1" applyFill="1" applyBorder="1" applyAlignment="1" applyProtection="1">
      <alignment horizontal="left" vertical="top"/>
      <protection locked="0"/>
    </xf>
    <xf numFmtId="0" fontId="13" fillId="0" borderId="15" xfId="1" applyFont="1" applyFill="1" applyBorder="1" applyAlignment="1" applyProtection="1">
      <alignment horizontal="left" vertical="top"/>
      <protection locked="0"/>
    </xf>
    <xf numFmtId="0" fontId="13" fillId="0" borderId="5" xfId="1" applyFont="1" applyFill="1" applyBorder="1" applyAlignment="1" applyProtection="1">
      <alignment horizontal="left" vertical="top"/>
      <protection locked="0"/>
    </xf>
    <xf numFmtId="1" fontId="13" fillId="0" borderId="2" xfId="1" applyNumberFormat="1" applyFont="1" applyFill="1" applyBorder="1" applyAlignment="1" applyProtection="1">
      <alignment horizontal="center" vertical="top" wrapText="1"/>
      <protection locked="0"/>
    </xf>
    <xf numFmtId="1" fontId="13" fillId="0" borderId="10" xfId="1" applyNumberFormat="1" applyFont="1" applyFill="1" applyBorder="1" applyAlignment="1" applyProtection="1">
      <alignment horizontal="center" vertical="top" wrapText="1"/>
      <protection locked="0"/>
    </xf>
    <xf numFmtId="0" fontId="8" fillId="0" borderId="10" xfId="1" applyFont="1" applyFill="1" applyBorder="1" applyAlignment="1" applyProtection="1">
      <alignment horizontal="left" vertical="top"/>
      <protection locked="0"/>
    </xf>
    <xf numFmtId="1" fontId="4" fillId="0" borderId="1" xfId="1" applyNumberFormat="1" applyFont="1" applyFill="1" applyBorder="1" applyAlignment="1" applyProtection="1">
      <alignment horizontal="center" vertical="top" wrapText="1"/>
      <protection locked="0"/>
    </xf>
    <xf numFmtId="0" fontId="7" fillId="0" borderId="17" xfId="0" applyFont="1" applyBorder="1" applyAlignment="1">
      <alignment horizontal="center" vertical="center" wrapText="1"/>
    </xf>
    <xf numFmtId="0" fontId="7" fillId="0" borderId="0" xfId="0" applyFont="1" applyAlignment="1">
      <alignment horizontal="center" vertical="center"/>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xdr:from>
      <xdr:col>0</xdr:col>
      <xdr:colOff>276225</xdr:colOff>
      <xdr:row>265</xdr:row>
      <xdr:rowOff>38100</xdr:rowOff>
    </xdr:from>
    <xdr:to>
      <xdr:col>7</xdr:col>
      <xdr:colOff>454575</xdr:colOff>
      <xdr:row>298</xdr:row>
      <xdr:rowOff>166923</xdr:rowOff>
    </xdr:to>
    <xdr:grpSp>
      <xdr:nvGrpSpPr>
        <xdr:cNvPr id="8" name="Group 7"/>
        <xdr:cNvGrpSpPr/>
      </xdr:nvGrpSpPr>
      <xdr:grpSpPr>
        <a:xfrm>
          <a:off x="276225" y="45288200"/>
          <a:ext cx="6033050" cy="6624873"/>
          <a:chOff x="417957" y="437196"/>
          <a:chExt cx="5760000" cy="6729648"/>
        </a:xfrm>
      </xdr:grpSpPr>
      <xdr:pic>
        <xdr:nvPicPr>
          <xdr:cNvPr id="9" name="Picture 8"/>
          <xdr:cNvPicPr>
            <a:picLocks noChangeAspect="1"/>
          </xdr:cNvPicPr>
        </xdr:nvPicPr>
        <xdr:blipFill>
          <a:blip xmlns:r="http://schemas.openxmlformats.org/officeDocument/2006/relationships" r:embed="rId1"/>
          <a:stretch>
            <a:fillRect/>
          </a:stretch>
        </xdr:blipFill>
        <xdr:spPr>
          <a:xfrm>
            <a:off x="417957" y="437196"/>
            <a:ext cx="5760000" cy="6729648"/>
          </a:xfrm>
          <a:prstGeom prst="rect">
            <a:avLst/>
          </a:prstGeom>
          <a:ln>
            <a:solidFill>
              <a:schemeClr val="tx1"/>
            </a:solidFill>
          </a:ln>
        </xdr:spPr>
      </xdr:pic>
      <xdr:sp macro="" textlink="">
        <xdr:nvSpPr>
          <xdr:cNvPr id="10" name="Rectangle 9"/>
          <xdr:cNvSpPr/>
        </xdr:nvSpPr>
        <xdr:spPr>
          <a:xfrm>
            <a:off x="1426464" y="4023360"/>
            <a:ext cx="1871493" cy="2907792"/>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1" name="Rectangle 10"/>
          <xdr:cNvSpPr/>
        </xdr:nvSpPr>
        <xdr:spPr>
          <a:xfrm>
            <a:off x="1024128" y="2560320"/>
            <a:ext cx="2432304" cy="14081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Rectangle 11"/>
          <xdr:cNvSpPr/>
        </xdr:nvSpPr>
        <xdr:spPr>
          <a:xfrm>
            <a:off x="822960" y="713232"/>
            <a:ext cx="1152144" cy="1682496"/>
          </a:xfrm>
          <a:prstGeom prst="rect">
            <a:avLst/>
          </a:prstGeom>
          <a:no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3" name="TextBox 6"/>
          <xdr:cNvSpPr txBox="1"/>
        </xdr:nvSpPr>
        <xdr:spPr>
          <a:xfrm>
            <a:off x="1626169" y="6264168"/>
            <a:ext cx="1228221"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t>Rehab </a:t>
            </a:r>
          </a:p>
          <a:p>
            <a:pPr algn="ctr"/>
            <a:r>
              <a:rPr lang="en-US" sz="1400" b="1"/>
              <a:t>Building No. 1</a:t>
            </a:r>
            <a:endParaRPr lang="en-IN" sz="1400" b="1"/>
          </a:p>
        </xdr:txBody>
      </xdr:sp>
      <xdr:sp macro="" textlink="">
        <xdr:nvSpPr>
          <xdr:cNvPr id="14" name="TextBox 7"/>
          <xdr:cNvSpPr txBox="1"/>
        </xdr:nvSpPr>
        <xdr:spPr>
          <a:xfrm>
            <a:off x="1975104" y="713928"/>
            <a:ext cx="1228221" cy="52322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sz="1400" b="1"/>
              <a:t>Sale</a:t>
            </a:r>
          </a:p>
          <a:p>
            <a:pPr algn="ctr"/>
            <a:r>
              <a:rPr lang="en-US" sz="1400" b="1"/>
              <a:t>Building No. 2</a:t>
            </a:r>
            <a:endParaRPr lang="en-IN" sz="1400" b="1"/>
          </a:p>
        </xdr:txBody>
      </xdr:sp>
      <xdr:sp macro="" textlink="">
        <xdr:nvSpPr>
          <xdr:cNvPr id="15" name="TextBox 8"/>
          <xdr:cNvSpPr txBox="1"/>
        </xdr:nvSpPr>
        <xdr:spPr>
          <a:xfrm>
            <a:off x="3544345" y="2618077"/>
            <a:ext cx="1521570" cy="64633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US" b="1">
                <a:solidFill>
                  <a:srgbClr val="FF0000"/>
                </a:solidFill>
              </a:rPr>
              <a:t>Sale </a:t>
            </a:r>
          </a:p>
          <a:p>
            <a:pPr algn="ctr"/>
            <a:r>
              <a:rPr lang="en-US" b="1">
                <a:solidFill>
                  <a:srgbClr val="FF0000"/>
                </a:solidFill>
              </a:rPr>
              <a:t>Building No. 1</a:t>
            </a:r>
            <a:endParaRPr lang="en-IN" b="1">
              <a:solidFill>
                <a:srgbClr val="FF0000"/>
              </a:solidFill>
            </a:endParaRPr>
          </a:p>
        </xdr:txBody>
      </xdr:sp>
    </xdr:grpSp>
    <xdr:clientData/>
  </xdr:twoCellAnchor>
  <xdr:twoCellAnchor editAs="oneCell">
    <xdr:from>
      <xdr:col>0</xdr:col>
      <xdr:colOff>371475</xdr:colOff>
      <xdr:row>308</xdr:row>
      <xdr:rowOff>38100</xdr:rowOff>
    </xdr:from>
    <xdr:to>
      <xdr:col>7</xdr:col>
      <xdr:colOff>364624</xdr:colOff>
      <xdr:row>326</xdr:row>
      <xdr:rowOff>154183</xdr:rowOff>
    </xdr:to>
    <xdr:pic>
      <xdr:nvPicPr>
        <xdr:cNvPr id="16" name="Picture 15"/>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71475" y="56102250"/>
          <a:ext cx="5574799" cy="3716533"/>
        </a:xfrm>
        <a:prstGeom prst="rect">
          <a:avLst/>
        </a:prstGeom>
        <a:ln>
          <a:solidFill>
            <a:schemeClr val="tx1"/>
          </a:solidFill>
        </a:ln>
      </xdr:spPr>
    </xdr:pic>
    <xdr:clientData/>
  </xdr:twoCellAnchor>
  <xdr:twoCellAnchor>
    <xdr:from>
      <xdr:col>0</xdr:col>
      <xdr:colOff>551475</xdr:colOff>
      <xdr:row>327</xdr:row>
      <xdr:rowOff>81535</xdr:rowOff>
    </xdr:from>
    <xdr:to>
      <xdr:col>7</xdr:col>
      <xdr:colOff>85725</xdr:colOff>
      <xdr:row>348</xdr:row>
      <xdr:rowOff>57150</xdr:rowOff>
    </xdr:to>
    <xdr:grpSp>
      <xdr:nvGrpSpPr>
        <xdr:cNvPr id="17" name="Group 16"/>
        <xdr:cNvGrpSpPr/>
      </xdr:nvGrpSpPr>
      <xdr:grpSpPr>
        <a:xfrm>
          <a:off x="551475" y="57536335"/>
          <a:ext cx="5388950" cy="4109465"/>
          <a:chOff x="621792" y="4187953"/>
          <a:chExt cx="5285856" cy="4320000"/>
        </a:xfrm>
      </xdr:grpSpPr>
      <xdr:pic>
        <xdr:nvPicPr>
          <xdr:cNvPr id="18" name="Picture 17"/>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621792" y="4187953"/>
            <a:ext cx="5285856" cy="4320000"/>
          </a:xfrm>
          <a:prstGeom prst="rect">
            <a:avLst/>
          </a:prstGeom>
          <a:ln>
            <a:solidFill>
              <a:schemeClr val="tx1"/>
            </a:solidFill>
          </a:ln>
        </xdr:spPr>
      </xdr:pic>
      <xdr:sp macro="" textlink="">
        <xdr:nvSpPr>
          <xdr:cNvPr id="19" name="Freeform 18"/>
          <xdr:cNvSpPr/>
        </xdr:nvSpPr>
        <xdr:spPr>
          <a:xfrm>
            <a:off x="1917307" y="5632570"/>
            <a:ext cx="3270958" cy="2167663"/>
          </a:xfrm>
          <a:custGeom>
            <a:avLst/>
            <a:gdLst>
              <a:gd name="connsiteX0" fmla="*/ 71513 w 3283715"/>
              <a:gd name="connsiteY0" fmla="*/ 349129 h 2182524"/>
              <a:gd name="connsiteX1" fmla="*/ 460133 w 3283715"/>
              <a:gd name="connsiteY1" fmla="*/ 36709 h 2182524"/>
              <a:gd name="connsiteX2" fmla="*/ 604913 w 3283715"/>
              <a:gd name="connsiteY2" fmla="*/ 36709 h 2182524"/>
              <a:gd name="connsiteX3" fmla="*/ 856373 w 3283715"/>
              <a:gd name="connsiteY3" fmla="*/ 311029 h 2182524"/>
              <a:gd name="connsiteX4" fmla="*/ 1107833 w 3283715"/>
              <a:gd name="connsiteY4" fmla="*/ 646309 h 2182524"/>
              <a:gd name="connsiteX5" fmla="*/ 1191653 w 3283715"/>
              <a:gd name="connsiteY5" fmla="*/ 638689 h 2182524"/>
              <a:gd name="connsiteX6" fmla="*/ 1526933 w 3283715"/>
              <a:gd name="connsiteY6" fmla="*/ 364369 h 2182524"/>
              <a:gd name="connsiteX7" fmla="*/ 1610753 w 3283715"/>
              <a:gd name="connsiteY7" fmla="*/ 394849 h 2182524"/>
              <a:gd name="connsiteX8" fmla="*/ 3020453 w 3283715"/>
              <a:gd name="connsiteY8" fmla="*/ 1972189 h 2182524"/>
              <a:gd name="connsiteX9" fmla="*/ 3020453 w 3283715"/>
              <a:gd name="connsiteY9" fmla="*/ 2056009 h 2182524"/>
              <a:gd name="connsiteX10" fmla="*/ 315353 w 3283715"/>
              <a:gd name="connsiteY10" fmla="*/ 951109 h 2182524"/>
              <a:gd name="connsiteX11" fmla="*/ 71513 w 3283715"/>
              <a:gd name="connsiteY11" fmla="*/ 349129 h 2182524"/>
              <a:gd name="connsiteX0" fmla="*/ 71513 w 3283715"/>
              <a:gd name="connsiteY0" fmla="*/ 349129 h 2182524"/>
              <a:gd name="connsiteX1" fmla="*/ 460133 w 3283715"/>
              <a:gd name="connsiteY1" fmla="*/ 36709 h 2182524"/>
              <a:gd name="connsiteX2" fmla="*/ 604913 w 3283715"/>
              <a:gd name="connsiteY2" fmla="*/ 36709 h 2182524"/>
              <a:gd name="connsiteX3" fmla="*/ 856373 w 3283715"/>
              <a:gd name="connsiteY3" fmla="*/ 311029 h 2182524"/>
              <a:gd name="connsiteX4" fmla="*/ 1107833 w 3283715"/>
              <a:gd name="connsiteY4" fmla="*/ 646309 h 2182524"/>
              <a:gd name="connsiteX5" fmla="*/ 1191653 w 3283715"/>
              <a:gd name="connsiteY5" fmla="*/ 638689 h 2182524"/>
              <a:gd name="connsiteX6" fmla="*/ 1514233 w 3283715"/>
              <a:gd name="connsiteY6" fmla="*/ 392944 h 2182524"/>
              <a:gd name="connsiteX7" fmla="*/ 1610753 w 3283715"/>
              <a:gd name="connsiteY7" fmla="*/ 394849 h 2182524"/>
              <a:gd name="connsiteX8" fmla="*/ 3020453 w 3283715"/>
              <a:gd name="connsiteY8" fmla="*/ 1972189 h 2182524"/>
              <a:gd name="connsiteX9" fmla="*/ 3020453 w 3283715"/>
              <a:gd name="connsiteY9" fmla="*/ 2056009 h 2182524"/>
              <a:gd name="connsiteX10" fmla="*/ 315353 w 3283715"/>
              <a:gd name="connsiteY10" fmla="*/ 951109 h 2182524"/>
              <a:gd name="connsiteX11" fmla="*/ 71513 w 3283715"/>
              <a:gd name="connsiteY11" fmla="*/ 349129 h 2182524"/>
              <a:gd name="connsiteX0" fmla="*/ 71513 w 3283715"/>
              <a:gd name="connsiteY0" fmla="*/ 349129 h 2182524"/>
              <a:gd name="connsiteX1" fmla="*/ 460133 w 3283715"/>
              <a:gd name="connsiteY1" fmla="*/ 36709 h 2182524"/>
              <a:gd name="connsiteX2" fmla="*/ 604913 w 3283715"/>
              <a:gd name="connsiteY2" fmla="*/ 36709 h 2182524"/>
              <a:gd name="connsiteX3" fmla="*/ 856373 w 3283715"/>
              <a:gd name="connsiteY3" fmla="*/ 311029 h 2182524"/>
              <a:gd name="connsiteX4" fmla="*/ 1107833 w 3283715"/>
              <a:gd name="connsiteY4" fmla="*/ 646309 h 2182524"/>
              <a:gd name="connsiteX5" fmla="*/ 1191653 w 3283715"/>
              <a:gd name="connsiteY5" fmla="*/ 638689 h 2182524"/>
              <a:gd name="connsiteX6" fmla="*/ 1514233 w 3283715"/>
              <a:gd name="connsiteY6" fmla="*/ 392944 h 2182524"/>
              <a:gd name="connsiteX7" fmla="*/ 1610753 w 3283715"/>
              <a:gd name="connsiteY7" fmla="*/ 394849 h 2182524"/>
              <a:gd name="connsiteX8" fmla="*/ 3020453 w 3283715"/>
              <a:gd name="connsiteY8" fmla="*/ 1972189 h 2182524"/>
              <a:gd name="connsiteX9" fmla="*/ 3020453 w 3283715"/>
              <a:gd name="connsiteY9" fmla="*/ 2056009 h 2182524"/>
              <a:gd name="connsiteX10" fmla="*/ 315353 w 3283715"/>
              <a:gd name="connsiteY10" fmla="*/ 951109 h 2182524"/>
              <a:gd name="connsiteX11" fmla="*/ 71513 w 3283715"/>
              <a:gd name="connsiteY11" fmla="*/ 349129 h 2182524"/>
              <a:gd name="connsiteX0" fmla="*/ 71513 w 3270958"/>
              <a:gd name="connsiteY0" fmla="*/ 349129 h 2167663"/>
              <a:gd name="connsiteX1" fmla="*/ 460133 w 3270958"/>
              <a:gd name="connsiteY1" fmla="*/ 36709 h 2167663"/>
              <a:gd name="connsiteX2" fmla="*/ 604913 w 3270958"/>
              <a:gd name="connsiteY2" fmla="*/ 36709 h 2167663"/>
              <a:gd name="connsiteX3" fmla="*/ 856373 w 3270958"/>
              <a:gd name="connsiteY3" fmla="*/ 311029 h 2167663"/>
              <a:gd name="connsiteX4" fmla="*/ 1107833 w 3270958"/>
              <a:gd name="connsiteY4" fmla="*/ 646309 h 2167663"/>
              <a:gd name="connsiteX5" fmla="*/ 1191653 w 3270958"/>
              <a:gd name="connsiteY5" fmla="*/ 638689 h 2167663"/>
              <a:gd name="connsiteX6" fmla="*/ 1514233 w 3270958"/>
              <a:gd name="connsiteY6" fmla="*/ 392944 h 2167663"/>
              <a:gd name="connsiteX7" fmla="*/ 1861578 w 3270958"/>
              <a:gd name="connsiteY7" fmla="*/ 661549 h 2167663"/>
              <a:gd name="connsiteX8" fmla="*/ 3020453 w 3270958"/>
              <a:gd name="connsiteY8" fmla="*/ 1972189 h 2167663"/>
              <a:gd name="connsiteX9" fmla="*/ 3020453 w 3270958"/>
              <a:gd name="connsiteY9" fmla="*/ 2056009 h 2167663"/>
              <a:gd name="connsiteX10" fmla="*/ 315353 w 3270958"/>
              <a:gd name="connsiteY10" fmla="*/ 951109 h 2167663"/>
              <a:gd name="connsiteX11" fmla="*/ 71513 w 3270958"/>
              <a:gd name="connsiteY11" fmla="*/ 349129 h 21676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3270958" h="2167663">
                <a:moveTo>
                  <a:pt x="71513" y="349129"/>
                </a:moveTo>
                <a:cubicBezTo>
                  <a:pt x="95643" y="196729"/>
                  <a:pt x="371233" y="88779"/>
                  <a:pt x="460133" y="36709"/>
                </a:cubicBezTo>
                <a:cubicBezTo>
                  <a:pt x="549033" y="-15361"/>
                  <a:pt x="538873" y="-9011"/>
                  <a:pt x="604913" y="36709"/>
                </a:cubicBezTo>
                <a:cubicBezTo>
                  <a:pt x="670953" y="82429"/>
                  <a:pt x="772553" y="209429"/>
                  <a:pt x="856373" y="311029"/>
                </a:cubicBezTo>
                <a:cubicBezTo>
                  <a:pt x="940193" y="412629"/>
                  <a:pt x="1051953" y="591699"/>
                  <a:pt x="1107833" y="646309"/>
                </a:cubicBezTo>
                <a:cubicBezTo>
                  <a:pt x="1163713" y="700919"/>
                  <a:pt x="1123920" y="680916"/>
                  <a:pt x="1191653" y="638689"/>
                </a:cubicBezTo>
                <a:cubicBezTo>
                  <a:pt x="1259386" y="596462"/>
                  <a:pt x="1402579" y="389134"/>
                  <a:pt x="1514233" y="392944"/>
                </a:cubicBezTo>
                <a:cubicBezTo>
                  <a:pt x="1625887" y="396754"/>
                  <a:pt x="1610541" y="398342"/>
                  <a:pt x="1861578" y="661549"/>
                </a:cubicBezTo>
                <a:cubicBezTo>
                  <a:pt x="2112615" y="924756"/>
                  <a:pt x="2827307" y="1739779"/>
                  <a:pt x="3020453" y="1972189"/>
                </a:cubicBezTo>
                <a:cubicBezTo>
                  <a:pt x="3213599" y="2204599"/>
                  <a:pt x="3471303" y="2226189"/>
                  <a:pt x="3020453" y="2056009"/>
                </a:cubicBezTo>
                <a:cubicBezTo>
                  <a:pt x="2569603" y="1885829"/>
                  <a:pt x="806843" y="1239399"/>
                  <a:pt x="315353" y="951109"/>
                </a:cubicBezTo>
                <a:cubicBezTo>
                  <a:pt x="-176137" y="662819"/>
                  <a:pt x="47383" y="501529"/>
                  <a:pt x="71513" y="349129"/>
                </a:cubicBezTo>
                <a:close/>
              </a:path>
            </a:pathLst>
          </a:cu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editAs="oneCell">
    <xdr:from>
      <xdr:col>8</xdr:col>
      <xdr:colOff>392207</xdr:colOff>
      <xdr:row>18</xdr:row>
      <xdr:rowOff>134470</xdr:rowOff>
    </xdr:from>
    <xdr:to>
      <xdr:col>13</xdr:col>
      <xdr:colOff>351289</xdr:colOff>
      <xdr:row>25</xdr:row>
      <xdr:rowOff>3173</xdr:rowOff>
    </xdr:to>
    <xdr:pic>
      <xdr:nvPicPr>
        <xdr:cNvPr id="20" name="Picture 19"/>
        <xdr:cNvPicPr>
          <a:picLocks noChangeAspect="1"/>
        </xdr:cNvPicPr>
      </xdr:nvPicPr>
      <xdr:blipFill>
        <a:blip xmlns:r="http://schemas.openxmlformats.org/officeDocument/2006/relationships" r:embed="rId4"/>
        <a:stretch>
          <a:fillRect/>
        </a:stretch>
      </xdr:blipFill>
      <xdr:spPr>
        <a:xfrm>
          <a:off x="7205383" y="4616823"/>
          <a:ext cx="4609524" cy="1504762"/>
        </a:xfrm>
        <a:prstGeom prst="rect">
          <a:avLst/>
        </a:prstGeom>
        <a:ln>
          <a:solidFill>
            <a:schemeClr val="tx1"/>
          </a:solidFill>
        </a:ln>
      </xdr:spPr>
    </xdr:pic>
    <xdr:clientData/>
  </xdr:twoCellAnchor>
  <xdr:twoCellAnchor>
    <xdr:from>
      <xdr:col>8</xdr:col>
      <xdr:colOff>425450</xdr:colOff>
      <xdr:row>220</xdr:row>
      <xdr:rowOff>57150</xdr:rowOff>
    </xdr:from>
    <xdr:to>
      <xdr:col>15</xdr:col>
      <xdr:colOff>434259</xdr:colOff>
      <xdr:row>260</xdr:row>
      <xdr:rowOff>148456</xdr:rowOff>
    </xdr:to>
    <xdr:grpSp>
      <xdr:nvGrpSpPr>
        <xdr:cNvPr id="34" name="Group 33"/>
        <xdr:cNvGrpSpPr/>
      </xdr:nvGrpSpPr>
      <xdr:grpSpPr>
        <a:xfrm>
          <a:off x="7048500" y="36455350"/>
          <a:ext cx="6282609" cy="7958956"/>
          <a:chOff x="171450" y="36912550"/>
          <a:chExt cx="6282609" cy="7958956"/>
        </a:xfrm>
      </xdr:grpSpPr>
      <xdr:pic>
        <xdr:nvPicPr>
          <xdr:cNvPr id="35" name="Picture 34"/>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2503879" y="42711506"/>
            <a:ext cx="1617750" cy="2160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227516" y="36912550"/>
            <a:ext cx="2157000" cy="2880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7"/>
          <a:stretch>
            <a:fillRect/>
          </a:stretch>
        </xdr:blipFill>
        <xdr:spPr>
          <a:xfrm>
            <a:off x="236087" y="36912550"/>
            <a:ext cx="3834667" cy="2880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316258" y="39902028"/>
            <a:ext cx="1992993" cy="2700000"/>
          </a:xfrm>
          <a:prstGeom prst="rect">
            <a:avLst/>
          </a:prstGeom>
          <a:ln>
            <a:solidFill>
              <a:schemeClr val="tx1"/>
            </a:solidFill>
          </a:ln>
        </xdr:spPr>
      </xdr:pic>
      <xdr:pic>
        <xdr:nvPicPr>
          <xdr:cNvPr id="39" name="Picture 3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71450" y="39902028"/>
            <a:ext cx="2022188" cy="2700000"/>
          </a:xfrm>
          <a:prstGeom prst="rect">
            <a:avLst/>
          </a:prstGeom>
          <a:ln>
            <a:solidFill>
              <a:schemeClr val="tx1"/>
            </a:solidFill>
          </a:ln>
        </xdr:spPr>
      </xdr:pic>
      <xdr:pic>
        <xdr:nvPicPr>
          <xdr:cNvPr id="41" name="Picture 40"/>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431871" y="39902028"/>
            <a:ext cx="2022188" cy="2700000"/>
          </a:xfrm>
          <a:prstGeom prst="rect">
            <a:avLst/>
          </a:prstGeom>
          <a:ln>
            <a:solidFill>
              <a:schemeClr val="tx1"/>
            </a:solidFill>
          </a:ln>
        </xdr:spPr>
      </xdr:pic>
    </xdr:grpSp>
    <xdr:clientData/>
  </xdr:twoCellAnchor>
  <xdr:twoCellAnchor>
    <xdr:from>
      <xdr:col>0</xdr:col>
      <xdr:colOff>133350</xdr:colOff>
      <xdr:row>221</xdr:row>
      <xdr:rowOff>95250</xdr:rowOff>
    </xdr:from>
    <xdr:to>
      <xdr:col>7</xdr:col>
      <xdr:colOff>659466</xdr:colOff>
      <xdr:row>257</xdr:row>
      <xdr:rowOff>103290</xdr:rowOff>
    </xdr:to>
    <xdr:grpSp>
      <xdr:nvGrpSpPr>
        <xdr:cNvPr id="2" name="Group 1"/>
        <xdr:cNvGrpSpPr/>
      </xdr:nvGrpSpPr>
      <xdr:grpSpPr>
        <a:xfrm>
          <a:off x="133350" y="36690300"/>
          <a:ext cx="6380816" cy="7088290"/>
          <a:chOff x="133350" y="36690300"/>
          <a:chExt cx="6380816" cy="7088290"/>
        </a:xfrm>
      </xdr:grpSpPr>
      <xdr:pic>
        <xdr:nvPicPr>
          <xdr:cNvPr id="22" name="Picture 21"/>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398499" y="41618590"/>
            <a:ext cx="1617750" cy="2160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2"/>
          <a:stretch>
            <a:fillRect/>
          </a:stretch>
        </xdr:blipFill>
        <xdr:spPr>
          <a:xfrm>
            <a:off x="3398499" y="36690300"/>
            <a:ext cx="3115667" cy="2340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3"/>
          <a:stretch>
            <a:fillRect/>
          </a:stretch>
        </xdr:blipFill>
        <xdr:spPr>
          <a:xfrm>
            <a:off x="133351" y="36690300"/>
            <a:ext cx="3115667" cy="2340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4"/>
          <a:stretch>
            <a:fillRect/>
          </a:stretch>
        </xdr:blipFill>
        <xdr:spPr>
          <a:xfrm>
            <a:off x="3398499" y="39154445"/>
            <a:ext cx="3115667" cy="2340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5"/>
          <a:stretch>
            <a:fillRect/>
          </a:stretch>
        </xdr:blipFill>
        <xdr:spPr>
          <a:xfrm>
            <a:off x="133350" y="39154445"/>
            <a:ext cx="3115667" cy="2340000"/>
          </a:xfrm>
          <a:prstGeom prst="rect">
            <a:avLst/>
          </a:prstGeom>
          <a:ln>
            <a:solidFill>
              <a:schemeClr val="tx1"/>
            </a:solidFill>
          </a:ln>
        </xdr:spPr>
      </xdr:pic>
      <xdr:pic>
        <xdr:nvPicPr>
          <xdr:cNvPr id="27" name="Picture 26"/>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1631267" y="41618590"/>
            <a:ext cx="1617750"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XwEEf8fkDP8KirNL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49"/>
  <sheetViews>
    <sheetView tabSelected="1" view="pageBreakPreview" topLeftCell="A70" zoomScaleNormal="100" zoomScaleSheetLayoutView="100" zoomScalePageLayoutView="85" workbookViewId="0">
      <selection activeCell="E10" sqref="E10:H10"/>
    </sheetView>
  </sheetViews>
  <sheetFormatPr defaultColWidth="9.1796875" defaultRowHeight="15.5" x14ac:dyDescent="0.35"/>
  <cols>
    <col min="1" max="1" width="11.453125" style="32" customWidth="1"/>
    <col min="2" max="2" width="12" style="32" customWidth="1"/>
    <col min="3" max="3" width="12.7265625" style="32" customWidth="1"/>
    <col min="4" max="4" width="13.7265625" style="32" customWidth="1"/>
    <col min="5" max="5" width="11.7265625" style="32" customWidth="1"/>
    <col min="6" max="6" width="11.1796875" style="32" customWidth="1"/>
    <col min="7" max="8" width="11" style="32" customWidth="1"/>
    <col min="9" max="9" width="17.453125" style="15" customWidth="1"/>
    <col min="10" max="10" width="11.453125" style="15" customWidth="1"/>
    <col min="11" max="11" width="10.54296875" style="15" bestFit="1" customWidth="1"/>
    <col min="12" max="12" width="13.81640625" style="15" bestFit="1" customWidth="1"/>
    <col min="13" max="13" width="11.81640625" style="15" customWidth="1"/>
    <col min="14" max="14" width="12.54296875" style="15" customWidth="1"/>
    <col min="15" max="15" width="12.1796875" style="15" customWidth="1"/>
    <col min="16" max="16" width="11.7265625" style="15" customWidth="1"/>
    <col min="17" max="18" width="9.1796875" style="15"/>
    <col min="19" max="19" width="10.81640625" style="15" bestFit="1" customWidth="1"/>
    <col min="20" max="20" width="10.7265625" style="15" customWidth="1"/>
    <col min="21" max="247" width="9.1796875" style="15"/>
    <col min="248" max="248" width="8.7265625" style="15" customWidth="1"/>
    <col min="249" max="249" width="9.81640625" style="15" customWidth="1"/>
    <col min="250" max="250" width="14.453125" style="15" customWidth="1"/>
    <col min="251" max="251" width="7.26953125" style="15" customWidth="1"/>
    <col min="252" max="252" width="5.54296875" style="15" customWidth="1"/>
    <col min="253" max="253" width="9" style="15" customWidth="1"/>
    <col min="254" max="255" width="9.81640625" style="15" customWidth="1"/>
    <col min="256" max="256" width="11.1796875" style="15" customWidth="1"/>
    <col min="257" max="257" width="2.81640625" style="15" customWidth="1"/>
    <col min="258" max="258" width="3.54296875" style="15" customWidth="1"/>
    <col min="259" max="503" width="9.1796875" style="15"/>
    <col min="504" max="504" width="8.7265625" style="15" customWidth="1"/>
    <col min="505" max="505" width="9.81640625" style="15" customWidth="1"/>
    <col min="506" max="506" width="14.453125" style="15" customWidth="1"/>
    <col min="507" max="507" width="7.26953125" style="15" customWidth="1"/>
    <col min="508" max="508" width="5.54296875" style="15" customWidth="1"/>
    <col min="509" max="509" width="9" style="15" customWidth="1"/>
    <col min="510" max="511" width="9.81640625" style="15" customWidth="1"/>
    <col min="512" max="512" width="11.1796875" style="15" customWidth="1"/>
    <col min="513" max="513" width="2.81640625" style="15" customWidth="1"/>
    <col min="514" max="514" width="3.54296875" style="15" customWidth="1"/>
    <col min="515" max="759" width="9.1796875" style="15"/>
    <col min="760" max="760" width="8.7265625" style="15" customWidth="1"/>
    <col min="761" max="761" width="9.81640625" style="15" customWidth="1"/>
    <col min="762" max="762" width="14.453125" style="15" customWidth="1"/>
    <col min="763" max="763" width="7.26953125" style="15" customWidth="1"/>
    <col min="764" max="764" width="5.54296875" style="15" customWidth="1"/>
    <col min="765" max="765" width="9" style="15" customWidth="1"/>
    <col min="766" max="767" width="9.81640625" style="15" customWidth="1"/>
    <col min="768" max="768" width="11.1796875" style="15" customWidth="1"/>
    <col min="769" max="769" width="2.81640625" style="15" customWidth="1"/>
    <col min="770" max="770" width="3.54296875" style="15" customWidth="1"/>
    <col min="771" max="1015" width="9.1796875" style="15"/>
    <col min="1016" max="1016" width="8.7265625" style="15" customWidth="1"/>
    <col min="1017" max="1017" width="9.81640625" style="15" customWidth="1"/>
    <col min="1018" max="1018" width="14.453125" style="15" customWidth="1"/>
    <col min="1019" max="1019" width="7.26953125" style="15" customWidth="1"/>
    <col min="1020" max="1020" width="5.54296875" style="15" customWidth="1"/>
    <col min="1021" max="1021" width="9" style="15" customWidth="1"/>
    <col min="1022" max="1023" width="9.81640625" style="15" customWidth="1"/>
    <col min="1024" max="1024" width="11.1796875" style="15" customWidth="1"/>
    <col min="1025" max="1025" width="2.81640625" style="15" customWidth="1"/>
    <col min="1026" max="1026" width="3.54296875" style="15" customWidth="1"/>
    <col min="1027" max="1271" width="9.1796875" style="15"/>
    <col min="1272" max="1272" width="8.7265625" style="15" customWidth="1"/>
    <col min="1273" max="1273" width="9.81640625" style="15" customWidth="1"/>
    <col min="1274" max="1274" width="14.453125" style="15" customWidth="1"/>
    <col min="1275" max="1275" width="7.26953125" style="15" customWidth="1"/>
    <col min="1276" max="1276" width="5.54296875" style="15" customWidth="1"/>
    <col min="1277" max="1277" width="9" style="15" customWidth="1"/>
    <col min="1278" max="1279" width="9.81640625" style="15" customWidth="1"/>
    <col min="1280" max="1280" width="11.1796875" style="15" customWidth="1"/>
    <col min="1281" max="1281" width="2.81640625" style="15" customWidth="1"/>
    <col min="1282" max="1282" width="3.54296875" style="15" customWidth="1"/>
    <col min="1283" max="1527" width="9.1796875" style="15"/>
    <col min="1528" max="1528" width="8.7265625" style="15" customWidth="1"/>
    <col min="1529" max="1529" width="9.81640625" style="15" customWidth="1"/>
    <col min="1530" max="1530" width="14.453125" style="15" customWidth="1"/>
    <col min="1531" max="1531" width="7.26953125" style="15" customWidth="1"/>
    <col min="1532" max="1532" width="5.54296875" style="15" customWidth="1"/>
    <col min="1533" max="1533" width="9" style="15" customWidth="1"/>
    <col min="1534" max="1535" width="9.81640625" style="15" customWidth="1"/>
    <col min="1536" max="1536" width="11.1796875" style="15" customWidth="1"/>
    <col min="1537" max="1537" width="2.81640625" style="15" customWidth="1"/>
    <col min="1538" max="1538" width="3.54296875" style="15" customWidth="1"/>
    <col min="1539" max="1783" width="9.1796875" style="15"/>
    <col min="1784" max="1784" width="8.7265625" style="15" customWidth="1"/>
    <col min="1785" max="1785" width="9.81640625" style="15" customWidth="1"/>
    <col min="1786" max="1786" width="14.453125" style="15" customWidth="1"/>
    <col min="1787" max="1787" width="7.26953125" style="15" customWidth="1"/>
    <col min="1788" max="1788" width="5.54296875" style="15" customWidth="1"/>
    <col min="1789" max="1789" width="9" style="15" customWidth="1"/>
    <col min="1790" max="1791" width="9.81640625" style="15" customWidth="1"/>
    <col min="1792" max="1792" width="11.1796875" style="15" customWidth="1"/>
    <col min="1793" max="1793" width="2.81640625" style="15" customWidth="1"/>
    <col min="1794" max="1794" width="3.54296875" style="15" customWidth="1"/>
    <col min="1795" max="2039" width="9.1796875" style="15"/>
    <col min="2040" max="2040" width="8.7265625" style="15" customWidth="1"/>
    <col min="2041" max="2041" width="9.81640625" style="15" customWidth="1"/>
    <col min="2042" max="2042" width="14.453125" style="15" customWidth="1"/>
    <col min="2043" max="2043" width="7.26953125" style="15" customWidth="1"/>
    <col min="2044" max="2044" width="5.54296875" style="15" customWidth="1"/>
    <col min="2045" max="2045" width="9" style="15" customWidth="1"/>
    <col min="2046" max="2047" width="9.81640625" style="15" customWidth="1"/>
    <col min="2048" max="2048" width="11.1796875" style="15" customWidth="1"/>
    <col min="2049" max="2049" width="2.81640625" style="15" customWidth="1"/>
    <col min="2050" max="2050" width="3.54296875" style="15" customWidth="1"/>
    <col min="2051" max="2295" width="9.1796875" style="15"/>
    <col min="2296" max="2296" width="8.7265625" style="15" customWidth="1"/>
    <col min="2297" max="2297" width="9.81640625" style="15" customWidth="1"/>
    <col min="2298" max="2298" width="14.453125" style="15" customWidth="1"/>
    <col min="2299" max="2299" width="7.26953125" style="15" customWidth="1"/>
    <col min="2300" max="2300" width="5.54296875" style="15" customWidth="1"/>
    <col min="2301" max="2301" width="9" style="15" customWidth="1"/>
    <col min="2302" max="2303" width="9.81640625" style="15" customWidth="1"/>
    <col min="2304" max="2304" width="11.1796875" style="15" customWidth="1"/>
    <col min="2305" max="2305" width="2.81640625" style="15" customWidth="1"/>
    <col min="2306" max="2306" width="3.54296875" style="15" customWidth="1"/>
    <col min="2307" max="2551" width="9.1796875" style="15"/>
    <col min="2552" max="2552" width="8.7265625" style="15" customWidth="1"/>
    <col min="2553" max="2553" width="9.81640625" style="15" customWidth="1"/>
    <col min="2554" max="2554" width="14.453125" style="15" customWidth="1"/>
    <col min="2555" max="2555" width="7.26953125" style="15" customWidth="1"/>
    <col min="2556" max="2556" width="5.54296875" style="15" customWidth="1"/>
    <col min="2557" max="2557" width="9" style="15" customWidth="1"/>
    <col min="2558" max="2559" width="9.81640625" style="15" customWidth="1"/>
    <col min="2560" max="2560" width="11.1796875" style="15" customWidth="1"/>
    <col min="2561" max="2561" width="2.81640625" style="15" customWidth="1"/>
    <col min="2562" max="2562" width="3.54296875" style="15" customWidth="1"/>
    <col min="2563" max="2807" width="9.1796875" style="15"/>
    <col min="2808" max="2808" width="8.7265625" style="15" customWidth="1"/>
    <col min="2809" max="2809" width="9.81640625" style="15" customWidth="1"/>
    <col min="2810" max="2810" width="14.453125" style="15" customWidth="1"/>
    <col min="2811" max="2811" width="7.26953125" style="15" customWidth="1"/>
    <col min="2812" max="2812" width="5.54296875" style="15" customWidth="1"/>
    <col min="2813" max="2813" width="9" style="15" customWidth="1"/>
    <col min="2814" max="2815" width="9.81640625" style="15" customWidth="1"/>
    <col min="2816" max="2816" width="11.1796875" style="15" customWidth="1"/>
    <col min="2817" max="2817" width="2.81640625" style="15" customWidth="1"/>
    <col min="2818" max="2818" width="3.54296875" style="15" customWidth="1"/>
    <col min="2819" max="3063" width="9.1796875" style="15"/>
    <col min="3064" max="3064" width="8.7265625" style="15" customWidth="1"/>
    <col min="3065" max="3065" width="9.81640625" style="15" customWidth="1"/>
    <col min="3066" max="3066" width="14.453125" style="15" customWidth="1"/>
    <col min="3067" max="3067" width="7.26953125" style="15" customWidth="1"/>
    <col min="3068" max="3068" width="5.54296875" style="15" customWidth="1"/>
    <col min="3069" max="3069" width="9" style="15" customWidth="1"/>
    <col min="3070" max="3071" width="9.81640625" style="15" customWidth="1"/>
    <col min="3072" max="3072" width="11.1796875" style="15" customWidth="1"/>
    <col min="3073" max="3073" width="2.81640625" style="15" customWidth="1"/>
    <col min="3074" max="3074" width="3.54296875" style="15" customWidth="1"/>
    <col min="3075" max="3319" width="9.1796875" style="15"/>
    <col min="3320" max="3320" width="8.7265625" style="15" customWidth="1"/>
    <col min="3321" max="3321" width="9.81640625" style="15" customWidth="1"/>
    <col min="3322" max="3322" width="14.453125" style="15" customWidth="1"/>
    <col min="3323" max="3323" width="7.26953125" style="15" customWidth="1"/>
    <col min="3324" max="3324" width="5.54296875" style="15" customWidth="1"/>
    <col min="3325" max="3325" width="9" style="15" customWidth="1"/>
    <col min="3326" max="3327" width="9.81640625" style="15" customWidth="1"/>
    <col min="3328" max="3328" width="11.1796875" style="15" customWidth="1"/>
    <col min="3329" max="3329" width="2.81640625" style="15" customWidth="1"/>
    <col min="3330" max="3330" width="3.54296875" style="15" customWidth="1"/>
    <col min="3331" max="3575" width="9.1796875" style="15"/>
    <col min="3576" max="3576" width="8.7265625" style="15" customWidth="1"/>
    <col min="3577" max="3577" width="9.81640625" style="15" customWidth="1"/>
    <col min="3578" max="3578" width="14.453125" style="15" customWidth="1"/>
    <col min="3579" max="3579" width="7.26953125" style="15" customWidth="1"/>
    <col min="3580" max="3580" width="5.54296875" style="15" customWidth="1"/>
    <col min="3581" max="3581" width="9" style="15" customWidth="1"/>
    <col min="3582" max="3583" width="9.81640625" style="15" customWidth="1"/>
    <col min="3584" max="3584" width="11.1796875" style="15" customWidth="1"/>
    <col min="3585" max="3585" width="2.81640625" style="15" customWidth="1"/>
    <col min="3586" max="3586" width="3.54296875" style="15" customWidth="1"/>
    <col min="3587" max="3831" width="9.1796875" style="15"/>
    <col min="3832" max="3832" width="8.7265625" style="15" customWidth="1"/>
    <col min="3833" max="3833" width="9.81640625" style="15" customWidth="1"/>
    <col min="3834" max="3834" width="14.453125" style="15" customWidth="1"/>
    <col min="3835" max="3835" width="7.26953125" style="15" customWidth="1"/>
    <col min="3836" max="3836" width="5.54296875" style="15" customWidth="1"/>
    <col min="3837" max="3837" width="9" style="15" customWidth="1"/>
    <col min="3838" max="3839" width="9.81640625" style="15" customWidth="1"/>
    <col min="3840" max="3840" width="11.1796875" style="15" customWidth="1"/>
    <col min="3841" max="3841" width="2.81640625" style="15" customWidth="1"/>
    <col min="3842" max="3842" width="3.54296875" style="15" customWidth="1"/>
    <col min="3843" max="4087" width="9.1796875" style="15"/>
    <col min="4088" max="4088" width="8.7265625" style="15" customWidth="1"/>
    <col min="4089" max="4089" width="9.81640625" style="15" customWidth="1"/>
    <col min="4090" max="4090" width="14.453125" style="15" customWidth="1"/>
    <col min="4091" max="4091" width="7.26953125" style="15" customWidth="1"/>
    <col min="4092" max="4092" width="5.54296875" style="15" customWidth="1"/>
    <col min="4093" max="4093" width="9" style="15" customWidth="1"/>
    <col min="4094" max="4095" width="9.81640625" style="15" customWidth="1"/>
    <col min="4096" max="4096" width="11.1796875" style="15" customWidth="1"/>
    <col min="4097" max="4097" width="2.81640625" style="15" customWidth="1"/>
    <col min="4098" max="4098" width="3.54296875" style="15" customWidth="1"/>
    <col min="4099" max="4343" width="9.1796875" style="15"/>
    <col min="4344" max="4344" width="8.7265625" style="15" customWidth="1"/>
    <col min="4345" max="4345" width="9.81640625" style="15" customWidth="1"/>
    <col min="4346" max="4346" width="14.453125" style="15" customWidth="1"/>
    <col min="4347" max="4347" width="7.26953125" style="15" customWidth="1"/>
    <col min="4348" max="4348" width="5.54296875" style="15" customWidth="1"/>
    <col min="4349" max="4349" width="9" style="15" customWidth="1"/>
    <col min="4350" max="4351" width="9.81640625" style="15" customWidth="1"/>
    <col min="4352" max="4352" width="11.1796875" style="15" customWidth="1"/>
    <col min="4353" max="4353" width="2.81640625" style="15" customWidth="1"/>
    <col min="4354" max="4354" width="3.54296875" style="15" customWidth="1"/>
    <col min="4355" max="4599" width="9.1796875" style="15"/>
    <col min="4600" max="4600" width="8.7265625" style="15" customWidth="1"/>
    <col min="4601" max="4601" width="9.81640625" style="15" customWidth="1"/>
    <col min="4602" max="4602" width="14.453125" style="15" customWidth="1"/>
    <col min="4603" max="4603" width="7.26953125" style="15" customWidth="1"/>
    <col min="4604" max="4604" width="5.54296875" style="15" customWidth="1"/>
    <col min="4605" max="4605" width="9" style="15" customWidth="1"/>
    <col min="4606" max="4607" width="9.81640625" style="15" customWidth="1"/>
    <col min="4608" max="4608" width="11.1796875" style="15" customWidth="1"/>
    <col min="4609" max="4609" width="2.81640625" style="15" customWidth="1"/>
    <col min="4610" max="4610" width="3.54296875" style="15" customWidth="1"/>
    <col min="4611" max="4855" width="9.1796875" style="15"/>
    <col min="4856" max="4856" width="8.7265625" style="15" customWidth="1"/>
    <col min="4857" max="4857" width="9.81640625" style="15" customWidth="1"/>
    <col min="4858" max="4858" width="14.453125" style="15" customWidth="1"/>
    <col min="4859" max="4859" width="7.26953125" style="15" customWidth="1"/>
    <col min="4860" max="4860" width="5.54296875" style="15" customWidth="1"/>
    <col min="4861" max="4861" width="9" style="15" customWidth="1"/>
    <col min="4862" max="4863" width="9.81640625" style="15" customWidth="1"/>
    <col min="4864" max="4864" width="11.1796875" style="15" customWidth="1"/>
    <col min="4865" max="4865" width="2.81640625" style="15" customWidth="1"/>
    <col min="4866" max="4866" width="3.54296875" style="15" customWidth="1"/>
    <col min="4867" max="5111" width="9.1796875" style="15"/>
    <col min="5112" max="5112" width="8.7265625" style="15" customWidth="1"/>
    <col min="5113" max="5113" width="9.81640625" style="15" customWidth="1"/>
    <col min="5114" max="5114" width="14.453125" style="15" customWidth="1"/>
    <col min="5115" max="5115" width="7.26953125" style="15" customWidth="1"/>
    <col min="5116" max="5116" width="5.54296875" style="15" customWidth="1"/>
    <col min="5117" max="5117" width="9" style="15" customWidth="1"/>
    <col min="5118" max="5119" width="9.81640625" style="15" customWidth="1"/>
    <col min="5120" max="5120" width="11.1796875" style="15" customWidth="1"/>
    <col min="5121" max="5121" width="2.81640625" style="15" customWidth="1"/>
    <col min="5122" max="5122" width="3.54296875" style="15" customWidth="1"/>
    <col min="5123" max="5367" width="9.1796875" style="15"/>
    <col min="5368" max="5368" width="8.7265625" style="15" customWidth="1"/>
    <col min="5369" max="5369" width="9.81640625" style="15" customWidth="1"/>
    <col min="5370" max="5370" width="14.453125" style="15" customWidth="1"/>
    <col min="5371" max="5371" width="7.26953125" style="15" customWidth="1"/>
    <col min="5372" max="5372" width="5.54296875" style="15" customWidth="1"/>
    <col min="5373" max="5373" width="9" style="15" customWidth="1"/>
    <col min="5374" max="5375" width="9.81640625" style="15" customWidth="1"/>
    <col min="5376" max="5376" width="11.1796875" style="15" customWidth="1"/>
    <col min="5377" max="5377" width="2.81640625" style="15" customWidth="1"/>
    <col min="5378" max="5378" width="3.54296875" style="15" customWidth="1"/>
    <col min="5379" max="5623" width="9.1796875" style="15"/>
    <col min="5624" max="5624" width="8.7265625" style="15" customWidth="1"/>
    <col min="5625" max="5625" width="9.81640625" style="15" customWidth="1"/>
    <col min="5626" max="5626" width="14.453125" style="15" customWidth="1"/>
    <col min="5627" max="5627" width="7.26953125" style="15" customWidth="1"/>
    <col min="5628" max="5628" width="5.54296875" style="15" customWidth="1"/>
    <col min="5629" max="5629" width="9" style="15" customWidth="1"/>
    <col min="5630" max="5631" width="9.81640625" style="15" customWidth="1"/>
    <col min="5632" max="5632" width="11.1796875" style="15" customWidth="1"/>
    <col min="5633" max="5633" width="2.81640625" style="15" customWidth="1"/>
    <col min="5634" max="5634" width="3.54296875" style="15" customWidth="1"/>
    <col min="5635" max="5879" width="9.1796875" style="15"/>
    <col min="5880" max="5880" width="8.7265625" style="15" customWidth="1"/>
    <col min="5881" max="5881" width="9.81640625" style="15" customWidth="1"/>
    <col min="5882" max="5882" width="14.453125" style="15" customWidth="1"/>
    <col min="5883" max="5883" width="7.26953125" style="15" customWidth="1"/>
    <col min="5884" max="5884" width="5.54296875" style="15" customWidth="1"/>
    <col min="5885" max="5885" width="9" style="15" customWidth="1"/>
    <col min="5886" max="5887" width="9.81640625" style="15" customWidth="1"/>
    <col min="5888" max="5888" width="11.1796875" style="15" customWidth="1"/>
    <col min="5889" max="5889" width="2.81640625" style="15" customWidth="1"/>
    <col min="5890" max="5890" width="3.54296875" style="15" customWidth="1"/>
    <col min="5891" max="6135" width="9.1796875" style="15"/>
    <col min="6136" max="6136" width="8.7265625" style="15" customWidth="1"/>
    <col min="6137" max="6137" width="9.81640625" style="15" customWidth="1"/>
    <col min="6138" max="6138" width="14.453125" style="15" customWidth="1"/>
    <col min="6139" max="6139" width="7.26953125" style="15" customWidth="1"/>
    <col min="6140" max="6140" width="5.54296875" style="15" customWidth="1"/>
    <col min="6141" max="6141" width="9" style="15" customWidth="1"/>
    <col min="6142" max="6143" width="9.81640625" style="15" customWidth="1"/>
    <col min="6144" max="6144" width="11.1796875" style="15" customWidth="1"/>
    <col min="6145" max="6145" width="2.81640625" style="15" customWidth="1"/>
    <col min="6146" max="6146" width="3.54296875" style="15" customWidth="1"/>
    <col min="6147" max="6391" width="9.1796875" style="15"/>
    <col min="6392" max="6392" width="8.7265625" style="15" customWidth="1"/>
    <col min="6393" max="6393" width="9.81640625" style="15" customWidth="1"/>
    <col min="6394" max="6394" width="14.453125" style="15" customWidth="1"/>
    <col min="6395" max="6395" width="7.26953125" style="15" customWidth="1"/>
    <col min="6396" max="6396" width="5.54296875" style="15" customWidth="1"/>
    <col min="6397" max="6397" width="9" style="15" customWidth="1"/>
    <col min="6398" max="6399" width="9.81640625" style="15" customWidth="1"/>
    <col min="6400" max="6400" width="11.1796875" style="15" customWidth="1"/>
    <col min="6401" max="6401" width="2.81640625" style="15" customWidth="1"/>
    <col min="6402" max="6402" width="3.54296875" style="15" customWidth="1"/>
    <col min="6403" max="6647" width="9.1796875" style="15"/>
    <col min="6648" max="6648" width="8.7265625" style="15" customWidth="1"/>
    <col min="6649" max="6649" width="9.81640625" style="15" customWidth="1"/>
    <col min="6650" max="6650" width="14.453125" style="15" customWidth="1"/>
    <col min="6651" max="6651" width="7.26953125" style="15" customWidth="1"/>
    <col min="6652" max="6652" width="5.54296875" style="15" customWidth="1"/>
    <col min="6653" max="6653" width="9" style="15" customWidth="1"/>
    <col min="6654" max="6655" width="9.81640625" style="15" customWidth="1"/>
    <col min="6656" max="6656" width="11.1796875" style="15" customWidth="1"/>
    <col min="6657" max="6657" width="2.81640625" style="15" customWidth="1"/>
    <col min="6658" max="6658" width="3.54296875" style="15" customWidth="1"/>
    <col min="6659" max="6903" width="9.1796875" style="15"/>
    <col min="6904" max="6904" width="8.7265625" style="15" customWidth="1"/>
    <col min="6905" max="6905" width="9.81640625" style="15" customWidth="1"/>
    <col min="6906" max="6906" width="14.453125" style="15" customWidth="1"/>
    <col min="6907" max="6907" width="7.26953125" style="15" customWidth="1"/>
    <col min="6908" max="6908" width="5.54296875" style="15" customWidth="1"/>
    <col min="6909" max="6909" width="9" style="15" customWidth="1"/>
    <col min="6910" max="6911" width="9.81640625" style="15" customWidth="1"/>
    <col min="6912" max="6912" width="11.1796875" style="15" customWidth="1"/>
    <col min="6913" max="6913" width="2.81640625" style="15" customWidth="1"/>
    <col min="6914" max="6914" width="3.54296875" style="15" customWidth="1"/>
    <col min="6915" max="7159" width="9.1796875" style="15"/>
    <col min="7160" max="7160" width="8.7265625" style="15" customWidth="1"/>
    <col min="7161" max="7161" width="9.81640625" style="15" customWidth="1"/>
    <col min="7162" max="7162" width="14.453125" style="15" customWidth="1"/>
    <col min="7163" max="7163" width="7.26953125" style="15" customWidth="1"/>
    <col min="7164" max="7164" width="5.54296875" style="15" customWidth="1"/>
    <col min="7165" max="7165" width="9" style="15" customWidth="1"/>
    <col min="7166" max="7167" width="9.81640625" style="15" customWidth="1"/>
    <col min="7168" max="7168" width="11.1796875" style="15" customWidth="1"/>
    <col min="7169" max="7169" width="2.81640625" style="15" customWidth="1"/>
    <col min="7170" max="7170" width="3.54296875" style="15" customWidth="1"/>
    <col min="7171" max="7415" width="9.1796875" style="15"/>
    <col min="7416" max="7416" width="8.7265625" style="15" customWidth="1"/>
    <col min="7417" max="7417" width="9.81640625" style="15" customWidth="1"/>
    <col min="7418" max="7418" width="14.453125" style="15" customWidth="1"/>
    <col min="7419" max="7419" width="7.26953125" style="15" customWidth="1"/>
    <col min="7420" max="7420" width="5.54296875" style="15" customWidth="1"/>
    <col min="7421" max="7421" width="9" style="15" customWidth="1"/>
    <col min="7422" max="7423" width="9.81640625" style="15" customWidth="1"/>
    <col min="7424" max="7424" width="11.1796875" style="15" customWidth="1"/>
    <col min="7425" max="7425" width="2.81640625" style="15" customWidth="1"/>
    <col min="7426" max="7426" width="3.54296875" style="15" customWidth="1"/>
    <col min="7427" max="7671" width="9.1796875" style="15"/>
    <col min="7672" max="7672" width="8.7265625" style="15" customWidth="1"/>
    <col min="7673" max="7673" width="9.81640625" style="15" customWidth="1"/>
    <col min="7674" max="7674" width="14.453125" style="15" customWidth="1"/>
    <col min="7675" max="7675" width="7.26953125" style="15" customWidth="1"/>
    <col min="7676" max="7676" width="5.54296875" style="15" customWidth="1"/>
    <col min="7677" max="7677" width="9" style="15" customWidth="1"/>
    <col min="7678" max="7679" width="9.81640625" style="15" customWidth="1"/>
    <col min="7680" max="7680" width="11.1796875" style="15" customWidth="1"/>
    <col min="7681" max="7681" width="2.81640625" style="15" customWidth="1"/>
    <col min="7682" max="7682" width="3.54296875" style="15" customWidth="1"/>
    <col min="7683" max="7927" width="9.1796875" style="15"/>
    <col min="7928" max="7928" width="8.7265625" style="15" customWidth="1"/>
    <col min="7929" max="7929" width="9.81640625" style="15" customWidth="1"/>
    <col min="7930" max="7930" width="14.453125" style="15" customWidth="1"/>
    <col min="7931" max="7931" width="7.26953125" style="15" customWidth="1"/>
    <col min="7932" max="7932" width="5.54296875" style="15" customWidth="1"/>
    <col min="7933" max="7933" width="9" style="15" customWidth="1"/>
    <col min="7934" max="7935" width="9.81640625" style="15" customWidth="1"/>
    <col min="7936" max="7936" width="11.1796875" style="15" customWidth="1"/>
    <col min="7937" max="7937" width="2.81640625" style="15" customWidth="1"/>
    <col min="7938" max="7938" width="3.54296875" style="15" customWidth="1"/>
    <col min="7939" max="8183" width="9.1796875" style="15"/>
    <col min="8184" max="8184" width="8.7265625" style="15" customWidth="1"/>
    <col min="8185" max="8185" width="9.81640625" style="15" customWidth="1"/>
    <col min="8186" max="8186" width="14.453125" style="15" customWidth="1"/>
    <col min="8187" max="8187" width="7.26953125" style="15" customWidth="1"/>
    <col min="8188" max="8188" width="5.54296875" style="15" customWidth="1"/>
    <col min="8189" max="8189" width="9" style="15" customWidth="1"/>
    <col min="8190" max="8191" width="9.81640625" style="15" customWidth="1"/>
    <col min="8192" max="8192" width="11.1796875" style="15" customWidth="1"/>
    <col min="8193" max="8193" width="2.81640625" style="15" customWidth="1"/>
    <col min="8194" max="8194" width="3.54296875" style="15" customWidth="1"/>
    <col min="8195" max="8439" width="9.1796875" style="15"/>
    <col min="8440" max="8440" width="8.7265625" style="15" customWidth="1"/>
    <col min="8441" max="8441" width="9.81640625" style="15" customWidth="1"/>
    <col min="8442" max="8442" width="14.453125" style="15" customWidth="1"/>
    <col min="8443" max="8443" width="7.26953125" style="15" customWidth="1"/>
    <col min="8444" max="8444" width="5.54296875" style="15" customWidth="1"/>
    <col min="8445" max="8445" width="9" style="15" customWidth="1"/>
    <col min="8446" max="8447" width="9.81640625" style="15" customWidth="1"/>
    <col min="8448" max="8448" width="11.1796875" style="15" customWidth="1"/>
    <col min="8449" max="8449" width="2.81640625" style="15" customWidth="1"/>
    <col min="8450" max="8450" width="3.54296875" style="15" customWidth="1"/>
    <col min="8451" max="8695" width="9.1796875" style="15"/>
    <col min="8696" max="8696" width="8.7265625" style="15" customWidth="1"/>
    <col min="8697" max="8697" width="9.81640625" style="15" customWidth="1"/>
    <col min="8698" max="8698" width="14.453125" style="15" customWidth="1"/>
    <col min="8699" max="8699" width="7.26953125" style="15" customWidth="1"/>
    <col min="8700" max="8700" width="5.54296875" style="15" customWidth="1"/>
    <col min="8701" max="8701" width="9" style="15" customWidth="1"/>
    <col min="8702" max="8703" width="9.81640625" style="15" customWidth="1"/>
    <col min="8704" max="8704" width="11.1796875" style="15" customWidth="1"/>
    <col min="8705" max="8705" width="2.81640625" style="15" customWidth="1"/>
    <col min="8706" max="8706" width="3.54296875" style="15" customWidth="1"/>
    <col min="8707" max="8951" width="9.1796875" style="15"/>
    <col min="8952" max="8952" width="8.7265625" style="15" customWidth="1"/>
    <col min="8953" max="8953" width="9.81640625" style="15" customWidth="1"/>
    <col min="8954" max="8954" width="14.453125" style="15" customWidth="1"/>
    <col min="8955" max="8955" width="7.26953125" style="15" customWidth="1"/>
    <col min="8956" max="8956" width="5.54296875" style="15" customWidth="1"/>
    <col min="8957" max="8957" width="9" style="15" customWidth="1"/>
    <col min="8958" max="8959" width="9.81640625" style="15" customWidth="1"/>
    <col min="8960" max="8960" width="11.1796875" style="15" customWidth="1"/>
    <col min="8961" max="8961" width="2.81640625" style="15" customWidth="1"/>
    <col min="8962" max="8962" width="3.54296875" style="15" customWidth="1"/>
    <col min="8963" max="9207" width="9.1796875" style="15"/>
    <col min="9208" max="9208" width="8.7265625" style="15" customWidth="1"/>
    <col min="9209" max="9209" width="9.81640625" style="15" customWidth="1"/>
    <col min="9210" max="9210" width="14.453125" style="15" customWidth="1"/>
    <col min="9211" max="9211" width="7.26953125" style="15" customWidth="1"/>
    <col min="9212" max="9212" width="5.54296875" style="15" customWidth="1"/>
    <col min="9213" max="9213" width="9" style="15" customWidth="1"/>
    <col min="9214" max="9215" width="9.81640625" style="15" customWidth="1"/>
    <col min="9216" max="9216" width="11.1796875" style="15" customWidth="1"/>
    <col min="9217" max="9217" width="2.81640625" style="15" customWidth="1"/>
    <col min="9218" max="9218" width="3.54296875" style="15" customWidth="1"/>
    <col min="9219" max="9463" width="9.1796875" style="15"/>
    <col min="9464" max="9464" width="8.7265625" style="15" customWidth="1"/>
    <col min="9465" max="9465" width="9.81640625" style="15" customWidth="1"/>
    <col min="9466" max="9466" width="14.453125" style="15" customWidth="1"/>
    <col min="9467" max="9467" width="7.26953125" style="15" customWidth="1"/>
    <col min="9468" max="9468" width="5.54296875" style="15" customWidth="1"/>
    <col min="9469" max="9469" width="9" style="15" customWidth="1"/>
    <col min="9470" max="9471" width="9.81640625" style="15" customWidth="1"/>
    <col min="9472" max="9472" width="11.1796875" style="15" customWidth="1"/>
    <col min="9473" max="9473" width="2.81640625" style="15" customWidth="1"/>
    <col min="9474" max="9474" width="3.54296875" style="15" customWidth="1"/>
    <col min="9475" max="9719" width="9.1796875" style="15"/>
    <col min="9720" max="9720" width="8.7265625" style="15" customWidth="1"/>
    <col min="9721" max="9721" width="9.81640625" style="15" customWidth="1"/>
    <col min="9722" max="9722" width="14.453125" style="15" customWidth="1"/>
    <col min="9723" max="9723" width="7.26953125" style="15" customWidth="1"/>
    <col min="9724" max="9724" width="5.54296875" style="15" customWidth="1"/>
    <col min="9725" max="9725" width="9" style="15" customWidth="1"/>
    <col min="9726" max="9727" width="9.81640625" style="15" customWidth="1"/>
    <col min="9728" max="9728" width="11.1796875" style="15" customWidth="1"/>
    <col min="9729" max="9729" width="2.81640625" style="15" customWidth="1"/>
    <col min="9730" max="9730" width="3.54296875" style="15" customWidth="1"/>
    <col min="9731" max="9975" width="9.1796875" style="15"/>
    <col min="9976" max="9976" width="8.7265625" style="15" customWidth="1"/>
    <col min="9977" max="9977" width="9.81640625" style="15" customWidth="1"/>
    <col min="9978" max="9978" width="14.453125" style="15" customWidth="1"/>
    <col min="9979" max="9979" width="7.26953125" style="15" customWidth="1"/>
    <col min="9980" max="9980" width="5.54296875" style="15" customWidth="1"/>
    <col min="9981" max="9981" width="9" style="15" customWidth="1"/>
    <col min="9982" max="9983" width="9.81640625" style="15" customWidth="1"/>
    <col min="9984" max="9984" width="11.1796875" style="15" customWidth="1"/>
    <col min="9985" max="9985" width="2.81640625" style="15" customWidth="1"/>
    <col min="9986" max="9986" width="3.54296875" style="15" customWidth="1"/>
    <col min="9987" max="10231" width="9.1796875" style="15"/>
    <col min="10232" max="10232" width="8.7265625" style="15" customWidth="1"/>
    <col min="10233" max="10233" width="9.81640625" style="15" customWidth="1"/>
    <col min="10234" max="10234" width="14.453125" style="15" customWidth="1"/>
    <col min="10235" max="10235" width="7.26953125" style="15" customWidth="1"/>
    <col min="10236" max="10236" width="5.54296875" style="15" customWidth="1"/>
    <col min="10237" max="10237" width="9" style="15" customWidth="1"/>
    <col min="10238" max="10239" width="9.81640625" style="15" customWidth="1"/>
    <col min="10240" max="10240" width="11.1796875" style="15" customWidth="1"/>
    <col min="10241" max="10241" width="2.81640625" style="15" customWidth="1"/>
    <col min="10242" max="10242" width="3.54296875" style="15" customWidth="1"/>
    <col min="10243" max="10487" width="9.1796875" style="15"/>
    <col min="10488" max="10488" width="8.7265625" style="15" customWidth="1"/>
    <col min="10489" max="10489" width="9.81640625" style="15" customWidth="1"/>
    <col min="10490" max="10490" width="14.453125" style="15" customWidth="1"/>
    <col min="10491" max="10491" width="7.26953125" style="15" customWidth="1"/>
    <col min="10492" max="10492" width="5.54296875" style="15" customWidth="1"/>
    <col min="10493" max="10493" width="9" style="15" customWidth="1"/>
    <col min="10494" max="10495" width="9.81640625" style="15" customWidth="1"/>
    <col min="10496" max="10496" width="11.1796875" style="15" customWidth="1"/>
    <col min="10497" max="10497" width="2.81640625" style="15" customWidth="1"/>
    <col min="10498" max="10498" width="3.54296875" style="15" customWidth="1"/>
    <col min="10499" max="10743" width="9.1796875" style="15"/>
    <col min="10744" max="10744" width="8.7265625" style="15" customWidth="1"/>
    <col min="10745" max="10745" width="9.81640625" style="15" customWidth="1"/>
    <col min="10746" max="10746" width="14.453125" style="15" customWidth="1"/>
    <col min="10747" max="10747" width="7.26953125" style="15" customWidth="1"/>
    <col min="10748" max="10748" width="5.54296875" style="15" customWidth="1"/>
    <col min="10749" max="10749" width="9" style="15" customWidth="1"/>
    <col min="10750" max="10751" width="9.81640625" style="15" customWidth="1"/>
    <col min="10752" max="10752" width="11.1796875" style="15" customWidth="1"/>
    <col min="10753" max="10753" width="2.81640625" style="15" customWidth="1"/>
    <col min="10754" max="10754" width="3.54296875" style="15" customWidth="1"/>
    <col min="10755" max="10999" width="9.1796875" style="15"/>
    <col min="11000" max="11000" width="8.7265625" style="15" customWidth="1"/>
    <col min="11001" max="11001" width="9.81640625" style="15" customWidth="1"/>
    <col min="11002" max="11002" width="14.453125" style="15" customWidth="1"/>
    <col min="11003" max="11003" width="7.26953125" style="15" customWidth="1"/>
    <col min="11004" max="11004" width="5.54296875" style="15" customWidth="1"/>
    <col min="11005" max="11005" width="9" style="15" customWidth="1"/>
    <col min="11006" max="11007" width="9.81640625" style="15" customWidth="1"/>
    <col min="11008" max="11008" width="11.1796875" style="15" customWidth="1"/>
    <col min="11009" max="11009" width="2.81640625" style="15" customWidth="1"/>
    <col min="11010" max="11010" width="3.54296875" style="15" customWidth="1"/>
    <col min="11011" max="11255" width="9.1796875" style="15"/>
    <col min="11256" max="11256" width="8.7265625" style="15" customWidth="1"/>
    <col min="11257" max="11257" width="9.81640625" style="15" customWidth="1"/>
    <col min="11258" max="11258" width="14.453125" style="15" customWidth="1"/>
    <col min="11259" max="11259" width="7.26953125" style="15" customWidth="1"/>
    <col min="11260" max="11260" width="5.54296875" style="15" customWidth="1"/>
    <col min="11261" max="11261" width="9" style="15" customWidth="1"/>
    <col min="11262" max="11263" width="9.81640625" style="15" customWidth="1"/>
    <col min="11264" max="11264" width="11.1796875" style="15" customWidth="1"/>
    <col min="11265" max="11265" width="2.81640625" style="15" customWidth="1"/>
    <col min="11266" max="11266" width="3.54296875" style="15" customWidth="1"/>
    <col min="11267" max="11511" width="9.1796875" style="15"/>
    <col min="11512" max="11512" width="8.7265625" style="15" customWidth="1"/>
    <col min="11513" max="11513" width="9.81640625" style="15" customWidth="1"/>
    <col min="11514" max="11514" width="14.453125" style="15" customWidth="1"/>
    <col min="11515" max="11515" width="7.26953125" style="15" customWidth="1"/>
    <col min="11516" max="11516" width="5.54296875" style="15" customWidth="1"/>
    <col min="11517" max="11517" width="9" style="15" customWidth="1"/>
    <col min="11518" max="11519" width="9.81640625" style="15" customWidth="1"/>
    <col min="11520" max="11520" width="11.1796875" style="15" customWidth="1"/>
    <col min="11521" max="11521" width="2.81640625" style="15" customWidth="1"/>
    <col min="11522" max="11522" width="3.54296875" style="15" customWidth="1"/>
    <col min="11523" max="11767" width="9.1796875" style="15"/>
    <col min="11768" max="11768" width="8.7265625" style="15" customWidth="1"/>
    <col min="11769" max="11769" width="9.81640625" style="15" customWidth="1"/>
    <col min="11770" max="11770" width="14.453125" style="15" customWidth="1"/>
    <col min="11771" max="11771" width="7.26953125" style="15" customWidth="1"/>
    <col min="11772" max="11772" width="5.54296875" style="15" customWidth="1"/>
    <col min="11773" max="11773" width="9" style="15" customWidth="1"/>
    <col min="11774" max="11775" width="9.81640625" style="15" customWidth="1"/>
    <col min="11776" max="11776" width="11.1796875" style="15" customWidth="1"/>
    <col min="11777" max="11777" width="2.81640625" style="15" customWidth="1"/>
    <col min="11778" max="11778" width="3.54296875" style="15" customWidth="1"/>
    <col min="11779" max="12023" width="9.1796875" style="15"/>
    <col min="12024" max="12024" width="8.7265625" style="15" customWidth="1"/>
    <col min="12025" max="12025" width="9.81640625" style="15" customWidth="1"/>
    <col min="12026" max="12026" width="14.453125" style="15" customWidth="1"/>
    <col min="12027" max="12027" width="7.26953125" style="15" customWidth="1"/>
    <col min="12028" max="12028" width="5.54296875" style="15" customWidth="1"/>
    <col min="12029" max="12029" width="9" style="15" customWidth="1"/>
    <col min="12030" max="12031" width="9.81640625" style="15" customWidth="1"/>
    <col min="12032" max="12032" width="11.1796875" style="15" customWidth="1"/>
    <col min="12033" max="12033" width="2.81640625" style="15" customWidth="1"/>
    <col min="12034" max="12034" width="3.54296875" style="15" customWidth="1"/>
    <col min="12035" max="12279" width="9.1796875" style="15"/>
    <col min="12280" max="12280" width="8.7265625" style="15" customWidth="1"/>
    <col min="12281" max="12281" width="9.81640625" style="15" customWidth="1"/>
    <col min="12282" max="12282" width="14.453125" style="15" customWidth="1"/>
    <col min="12283" max="12283" width="7.26953125" style="15" customWidth="1"/>
    <col min="12284" max="12284" width="5.54296875" style="15" customWidth="1"/>
    <col min="12285" max="12285" width="9" style="15" customWidth="1"/>
    <col min="12286" max="12287" width="9.81640625" style="15" customWidth="1"/>
    <col min="12288" max="12288" width="11.1796875" style="15" customWidth="1"/>
    <col min="12289" max="12289" width="2.81640625" style="15" customWidth="1"/>
    <col min="12290" max="12290" width="3.54296875" style="15" customWidth="1"/>
    <col min="12291" max="12535" width="9.1796875" style="15"/>
    <col min="12536" max="12536" width="8.7265625" style="15" customWidth="1"/>
    <col min="12537" max="12537" width="9.81640625" style="15" customWidth="1"/>
    <col min="12538" max="12538" width="14.453125" style="15" customWidth="1"/>
    <col min="12539" max="12539" width="7.26953125" style="15" customWidth="1"/>
    <col min="12540" max="12540" width="5.54296875" style="15" customWidth="1"/>
    <col min="12541" max="12541" width="9" style="15" customWidth="1"/>
    <col min="12542" max="12543" width="9.81640625" style="15" customWidth="1"/>
    <col min="12544" max="12544" width="11.1796875" style="15" customWidth="1"/>
    <col min="12545" max="12545" width="2.81640625" style="15" customWidth="1"/>
    <col min="12546" max="12546" width="3.54296875" style="15" customWidth="1"/>
    <col min="12547" max="12791" width="9.1796875" style="15"/>
    <col min="12792" max="12792" width="8.7265625" style="15" customWidth="1"/>
    <col min="12793" max="12793" width="9.81640625" style="15" customWidth="1"/>
    <col min="12794" max="12794" width="14.453125" style="15" customWidth="1"/>
    <col min="12795" max="12795" width="7.26953125" style="15" customWidth="1"/>
    <col min="12796" max="12796" width="5.54296875" style="15" customWidth="1"/>
    <col min="12797" max="12797" width="9" style="15" customWidth="1"/>
    <col min="12798" max="12799" width="9.81640625" style="15" customWidth="1"/>
    <col min="12800" max="12800" width="11.1796875" style="15" customWidth="1"/>
    <col min="12801" max="12801" width="2.81640625" style="15" customWidth="1"/>
    <col min="12802" max="12802" width="3.54296875" style="15" customWidth="1"/>
    <col min="12803" max="13047" width="9.1796875" style="15"/>
    <col min="13048" max="13048" width="8.7265625" style="15" customWidth="1"/>
    <col min="13049" max="13049" width="9.81640625" style="15" customWidth="1"/>
    <col min="13050" max="13050" width="14.453125" style="15" customWidth="1"/>
    <col min="13051" max="13051" width="7.26953125" style="15" customWidth="1"/>
    <col min="13052" max="13052" width="5.54296875" style="15" customWidth="1"/>
    <col min="13053" max="13053" width="9" style="15" customWidth="1"/>
    <col min="13054" max="13055" width="9.81640625" style="15" customWidth="1"/>
    <col min="13056" max="13056" width="11.1796875" style="15" customWidth="1"/>
    <col min="13057" max="13057" width="2.81640625" style="15" customWidth="1"/>
    <col min="13058" max="13058" width="3.54296875" style="15" customWidth="1"/>
    <col min="13059" max="13303" width="9.1796875" style="15"/>
    <col min="13304" max="13304" width="8.7265625" style="15" customWidth="1"/>
    <col min="13305" max="13305" width="9.81640625" style="15" customWidth="1"/>
    <col min="13306" max="13306" width="14.453125" style="15" customWidth="1"/>
    <col min="13307" max="13307" width="7.26953125" style="15" customWidth="1"/>
    <col min="13308" max="13308" width="5.54296875" style="15" customWidth="1"/>
    <col min="13309" max="13309" width="9" style="15" customWidth="1"/>
    <col min="13310" max="13311" width="9.81640625" style="15" customWidth="1"/>
    <col min="13312" max="13312" width="11.1796875" style="15" customWidth="1"/>
    <col min="13313" max="13313" width="2.81640625" style="15" customWidth="1"/>
    <col min="13314" max="13314" width="3.54296875" style="15" customWidth="1"/>
    <col min="13315" max="13559" width="9.1796875" style="15"/>
    <col min="13560" max="13560" width="8.7265625" style="15" customWidth="1"/>
    <col min="13561" max="13561" width="9.81640625" style="15" customWidth="1"/>
    <col min="13562" max="13562" width="14.453125" style="15" customWidth="1"/>
    <col min="13563" max="13563" width="7.26953125" style="15" customWidth="1"/>
    <col min="13564" max="13564" width="5.54296875" style="15" customWidth="1"/>
    <col min="13565" max="13565" width="9" style="15" customWidth="1"/>
    <col min="13566" max="13567" width="9.81640625" style="15" customWidth="1"/>
    <col min="13568" max="13568" width="11.1796875" style="15" customWidth="1"/>
    <col min="13569" max="13569" width="2.81640625" style="15" customWidth="1"/>
    <col min="13570" max="13570" width="3.54296875" style="15" customWidth="1"/>
    <col min="13571" max="13815" width="9.1796875" style="15"/>
    <col min="13816" max="13816" width="8.7265625" style="15" customWidth="1"/>
    <col min="13817" max="13817" width="9.81640625" style="15" customWidth="1"/>
    <col min="13818" max="13818" width="14.453125" style="15" customWidth="1"/>
    <col min="13819" max="13819" width="7.26953125" style="15" customWidth="1"/>
    <col min="13820" max="13820" width="5.54296875" style="15" customWidth="1"/>
    <col min="13821" max="13821" width="9" style="15" customWidth="1"/>
    <col min="13822" max="13823" width="9.81640625" style="15" customWidth="1"/>
    <col min="13824" max="13824" width="11.1796875" style="15" customWidth="1"/>
    <col min="13825" max="13825" width="2.81640625" style="15" customWidth="1"/>
    <col min="13826" max="13826" width="3.54296875" style="15" customWidth="1"/>
    <col min="13827" max="14071" width="9.1796875" style="15"/>
    <col min="14072" max="14072" width="8.7265625" style="15" customWidth="1"/>
    <col min="14073" max="14073" width="9.81640625" style="15" customWidth="1"/>
    <col min="14074" max="14074" width="14.453125" style="15" customWidth="1"/>
    <col min="14075" max="14075" width="7.26953125" style="15" customWidth="1"/>
    <col min="14076" max="14076" width="5.54296875" style="15" customWidth="1"/>
    <col min="14077" max="14077" width="9" style="15" customWidth="1"/>
    <col min="14078" max="14079" width="9.81640625" style="15" customWidth="1"/>
    <col min="14080" max="14080" width="11.1796875" style="15" customWidth="1"/>
    <col min="14081" max="14081" width="2.81640625" style="15" customWidth="1"/>
    <col min="14082" max="14082" width="3.54296875" style="15" customWidth="1"/>
    <col min="14083" max="14327" width="9.1796875" style="15"/>
    <col min="14328" max="14328" width="8.7265625" style="15" customWidth="1"/>
    <col min="14329" max="14329" width="9.81640625" style="15" customWidth="1"/>
    <col min="14330" max="14330" width="14.453125" style="15" customWidth="1"/>
    <col min="14331" max="14331" width="7.26953125" style="15" customWidth="1"/>
    <col min="14332" max="14332" width="5.54296875" style="15" customWidth="1"/>
    <col min="14333" max="14333" width="9" style="15" customWidth="1"/>
    <col min="14334" max="14335" width="9.81640625" style="15" customWidth="1"/>
    <col min="14336" max="14336" width="11.1796875" style="15" customWidth="1"/>
    <col min="14337" max="14337" width="2.81640625" style="15" customWidth="1"/>
    <col min="14338" max="14338" width="3.54296875" style="15" customWidth="1"/>
    <col min="14339" max="14583" width="9.1796875" style="15"/>
    <col min="14584" max="14584" width="8.7265625" style="15" customWidth="1"/>
    <col min="14585" max="14585" width="9.81640625" style="15" customWidth="1"/>
    <col min="14586" max="14586" width="14.453125" style="15" customWidth="1"/>
    <col min="14587" max="14587" width="7.26953125" style="15" customWidth="1"/>
    <col min="14588" max="14588" width="5.54296875" style="15" customWidth="1"/>
    <col min="14589" max="14589" width="9" style="15" customWidth="1"/>
    <col min="14590" max="14591" width="9.81640625" style="15" customWidth="1"/>
    <col min="14592" max="14592" width="11.1796875" style="15" customWidth="1"/>
    <col min="14593" max="14593" width="2.81640625" style="15" customWidth="1"/>
    <col min="14594" max="14594" width="3.54296875" style="15" customWidth="1"/>
    <col min="14595" max="14839" width="9.1796875" style="15"/>
    <col min="14840" max="14840" width="8.7265625" style="15" customWidth="1"/>
    <col min="14841" max="14841" width="9.81640625" style="15" customWidth="1"/>
    <col min="14842" max="14842" width="14.453125" style="15" customWidth="1"/>
    <col min="14843" max="14843" width="7.26953125" style="15" customWidth="1"/>
    <col min="14844" max="14844" width="5.54296875" style="15" customWidth="1"/>
    <col min="14845" max="14845" width="9" style="15" customWidth="1"/>
    <col min="14846" max="14847" width="9.81640625" style="15" customWidth="1"/>
    <col min="14848" max="14848" width="11.1796875" style="15" customWidth="1"/>
    <col min="14849" max="14849" width="2.81640625" style="15" customWidth="1"/>
    <col min="14850" max="14850" width="3.54296875" style="15" customWidth="1"/>
    <col min="14851" max="15095" width="9.1796875" style="15"/>
    <col min="15096" max="15096" width="8.7265625" style="15" customWidth="1"/>
    <col min="15097" max="15097" width="9.81640625" style="15" customWidth="1"/>
    <col min="15098" max="15098" width="14.453125" style="15" customWidth="1"/>
    <col min="15099" max="15099" width="7.26953125" style="15" customWidth="1"/>
    <col min="15100" max="15100" width="5.54296875" style="15" customWidth="1"/>
    <col min="15101" max="15101" width="9" style="15" customWidth="1"/>
    <col min="15102" max="15103" width="9.81640625" style="15" customWidth="1"/>
    <col min="15104" max="15104" width="11.1796875" style="15" customWidth="1"/>
    <col min="15105" max="15105" width="2.81640625" style="15" customWidth="1"/>
    <col min="15106" max="15106" width="3.54296875" style="15" customWidth="1"/>
    <col min="15107" max="15351" width="9.1796875" style="15"/>
    <col min="15352" max="15352" width="8.7265625" style="15" customWidth="1"/>
    <col min="15353" max="15353" width="9.81640625" style="15" customWidth="1"/>
    <col min="15354" max="15354" width="14.453125" style="15" customWidth="1"/>
    <col min="15355" max="15355" width="7.26953125" style="15" customWidth="1"/>
    <col min="15356" max="15356" width="5.54296875" style="15" customWidth="1"/>
    <col min="15357" max="15357" width="9" style="15" customWidth="1"/>
    <col min="15358" max="15359" width="9.81640625" style="15" customWidth="1"/>
    <col min="15360" max="15360" width="11.1796875" style="15" customWidth="1"/>
    <col min="15361" max="15361" width="2.81640625" style="15" customWidth="1"/>
    <col min="15362" max="15362" width="3.54296875" style="15" customWidth="1"/>
    <col min="15363" max="15607" width="9.1796875" style="15"/>
    <col min="15608" max="15608" width="8.7265625" style="15" customWidth="1"/>
    <col min="15609" max="15609" width="9.81640625" style="15" customWidth="1"/>
    <col min="15610" max="15610" width="14.453125" style="15" customWidth="1"/>
    <col min="15611" max="15611" width="7.26953125" style="15" customWidth="1"/>
    <col min="15612" max="15612" width="5.54296875" style="15" customWidth="1"/>
    <col min="15613" max="15613" width="9" style="15" customWidth="1"/>
    <col min="15614" max="15615" width="9.81640625" style="15" customWidth="1"/>
    <col min="15616" max="15616" width="11.1796875" style="15" customWidth="1"/>
    <col min="15617" max="15617" width="2.81640625" style="15" customWidth="1"/>
    <col min="15618" max="15618" width="3.54296875" style="15" customWidth="1"/>
    <col min="15619" max="15863" width="9.1796875" style="15"/>
    <col min="15864" max="15864" width="8.7265625" style="15" customWidth="1"/>
    <col min="15865" max="15865" width="9.81640625" style="15" customWidth="1"/>
    <col min="15866" max="15866" width="14.453125" style="15" customWidth="1"/>
    <col min="15867" max="15867" width="7.26953125" style="15" customWidth="1"/>
    <col min="15868" max="15868" width="5.54296875" style="15" customWidth="1"/>
    <col min="15869" max="15869" width="9" style="15" customWidth="1"/>
    <col min="15870" max="15871" width="9.81640625" style="15" customWidth="1"/>
    <col min="15872" max="15872" width="11.1796875" style="15" customWidth="1"/>
    <col min="15873" max="15873" width="2.81640625" style="15" customWidth="1"/>
    <col min="15874" max="15874" width="3.54296875" style="15" customWidth="1"/>
    <col min="15875" max="16119" width="9.1796875" style="15"/>
    <col min="16120" max="16120" width="8.7265625" style="15" customWidth="1"/>
    <col min="16121" max="16121" width="9.81640625" style="15" customWidth="1"/>
    <col min="16122" max="16122" width="14.453125" style="15" customWidth="1"/>
    <col min="16123" max="16123" width="7.26953125" style="15" customWidth="1"/>
    <col min="16124" max="16124" width="5.54296875" style="15" customWidth="1"/>
    <col min="16125" max="16125" width="9" style="15" customWidth="1"/>
    <col min="16126" max="16127" width="9.81640625" style="15" customWidth="1"/>
    <col min="16128" max="16128" width="11.1796875" style="15" customWidth="1"/>
    <col min="16129" max="16129" width="2.81640625" style="15" customWidth="1"/>
    <col min="16130" max="16130" width="3.54296875" style="15" customWidth="1"/>
    <col min="16131" max="16384" width="9.1796875" style="15"/>
  </cols>
  <sheetData>
    <row r="1" spans="1:26" ht="46.5" customHeight="1" x14ac:dyDescent="0.35">
      <c r="A1" s="161" t="s">
        <v>166</v>
      </c>
      <c r="B1" s="161"/>
      <c r="C1" s="161"/>
      <c r="D1" s="161"/>
      <c r="E1" s="161"/>
      <c r="F1" s="161"/>
      <c r="G1" s="161"/>
      <c r="H1" s="161"/>
    </row>
    <row r="2" spans="1:26" ht="16.5" customHeight="1" x14ac:dyDescent="0.35">
      <c r="A2" s="162" t="s">
        <v>0</v>
      </c>
      <c r="B2" s="162"/>
      <c r="C2" s="162"/>
      <c r="D2" s="162"/>
      <c r="E2" s="162"/>
      <c r="F2" s="162"/>
      <c r="G2" s="162"/>
      <c r="H2" s="162"/>
    </row>
    <row r="3" spans="1:26" x14ac:dyDescent="0.35">
      <c r="A3" s="119" t="s">
        <v>1</v>
      </c>
      <c r="B3" s="119"/>
      <c r="C3" s="119"/>
      <c r="D3" s="119"/>
      <c r="E3" s="119" t="str">
        <f ca="1">TEXT(TODAY(),"DD/MM/YYYY")</f>
        <v>05/08/2025</v>
      </c>
      <c r="F3" s="119"/>
      <c r="G3" s="119"/>
      <c r="H3" s="119"/>
      <c r="K3" s="37" t="s">
        <v>240</v>
      </c>
      <c r="L3" s="36" t="s">
        <v>238</v>
      </c>
      <c r="M3" s="36" t="s">
        <v>243</v>
      </c>
      <c r="N3" s="36" t="s">
        <v>241</v>
      </c>
      <c r="O3" s="36" t="s">
        <v>242</v>
      </c>
      <c r="P3" s="36" t="s">
        <v>244</v>
      </c>
    </row>
    <row r="4" spans="1:26" ht="15" customHeight="1" x14ac:dyDescent="0.35">
      <c r="A4" s="119" t="s">
        <v>237</v>
      </c>
      <c r="B4" s="119"/>
      <c r="C4" s="119"/>
      <c r="D4" s="119"/>
      <c r="E4" s="119" t="s">
        <v>238</v>
      </c>
      <c r="F4" s="119"/>
      <c r="G4" s="119"/>
      <c r="H4" s="119"/>
      <c r="K4" s="35" t="s">
        <v>239</v>
      </c>
      <c r="L4" s="36" t="s">
        <v>172</v>
      </c>
      <c r="M4" s="36" t="s">
        <v>248</v>
      </c>
      <c r="N4" s="36" t="s">
        <v>250</v>
      </c>
      <c r="O4" s="36" t="s">
        <v>252</v>
      </c>
      <c r="P4" s="36"/>
    </row>
    <row r="5" spans="1:26" ht="15" customHeight="1" x14ac:dyDescent="0.35">
      <c r="A5" s="119" t="s">
        <v>2</v>
      </c>
      <c r="B5" s="119"/>
      <c r="C5" s="119"/>
      <c r="D5" s="119"/>
      <c r="E5" s="119" t="s">
        <v>172</v>
      </c>
      <c r="F5" s="119"/>
      <c r="G5" s="119"/>
      <c r="H5" s="119"/>
      <c r="K5" s="35"/>
      <c r="L5" s="36" t="s">
        <v>245</v>
      </c>
      <c r="M5" s="36" t="s">
        <v>249</v>
      </c>
      <c r="N5" s="36" t="s">
        <v>251</v>
      </c>
      <c r="O5" s="36" t="s">
        <v>253</v>
      </c>
      <c r="P5" s="36"/>
    </row>
    <row r="6" spans="1:26" x14ac:dyDescent="0.35">
      <c r="A6" s="119" t="s">
        <v>3</v>
      </c>
      <c r="B6" s="119"/>
      <c r="C6" s="119"/>
      <c r="D6" s="119"/>
      <c r="E6" s="164">
        <v>45874</v>
      </c>
      <c r="F6" s="119"/>
      <c r="G6" s="119"/>
      <c r="H6" s="119"/>
      <c r="K6" s="35"/>
      <c r="L6" s="36" t="s">
        <v>246</v>
      </c>
      <c r="M6" s="36"/>
      <c r="N6" s="36"/>
      <c r="O6" s="36" t="s">
        <v>254</v>
      </c>
      <c r="P6" s="36"/>
    </row>
    <row r="7" spans="1:26" ht="16.5" customHeight="1" x14ac:dyDescent="0.35">
      <c r="A7" s="119" t="s">
        <v>4</v>
      </c>
      <c r="B7" s="119"/>
      <c r="C7" s="119"/>
      <c r="D7" s="119"/>
      <c r="E7" s="119" t="s">
        <v>306</v>
      </c>
      <c r="F7" s="119"/>
      <c r="G7" s="119"/>
      <c r="H7" s="119"/>
      <c r="K7" s="35"/>
      <c r="L7" s="36" t="s">
        <v>247</v>
      </c>
      <c r="M7" s="36"/>
      <c r="N7" s="36"/>
      <c r="O7" s="36" t="s">
        <v>254</v>
      </c>
      <c r="P7" s="36"/>
    </row>
    <row r="8" spans="1:26" ht="15" customHeight="1" x14ac:dyDescent="0.35">
      <c r="A8" s="119" t="s">
        <v>5</v>
      </c>
      <c r="B8" s="119"/>
      <c r="C8" s="119"/>
      <c r="D8" s="119"/>
      <c r="E8" s="119" t="str">
        <f>E7</f>
        <v>Yura Business Park Private Limited</v>
      </c>
      <c r="F8" s="119"/>
      <c r="G8" s="119"/>
      <c r="H8" s="119"/>
      <c r="K8" s="35"/>
      <c r="L8" s="36"/>
      <c r="M8" s="36"/>
      <c r="N8" s="36"/>
      <c r="O8" s="36" t="s">
        <v>255</v>
      </c>
      <c r="P8" s="36"/>
    </row>
    <row r="9" spans="1:26" x14ac:dyDescent="0.35">
      <c r="A9" s="119" t="s">
        <v>6</v>
      </c>
      <c r="B9" s="119"/>
      <c r="C9" s="119"/>
      <c r="D9" s="119"/>
      <c r="E9" s="163" t="s">
        <v>307</v>
      </c>
      <c r="F9" s="163"/>
      <c r="G9" s="163"/>
      <c r="H9" s="163"/>
      <c r="K9" s="35"/>
      <c r="L9" s="36"/>
      <c r="M9" s="36"/>
      <c r="N9" s="36"/>
      <c r="O9" s="36" t="s">
        <v>256</v>
      </c>
      <c r="P9" s="36"/>
    </row>
    <row r="10" spans="1:26" x14ac:dyDescent="0.35">
      <c r="A10" s="119" t="s">
        <v>169</v>
      </c>
      <c r="B10" s="119"/>
      <c r="C10" s="119"/>
      <c r="D10" s="119"/>
      <c r="E10" s="119">
        <v>2261431777</v>
      </c>
      <c r="F10" s="119"/>
      <c r="G10" s="119"/>
      <c r="H10" s="119"/>
      <c r="K10" s="35"/>
      <c r="L10" s="36"/>
      <c r="M10" s="36"/>
      <c r="N10" s="36"/>
      <c r="O10" s="36"/>
      <c r="P10" s="36"/>
    </row>
    <row r="11" spans="1:26" x14ac:dyDescent="0.35">
      <c r="A11" s="119" t="s">
        <v>170</v>
      </c>
      <c r="B11" s="119"/>
      <c r="C11" s="119"/>
      <c r="D11" s="119"/>
      <c r="E11" s="119" t="s">
        <v>375</v>
      </c>
      <c r="F11" s="119"/>
      <c r="G11" s="119"/>
      <c r="H11" s="119"/>
    </row>
    <row r="12" spans="1:26" x14ac:dyDescent="0.35">
      <c r="A12" s="119" t="s">
        <v>7</v>
      </c>
      <c r="B12" s="119"/>
      <c r="C12" s="119"/>
      <c r="D12" s="119"/>
      <c r="E12" s="119" t="s">
        <v>308</v>
      </c>
      <c r="F12" s="119"/>
      <c r="G12" s="119"/>
      <c r="H12" s="119"/>
    </row>
    <row r="13" spans="1:26" x14ac:dyDescent="0.35">
      <c r="A13" s="119" t="s">
        <v>173</v>
      </c>
      <c r="B13" s="119"/>
      <c r="C13" s="119"/>
      <c r="D13" s="119"/>
      <c r="E13" s="119" t="s">
        <v>309</v>
      </c>
      <c r="F13" s="119"/>
      <c r="G13" s="119"/>
      <c r="H13" s="119"/>
      <c r="I13" s="15" t="s">
        <v>309</v>
      </c>
      <c r="S13" s="36" t="s">
        <v>181</v>
      </c>
      <c r="T13" s="36" t="s">
        <v>191</v>
      </c>
      <c r="U13" s="36" t="s">
        <v>174</v>
      </c>
      <c r="V13" s="36" t="s">
        <v>196</v>
      </c>
      <c r="W13" s="36" t="s">
        <v>214</v>
      </c>
      <c r="X13"/>
      <c r="Y13" t="s">
        <v>196</v>
      </c>
      <c r="Z13" t="e">
        <f ca="1">OFFSET($S$13,1,MATCH($G20,$S$13:$W$13,0)-1,15,1)</f>
        <v>#VALUE!</v>
      </c>
    </row>
    <row r="14" spans="1:26" x14ac:dyDescent="0.35">
      <c r="A14" s="111" t="s">
        <v>283</v>
      </c>
      <c r="B14" s="111"/>
      <c r="C14" s="111"/>
      <c r="D14" s="111"/>
      <c r="E14" s="165" t="s">
        <v>368</v>
      </c>
      <c r="F14" s="165"/>
      <c r="G14" s="165"/>
      <c r="H14" s="165"/>
      <c r="S14" s="36" t="s">
        <v>182</v>
      </c>
      <c r="T14" s="36" t="s">
        <v>189</v>
      </c>
      <c r="U14" s="36" t="s">
        <v>211</v>
      </c>
      <c r="V14" s="36" t="s">
        <v>197</v>
      </c>
      <c r="W14" s="36" t="s">
        <v>215</v>
      </c>
      <c r="X14"/>
      <c r="Y14"/>
      <c r="Z14"/>
    </row>
    <row r="15" spans="1:26" x14ac:dyDescent="0.35">
      <c r="A15" s="111" t="s">
        <v>8</v>
      </c>
      <c r="B15" s="111"/>
      <c r="C15" s="111"/>
      <c r="D15" s="111"/>
      <c r="E15" s="165" t="s">
        <v>313</v>
      </c>
      <c r="F15" s="119"/>
      <c r="G15" s="119"/>
      <c r="H15" s="119"/>
      <c r="I15" s="108" t="e">
        <f ca="1">OFFSET($D$5,1,MATCH($J13,$D$5:$H$5,0)-1,15,1)</f>
        <v>#N/A</v>
      </c>
      <c r="J15" s="109"/>
      <c r="K15" s="109"/>
      <c r="L15" s="109"/>
      <c r="M15" s="109"/>
      <c r="N15" s="109"/>
      <c r="O15" s="109"/>
      <c r="P15" s="109"/>
      <c r="S15" s="36" t="s">
        <v>183</v>
      </c>
      <c r="T15" s="36" t="s">
        <v>190</v>
      </c>
      <c r="U15" s="36" t="s">
        <v>212</v>
      </c>
      <c r="V15" s="36" t="s">
        <v>198</v>
      </c>
      <c r="W15" s="36" t="s">
        <v>228</v>
      </c>
      <c r="X15"/>
      <c r="Y15"/>
      <c r="Z15"/>
    </row>
    <row r="16" spans="1:26" ht="52.5" customHeight="1" x14ac:dyDescent="0.35">
      <c r="A16" s="115" t="s">
        <v>9</v>
      </c>
      <c r="B16" s="115"/>
      <c r="C16" s="115" t="str">
        <f>CONCATENATE((IF(OR(E9="",E9="NA"),"",E9)),", ",(IF(OR(A17="",A17="NA"),"",A17)),".",(IF(OR(C17="",C17="NA"),"",C17)),", near ",(IF(OR(C22="",C22="NA"),"",C22)),", ",(IF(OR(C19="",C19="NA"),"",C19)),", ",(IF(OR(C18="",C18="NA"),"",C18)),", ",(IF(OR(G19="",G19="NA"),"",G19)),", ",(IF(OR(C20="",C20="NA"),"",C20)),", ",(IF(OR(C21="",C21="NA"),"",C21)),", ",(IF(OR(G20="",G20="NA"),"",G20))," - ",(IF(OR(G21="",G21="NA"),"",G21)),".")</f>
        <v>Yura Business Park, CTS No.195(Part), near Juhu Dhara Complex, Juhu Versova Link Road, Kapaswadi, Andheri, Andheri West, Andheri, Mumbai - 400058.</v>
      </c>
      <c r="D16" s="115"/>
      <c r="E16" s="115"/>
      <c r="F16" s="115"/>
      <c r="G16" s="115"/>
      <c r="H16" s="115"/>
      <c r="S16" s="36" t="s">
        <v>184</v>
      </c>
      <c r="T16" s="36" t="s">
        <v>192</v>
      </c>
      <c r="U16" s="36" t="s">
        <v>213</v>
      </c>
      <c r="V16" s="36" t="s">
        <v>199</v>
      </c>
      <c r="W16" s="36" t="s">
        <v>216</v>
      </c>
      <c r="X16"/>
      <c r="Y16"/>
      <c r="Z16"/>
    </row>
    <row r="17" spans="1:26" x14ac:dyDescent="0.35">
      <c r="A17" s="165" t="s">
        <v>177</v>
      </c>
      <c r="B17" s="165"/>
      <c r="C17" s="165" t="s">
        <v>316</v>
      </c>
      <c r="D17" s="165"/>
      <c r="E17" s="165"/>
      <c r="F17" s="165"/>
      <c r="G17" s="165"/>
      <c r="H17" s="165"/>
      <c r="I17" s="15" t="s">
        <v>317</v>
      </c>
      <c r="S17" s="36" t="s">
        <v>185</v>
      </c>
      <c r="T17" s="36" t="s">
        <v>193</v>
      </c>
      <c r="U17" s="36" t="s">
        <v>174</v>
      </c>
      <c r="V17" s="36" t="s">
        <v>200</v>
      </c>
      <c r="W17" s="36" t="s">
        <v>217</v>
      </c>
      <c r="X17"/>
      <c r="Y17"/>
      <c r="Z17"/>
    </row>
    <row r="18" spans="1:26" ht="15.75" customHeight="1" x14ac:dyDescent="0.35">
      <c r="A18" s="165" t="s">
        <v>164</v>
      </c>
      <c r="B18" s="165"/>
      <c r="C18" s="165" t="s">
        <v>318</v>
      </c>
      <c r="D18" s="165"/>
      <c r="E18" s="165"/>
      <c r="F18" s="165"/>
      <c r="G18" s="165"/>
      <c r="H18" s="165"/>
      <c r="S18" s="36" t="s">
        <v>186</v>
      </c>
      <c r="T18" s="36" t="s">
        <v>191</v>
      </c>
      <c r="U18" s="36"/>
      <c r="V18" s="36" t="s">
        <v>201</v>
      </c>
      <c r="W18" s="36" t="s">
        <v>218</v>
      </c>
      <c r="X18"/>
      <c r="Y18"/>
      <c r="Z18"/>
    </row>
    <row r="19" spans="1:26" ht="15.75" customHeight="1" x14ac:dyDescent="0.35">
      <c r="A19" s="115" t="s">
        <v>10</v>
      </c>
      <c r="B19" s="115"/>
      <c r="C19" s="119" t="s">
        <v>310</v>
      </c>
      <c r="D19" s="119"/>
      <c r="E19" s="115" t="s">
        <v>70</v>
      </c>
      <c r="F19" s="115"/>
      <c r="G19" s="165" t="s">
        <v>211</v>
      </c>
      <c r="H19" s="165"/>
      <c r="S19" s="36" t="s">
        <v>187</v>
      </c>
      <c r="T19" s="36" t="s">
        <v>194</v>
      </c>
      <c r="U19" s="36"/>
      <c r="V19" s="36" t="s">
        <v>202</v>
      </c>
      <c r="W19" s="36" t="s">
        <v>219</v>
      </c>
      <c r="X19"/>
      <c r="Y19"/>
      <c r="Z19"/>
    </row>
    <row r="20" spans="1:26" x14ac:dyDescent="0.35">
      <c r="A20" s="111" t="s">
        <v>12</v>
      </c>
      <c r="B20" s="111"/>
      <c r="C20" s="165" t="s">
        <v>314</v>
      </c>
      <c r="D20" s="165"/>
      <c r="E20" s="165" t="s">
        <v>11</v>
      </c>
      <c r="F20" s="165"/>
      <c r="G20" s="167" t="s">
        <v>174</v>
      </c>
      <c r="H20" s="167"/>
      <c r="S20" s="36" t="s">
        <v>188</v>
      </c>
      <c r="T20" s="36" t="s">
        <v>195</v>
      </c>
      <c r="U20" s="36"/>
      <c r="V20" s="36" t="s">
        <v>203</v>
      </c>
      <c r="W20" s="36" t="s">
        <v>220</v>
      </c>
      <c r="X20"/>
      <c r="Y20"/>
      <c r="Z20"/>
    </row>
    <row r="21" spans="1:26" x14ac:dyDescent="0.35">
      <c r="A21" s="111" t="s">
        <v>71</v>
      </c>
      <c r="B21" s="111"/>
      <c r="C21" s="165" t="s">
        <v>211</v>
      </c>
      <c r="D21" s="165"/>
      <c r="E21" s="165" t="s">
        <v>13</v>
      </c>
      <c r="F21" s="165"/>
      <c r="G21" s="165">
        <v>400058</v>
      </c>
      <c r="H21" s="165"/>
      <c r="S21" s="36"/>
      <c r="T21" s="36"/>
      <c r="U21" s="36"/>
      <c r="V21" s="36" t="s">
        <v>204</v>
      </c>
      <c r="W21" s="36" t="s">
        <v>221</v>
      </c>
      <c r="X21"/>
      <c r="Y21"/>
      <c r="Z21"/>
    </row>
    <row r="22" spans="1:26" ht="32.25" customHeight="1" x14ac:dyDescent="0.35">
      <c r="A22" s="111" t="s">
        <v>121</v>
      </c>
      <c r="B22" s="111"/>
      <c r="C22" s="165" t="s">
        <v>315</v>
      </c>
      <c r="D22" s="165"/>
      <c r="E22" s="115" t="s">
        <v>14</v>
      </c>
      <c r="F22" s="115"/>
      <c r="G22" s="165" t="s">
        <v>319</v>
      </c>
      <c r="H22" s="165"/>
      <c r="S22" s="36"/>
      <c r="T22" s="36"/>
      <c r="U22" s="36"/>
      <c r="V22" s="36" t="s">
        <v>205</v>
      </c>
      <c r="W22" s="36" t="s">
        <v>222</v>
      </c>
      <c r="X22"/>
      <c r="Y22"/>
      <c r="Z22"/>
    </row>
    <row r="23" spans="1:26" ht="15" customHeight="1" x14ac:dyDescent="0.35">
      <c r="A23" s="115" t="s">
        <v>73</v>
      </c>
      <c r="B23" s="115"/>
      <c r="C23" s="115"/>
      <c r="D23" s="115"/>
      <c r="E23" s="119" t="s">
        <v>15</v>
      </c>
      <c r="F23" s="119"/>
      <c r="G23" s="119"/>
      <c r="H23" s="119"/>
      <c r="S23" s="36"/>
      <c r="T23" s="36"/>
      <c r="U23" s="36"/>
      <c r="V23" s="36" t="s">
        <v>206</v>
      </c>
      <c r="W23" s="36" t="s">
        <v>223</v>
      </c>
      <c r="X23"/>
      <c r="Y23"/>
      <c r="Z23"/>
    </row>
    <row r="24" spans="1:26" ht="18.75" customHeight="1" x14ac:dyDescent="0.35">
      <c r="A24" s="115"/>
      <c r="B24" s="115"/>
      <c r="C24" s="115"/>
      <c r="D24" s="115"/>
      <c r="E24" s="119"/>
      <c r="F24" s="119"/>
      <c r="G24" s="119"/>
      <c r="H24" s="119"/>
      <c r="S24" s="36"/>
      <c r="T24" s="36"/>
      <c r="U24" s="36"/>
      <c r="V24" s="36" t="s">
        <v>207</v>
      </c>
      <c r="W24" s="36" t="s">
        <v>224</v>
      </c>
      <c r="X24"/>
      <c r="Y24"/>
      <c r="Z24"/>
    </row>
    <row r="25" spans="1:26" ht="15" customHeight="1" x14ac:dyDescent="0.35">
      <c r="A25" s="115" t="s">
        <v>16</v>
      </c>
      <c r="B25" s="115"/>
      <c r="C25" s="115"/>
      <c r="D25" s="115"/>
      <c r="E25" s="165" t="s">
        <v>17</v>
      </c>
      <c r="F25" s="165"/>
      <c r="G25" s="165"/>
      <c r="H25" s="165"/>
      <c r="S25" s="36"/>
      <c r="T25" s="36"/>
      <c r="U25" s="36"/>
      <c r="V25" s="36" t="s">
        <v>208</v>
      </c>
      <c r="W25" s="36" t="s">
        <v>225</v>
      </c>
      <c r="X25"/>
      <c r="Y25"/>
      <c r="Z25"/>
    </row>
    <row r="26" spans="1:26" ht="15" customHeight="1" x14ac:dyDescent="0.35">
      <c r="A26" s="111" t="s">
        <v>18</v>
      </c>
      <c r="B26" s="111"/>
      <c r="C26" s="111"/>
      <c r="D26" s="111"/>
      <c r="E26" s="165" t="str">
        <f>IF(AND(G20="Mumbai"),"Upper Class","Middle Class")</f>
        <v>Upper Class</v>
      </c>
      <c r="F26" s="165"/>
      <c r="G26" s="165"/>
      <c r="H26" s="165"/>
      <c r="S26" s="36"/>
      <c r="T26" s="36"/>
      <c r="U26" s="36"/>
      <c r="V26" s="36" t="s">
        <v>209</v>
      </c>
      <c r="W26" s="36" t="s">
        <v>226</v>
      </c>
      <c r="X26"/>
      <c r="Y26"/>
      <c r="Z26"/>
    </row>
    <row r="27" spans="1:26" x14ac:dyDescent="0.35">
      <c r="A27" s="111" t="s">
        <v>19</v>
      </c>
      <c r="B27" s="111"/>
      <c r="C27" s="111"/>
      <c r="D27" s="111"/>
      <c r="E27" s="165" t="s">
        <v>20</v>
      </c>
      <c r="F27" s="165"/>
      <c r="G27" s="165"/>
      <c r="H27" s="165"/>
      <c r="S27" s="36"/>
      <c r="T27" s="36"/>
      <c r="U27" s="36"/>
      <c r="V27" s="36" t="s">
        <v>210</v>
      </c>
      <c r="W27" s="36" t="s">
        <v>227</v>
      </c>
      <c r="X27"/>
      <c r="Y27"/>
      <c r="Z27"/>
    </row>
    <row r="28" spans="1:26" ht="15.75" customHeight="1" x14ac:dyDescent="0.35">
      <c r="A28" s="111" t="s">
        <v>21</v>
      </c>
      <c r="B28" s="111"/>
      <c r="C28" s="111"/>
      <c r="D28" s="111"/>
      <c r="E28" s="165" t="str">
        <f>IF(AND(G20="Mumbai"),"Developed","Developing")</f>
        <v>Developed</v>
      </c>
      <c r="F28" s="165"/>
      <c r="G28" s="165"/>
      <c r="H28" s="165"/>
    </row>
    <row r="29" spans="1:26" x14ac:dyDescent="0.35">
      <c r="A29" s="111" t="s">
        <v>22</v>
      </c>
      <c r="B29" s="111"/>
      <c r="C29" s="111"/>
      <c r="D29" s="111"/>
      <c r="E29" s="165" t="s">
        <v>23</v>
      </c>
      <c r="F29" s="165"/>
      <c r="G29" s="165"/>
      <c r="H29" s="165"/>
    </row>
    <row r="30" spans="1:26" ht="15.75" customHeight="1" x14ac:dyDescent="0.35">
      <c r="A30" s="111" t="s">
        <v>78</v>
      </c>
      <c r="B30" s="111"/>
      <c r="C30" s="111"/>
      <c r="D30" s="111"/>
      <c r="E30" s="165" t="s">
        <v>79</v>
      </c>
      <c r="F30" s="165"/>
      <c r="G30" s="165"/>
      <c r="H30" s="165"/>
    </row>
    <row r="31" spans="1:26" ht="15" customHeight="1" x14ac:dyDescent="0.35">
      <c r="A31" s="111" t="s">
        <v>30</v>
      </c>
      <c r="B31" s="111"/>
      <c r="C31" s="111"/>
      <c r="D31" s="111"/>
      <c r="E31" s="165"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Commercial</v>
      </c>
      <c r="F31" s="165"/>
      <c r="G31" s="165"/>
      <c r="H31" s="165"/>
    </row>
    <row r="32" spans="1:26" ht="15.75" customHeight="1" x14ac:dyDescent="0.35">
      <c r="A32" s="111" t="s">
        <v>90</v>
      </c>
      <c r="B32" s="111"/>
      <c r="C32" s="111"/>
      <c r="D32" s="111"/>
      <c r="E32" s="165" t="s">
        <v>31</v>
      </c>
      <c r="F32" s="165"/>
      <c r="G32" s="165"/>
      <c r="H32" s="165"/>
    </row>
    <row r="33" spans="1:19" s="16" customFormat="1" x14ac:dyDescent="0.35">
      <c r="A33" s="170" t="s">
        <v>91</v>
      </c>
      <c r="B33" s="170"/>
      <c r="C33" s="127" t="s">
        <v>175</v>
      </c>
      <c r="D33" s="127"/>
      <c r="E33" s="127"/>
      <c r="F33" s="127" t="s">
        <v>29</v>
      </c>
      <c r="G33" s="127"/>
      <c r="H33" s="127"/>
      <c r="S33" s="16" t="e">
        <f ca="1">OFFSET($S$13,1,MATCH($G20,$S$13:$W$13,0)-1,15,1)</f>
        <v>#VALUE!</v>
      </c>
    </row>
    <row r="34" spans="1:19" s="16" customFormat="1" x14ac:dyDescent="0.35">
      <c r="A34" s="169" t="s">
        <v>24</v>
      </c>
      <c r="B34" s="169" t="s">
        <v>28</v>
      </c>
      <c r="C34" s="166" t="s">
        <v>321</v>
      </c>
      <c r="D34" s="166"/>
      <c r="E34" s="166"/>
      <c r="F34" s="166" t="s">
        <v>324</v>
      </c>
      <c r="G34" s="166"/>
      <c r="H34" s="166"/>
    </row>
    <row r="35" spans="1:19" x14ac:dyDescent="0.35">
      <c r="A35" s="169" t="s">
        <v>25</v>
      </c>
      <c r="B35" s="169" t="s">
        <v>28</v>
      </c>
      <c r="C35" s="166" t="s">
        <v>322</v>
      </c>
      <c r="D35" s="166"/>
      <c r="E35" s="166"/>
      <c r="F35" s="166" t="s">
        <v>323</v>
      </c>
      <c r="G35" s="166"/>
      <c r="H35" s="166"/>
    </row>
    <row r="36" spans="1:19" s="16" customFormat="1" x14ac:dyDescent="0.35">
      <c r="A36" s="169" t="s">
        <v>27</v>
      </c>
      <c r="B36" s="169" t="s">
        <v>28</v>
      </c>
      <c r="C36" s="166" t="s">
        <v>320</v>
      </c>
      <c r="D36" s="166"/>
      <c r="E36" s="166"/>
      <c r="F36" s="166" t="s">
        <v>310</v>
      </c>
      <c r="G36" s="166"/>
      <c r="H36" s="166"/>
    </row>
    <row r="37" spans="1:19" ht="36.75" customHeight="1" x14ac:dyDescent="0.35">
      <c r="A37" s="171" t="s">
        <v>26</v>
      </c>
      <c r="B37" s="171" t="s">
        <v>28</v>
      </c>
      <c r="C37" s="171" t="s">
        <v>321</v>
      </c>
      <c r="D37" s="171"/>
      <c r="E37" s="171"/>
      <c r="F37" s="168" t="s">
        <v>325</v>
      </c>
      <c r="G37" s="168"/>
      <c r="H37" s="168"/>
    </row>
    <row r="38" spans="1:19" x14ac:dyDescent="0.35">
      <c r="A38" s="111" t="s">
        <v>284</v>
      </c>
      <c r="B38" s="111"/>
      <c r="C38" s="111"/>
      <c r="D38" s="111"/>
      <c r="E38" s="111"/>
      <c r="F38" s="111"/>
      <c r="G38" s="111"/>
      <c r="H38" s="111"/>
    </row>
    <row r="39" spans="1:19" ht="15.75" customHeight="1" x14ac:dyDescent="0.35">
      <c r="A39" s="111" t="s">
        <v>167</v>
      </c>
      <c r="B39" s="111"/>
      <c r="C39" s="157" t="s">
        <v>311</v>
      </c>
      <c r="D39" s="157"/>
      <c r="E39" s="157"/>
      <c r="F39" s="157"/>
      <c r="G39" s="157"/>
      <c r="H39" s="157"/>
    </row>
    <row r="40" spans="1:19" x14ac:dyDescent="0.35">
      <c r="A40" s="111" t="s">
        <v>163</v>
      </c>
      <c r="B40" s="111"/>
      <c r="C40" s="184" t="s">
        <v>312</v>
      </c>
      <c r="D40" s="165"/>
      <c r="E40" s="165"/>
      <c r="F40" s="165"/>
      <c r="G40" s="165"/>
      <c r="H40" s="165"/>
    </row>
    <row r="41" spans="1:19" x14ac:dyDescent="0.35">
      <c r="A41" s="157" t="s">
        <v>32</v>
      </c>
      <c r="B41" s="157"/>
      <c r="C41" s="157"/>
      <c r="D41" s="157"/>
      <c r="E41" s="157"/>
      <c r="F41" s="157"/>
      <c r="G41" s="157"/>
      <c r="H41" s="157"/>
    </row>
    <row r="42" spans="1:19" x14ac:dyDescent="0.35">
      <c r="A42" s="111" t="s">
        <v>33</v>
      </c>
      <c r="B42" s="111"/>
      <c r="C42" s="111"/>
      <c r="D42" s="111"/>
      <c r="E42" s="172">
        <v>3631.75</v>
      </c>
      <c r="F42" s="172"/>
      <c r="G42" s="172"/>
      <c r="H42" s="172"/>
    </row>
    <row r="43" spans="1:19" x14ac:dyDescent="0.35">
      <c r="A43" s="111" t="s">
        <v>34</v>
      </c>
      <c r="B43" s="111"/>
      <c r="C43" s="111"/>
      <c r="D43" s="111"/>
      <c r="E43" s="117">
        <f>9079.38/E42</f>
        <v>2.5000013767467473</v>
      </c>
      <c r="F43" s="117"/>
      <c r="G43" s="117"/>
      <c r="H43" s="117"/>
    </row>
    <row r="44" spans="1:19" x14ac:dyDescent="0.35">
      <c r="A44" s="111" t="s">
        <v>35</v>
      </c>
      <c r="B44" s="111"/>
      <c r="C44" s="111"/>
      <c r="D44" s="111"/>
      <c r="E44" s="117">
        <f>E46/E42-E43</f>
        <v>0.67710332484339553</v>
      </c>
      <c r="F44" s="117"/>
      <c r="G44" s="117"/>
      <c r="H44" s="117"/>
    </row>
    <row r="45" spans="1:19" x14ac:dyDescent="0.35">
      <c r="A45" s="111" t="s">
        <v>36</v>
      </c>
      <c r="B45" s="111"/>
      <c r="C45" s="111"/>
      <c r="D45" s="111"/>
      <c r="E45" s="117">
        <f>E43+E44</f>
        <v>3.1771047015901428</v>
      </c>
      <c r="F45" s="117"/>
      <c r="G45" s="117"/>
      <c r="H45" s="117"/>
      <c r="I45" s="47">
        <f>E46/E42</f>
        <v>3.1771047015901428</v>
      </c>
    </row>
    <row r="46" spans="1:19" x14ac:dyDescent="0.35">
      <c r="A46" s="111" t="s">
        <v>89</v>
      </c>
      <c r="B46" s="111"/>
      <c r="C46" s="111"/>
      <c r="D46" s="111"/>
      <c r="E46" s="176">
        <v>11538.45</v>
      </c>
      <c r="F46" s="176"/>
      <c r="G46" s="176"/>
      <c r="H46" s="176"/>
    </row>
    <row r="47" spans="1:19" x14ac:dyDescent="0.35">
      <c r="A47" s="119" t="s">
        <v>37</v>
      </c>
      <c r="B47" s="119"/>
      <c r="C47" s="119"/>
      <c r="D47" s="119"/>
      <c r="E47" s="119" t="s">
        <v>367</v>
      </c>
      <c r="F47" s="119"/>
      <c r="G47" s="119"/>
      <c r="H47" s="119"/>
    </row>
    <row r="48" spans="1:19" x14ac:dyDescent="0.35">
      <c r="A48" s="157" t="s">
        <v>38</v>
      </c>
      <c r="B48" s="157"/>
      <c r="C48" s="157"/>
      <c r="D48" s="157"/>
      <c r="E48" s="157"/>
      <c r="F48" s="157"/>
      <c r="G48" s="157"/>
      <c r="H48" s="157"/>
    </row>
    <row r="49" spans="1:24" ht="33.75" customHeight="1" x14ac:dyDescent="0.35">
      <c r="A49" s="92" t="s">
        <v>153</v>
      </c>
      <c r="B49" s="87"/>
      <c r="C49" s="186" t="s">
        <v>258</v>
      </c>
      <c r="D49" s="187"/>
      <c r="E49" s="187"/>
      <c r="F49" s="187"/>
      <c r="G49" s="187"/>
      <c r="H49" s="188"/>
      <c r="R49" t="s">
        <v>257</v>
      </c>
      <c r="S49" t="s">
        <v>174</v>
      </c>
      <c r="T49" t="s">
        <v>181</v>
      </c>
      <c r="U49" t="s">
        <v>196</v>
      </c>
      <c r="V49" t="s">
        <v>191</v>
      </c>
    </row>
    <row r="50" spans="1:24" ht="15.75" customHeight="1" x14ac:dyDescent="0.35">
      <c r="A50" s="92" t="s">
        <v>39</v>
      </c>
      <c r="B50" s="87"/>
      <c r="C50" s="92" t="s">
        <v>326</v>
      </c>
      <c r="D50" s="93"/>
      <c r="E50" s="87"/>
      <c r="F50" s="56" t="s">
        <v>40</v>
      </c>
      <c r="G50" s="86">
        <v>45310</v>
      </c>
      <c r="H50" s="87"/>
      <c r="R50"/>
      <c r="S50" t="s">
        <v>258</v>
      </c>
      <c r="T50" t="s">
        <v>263</v>
      </c>
      <c r="U50" t="s">
        <v>274</v>
      </c>
      <c r="V50" t="s">
        <v>279</v>
      </c>
    </row>
    <row r="51" spans="1:24" x14ac:dyDescent="0.35">
      <c r="A51" s="92" t="s">
        <v>41</v>
      </c>
      <c r="B51" s="87"/>
      <c r="C51" s="92" t="str">
        <f>C50</f>
        <v>SRA/ENG/3340/KW/MHL/AP</v>
      </c>
      <c r="D51" s="93"/>
      <c r="E51" s="87"/>
      <c r="F51" s="56" t="s">
        <v>40</v>
      </c>
      <c r="G51" s="86">
        <f>G50</f>
        <v>45310</v>
      </c>
      <c r="H51" s="87"/>
      <c r="R51"/>
      <c r="S51" t="s">
        <v>259</v>
      </c>
      <c r="T51" t="s">
        <v>264</v>
      </c>
      <c r="U51" t="s">
        <v>272</v>
      </c>
      <c r="V51" t="s">
        <v>280</v>
      </c>
    </row>
    <row r="52" spans="1:24" s="17" customFormat="1" ht="15.75" customHeight="1" x14ac:dyDescent="0.35">
      <c r="A52" s="88" t="s">
        <v>157</v>
      </c>
      <c r="B52" s="89"/>
      <c r="C52" s="92" t="str">
        <f>C51</f>
        <v>SRA/ENG/3340/KW/MHL/AP</v>
      </c>
      <c r="D52" s="93"/>
      <c r="E52" s="87"/>
      <c r="F52" s="56" t="s">
        <v>40</v>
      </c>
      <c r="G52" s="86">
        <v>45322</v>
      </c>
      <c r="H52" s="87"/>
      <c r="R52"/>
      <c r="S52" t="s">
        <v>260</v>
      </c>
      <c r="T52" t="s">
        <v>265</v>
      </c>
      <c r="U52" t="s">
        <v>262</v>
      </c>
      <c r="V52" t="s">
        <v>281</v>
      </c>
    </row>
    <row r="53" spans="1:24" s="17" customFormat="1" x14ac:dyDescent="0.35">
      <c r="A53" s="90"/>
      <c r="B53" s="91"/>
      <c r="C53" s="92" t="s">
        <v>327</v>
      </c>
      <c r="D53" s="93"/>
      <c r="E53" s="93"/>
      <c r="F53" s="93"/>
      <c r="G53" s="93"/>
      <c r="H53" s="87"/>
      <c r="R53"/>
      <c r="S53" t="s">
        <v>261</v>
      </c>
      <c r="T53" t="s">
        <v>268</v>
      </c>
      <c r="U53" t="s">
        <v>275</v>
      </c>
    </row>
    <row r="54" spans="1:24" s="17" customFormat="1" hidden="1" x14ac:dyDescent="0.35">
      <c r="A54" s="97" t="s">
        <v>285</v>
      </c>
      <c r="B54" s="98"/>
      <c r="C54" s="92" t="str">
        <f>C53</f>
        <v>This C.C. is re-endorsed as per approved amended plans dated 19/01/2024</v>
      </c>
      <c r="D54" s="93"/>
      <c r="E54" s="87"/>
      <c r="F54" s="56" t="s">
        <v>40</v>
      </c>
      <c r="G54" s="92"/>
      <c r="H54" s="87"/>
      <c r="R54"/>
      <c r="S54" t="s">
        <v>260</v>
      </c>
      <c r="T54" t="s">
        <v>265</v>
      </c>
      <c r="U54" t="s">
        <v>262</v>
      </c>
      <c r="V54" t="s">
        <v>281</v>
      </c>
    </row>
    <row r="55" spans="1:24" s="17" customFormat="1" ht="32.25" hidden="1" customHeight="1" x14ac:dyDescent="0.35">
      <c r="A55" s="99"/>
      <c r="B55" s="100"/>
      <c r="C55" s="94"/>
      <c r="D55" s="95"/>
      <c r="E55" s="95"/>
      <c r="F55" s="95"/>
      <c r="G55" s="95"/>
      <c r="H55" s="96"/>
      <c r="R55"/>
      <c r="S55" t="s">
        <v>262</v>
      </c>
      <c r="T55" t="s">
        <v>266</v>
      </c>
      <c r="U55" t="s">
        <v>276</v>
      </c>
      <c r="V55" s="15"/>
      <c r="W55" s="15"/>
      <c r="X55" s="15"/>
    </row>
    <row r="56" spans="1:24" s="17" customFormat="1" ht="34.5" hidden="1" customHeight="1" x14ac:dyDescent="0.35">
      <c r="A56" s="97" t="s">
        <v>286</v>
      </c>
      <c r="B56" s="98"/>
      <c r="C56" s="92">
        <f>C55</f>
        <v>0</v>
      </c>
      <c r="D56" s="93"/>
      <c r="E56" s="87"/>
      <c r="F56" s="56" t="s">
        <v>40</v>
      </c>
      <c r="G56" s="92">
        <f>G55</f>
        <v>0</v>
      </c>
      <c r="H56" s="87"/>
      <c r="R56"/>
      <c r="S56" s="15"/>
      <c r="T56" t="s">
        <v>267</v>
      </c>
      <c r="U56" t="s">
        <v>277</v>
      </c>
      <c r="V56" s="15"/>
      <c r="W56" s="15"/>
      <c r="X56" s="15"/>
    </row>
    <row r="57" spans="1:24" s="17" customFormat="1" ht="41.25" hidden="1" customHeight="1" x14ac:dyDescent="0.35">
      <c r="A57" s="99"/>
      <c r="B57" s="100"/>
      <c r="C57" s="92"/>
      <c r="D57" s="93"/>
      <c r="E57" s="93"/>
      <c r="F57" s="93"/>
      <c r="G57" s="93"/>
      <c r="H57" s="87"/>
      <c r="R57"/>
      <c r="S57" s="15"/>
      <c r="T57" t="s">
        <v>269</v>
      </c>
      <c r="U57" t="s">
        <v>278</v>
      </c>
      <c r="V57" s="15"/>
      <c r="W57" s="15"/>
      <c r="X57" s="15"/>
    </row>
    <row r="58" spans="1:24" s="17" customFormat="1" ht="15.75" hidden="1" customHeight="1" x14ac:dyDescent="0.35">
      <c r="A58" s="97" t="s">
        <v>287</v>
      </c>
      <c r="B58" s="98"/>
      <c r="C58" s="92">
        <f>C57</f>
        <v>0</v>
      </c>
      <c r="D58" s="93"/>
      <c r="E58" s="87"/>
      <c r="F58" s="56" t="s">
        <v>40</v>
      </c>
      <c r="G58" s="92">
        <f>G57</f>
        <v>0</v>
      </c>
      <c r="H58" s="87"/>
      <c r="R58"/>
      <c r="S58" s="15"/>
      <c r="T58" t="s">
        <v>270</v>
      </c>
      <c r="U58" s="15" t="s">
        <v>301</v>
      </c>
      <c r="V58" s="15"/>
      <c r="W58" s="15"/>
      <c r="X58" s="15"/>
    </row>
    <row r="59" spans="1:24" s="17" customFormat="1" ht="33.75" hidden="1" customHeight="1" x14ac:dyDescent="0.35">
      <c r="A59" s="99"/>
      <c r="B59" s="100"/>
      <c r="C59" s="92"/>
      <c r="D59" s="93"/>
      <c r="E59" s="93"/>
      <c r="F59" s="93"/>
      <c r="G59" s="93"/>
      <c r="H59" s="87"/>
      <c r="R59"/>
      <c r="S59" s="15"/>
      <c r="T59" t="s">
        <v>271</v>
      </c>
      <c r="U59" s="15"/>
      <c r="V59" s="15"/>
      <c r="W59" s="15"/>
      <c r="X59" s="15"/>
    </row>
    <row r="60" spans="1:24" x14ac:dyDescent="0.35">
      <c r="A60" s="112" t="s">
        <v>42</v>
      </c>
      <c r="B60" s="113"/>
      <c r="C60" s="112" t="s">
        <v>103</v>
      </c>
      <c r="D60" s="114"/>
      <c r="E60" s="113"/>
      <c r="F60" s="57" t="s">
        <v>40</v>
      </c>
      <c r="G60" s="120" t="s">
        <v>28</v>
      </c>
      <c r="H60" s="121"/>
      <c r="R60"/>
      <c r="T60" t="s">
        <v>273</v>
      </c>
    </row>
    <row r="61" spans="1:24" x14ac:dyDescent="0.35">
      <c r="A61" s="149" t="s">
        <v>44</v>
      </c>
      <c r="B61" s="149"/>
      <c r="C61" s="149"/>
      <c r="D61" s="149"/>
      <c r="E61" s="149"/>
      <c r="F61" s="149"/>
      <c r="G61" s="149"/>
      <c r="H61" s="149"/>
      <c r="T61" t="s">
        <v>282</v>
      </c>
    </row>
    <row r="62" spans="1:24" x14ac:dyDescent="0.35">
      <c r="A62" s="115" t="s">
        <v>88</v>
      </c>
      <c r="B62" s="115"/>
      <c r="C62" s="115"/>
      <c r="D62" s="111">
        <v>4228.8500000000004</v>
      </c>
      <c r="E62" s="111"/>
      <c r="F62" s="111"/>
      <c r="G62" s="111"/>
      <c r="H62" s="111"/>
      <c r="R62"/>
    </row>
    <row r="63" spans="1:24" x14ac:dyDescent="0.35">
      <c r="A63" s="165" t="s">
        <v>45</v>
      </c>
      <c r="B63" s="119"/>
      <c r="C63" s="119"/>
      <c r="D63" s="119" t="s">
        <v>369</v>
      </c>
      <c r="E63" s="119"/>
      <c r="F63" s="119"/>
      <c r="G63" s="119"/>
      <c r="H63" s="119"/>
      <c r="I63" s="18"/>
      <c r="R63"/>
    </row>
    <row r="64" spans="1:24" x14ac:dyDescent="0.35">
      <c r="A64" s="103" t="s">
        <v>46</v>
      </c>
      <c r="B64" s="104"/>
      <c r="C64" s="182"/>
      <c r="D64" s="153" t="s">
        <v>328</v>
      </c>
      <c r="E64" s="181"/>
      <c r="F64" s="181"/>
      <c r="G64" s="181"/>
      <c r="H64" s="181"/>
      <c r="R64"/>
    </row>
    <row r="65" spans="1:19" ht="31" customHeight="1" x14ac:dyDescent="0.35">
      <c r="A65" s="103" t="s">
        <v>86</v>
      </c>
      <c r="B65" s="104"/>
      <c r="C65" s="104"/>
      <c r="D65" s="105" t="s">
        <v>370</v>
      </c>
      <c r="E65" s="106"/>
      <c r="F65" s="106"/>
      <c r="G65" s="106"/>
      <c r="H65" s="107"/>
      <c r="R65"/>
    </row>
    <row r="66" spans="1:19" ht="15.75" customHeight="1" x14ac:dyDescent="0.35">
      <c r="A66" s="111" t="s">
        <v>43</v>
      </c>
      <c r="B66" s="111"/>
      <c r="C66" s="111"/>
      <c r="D66" s="173" t="s">
        <v>329</v>
      </c>
      <c r="E66" s="173"/>
      <c r="F66" s="173"/>
      <c r="G66" s="173"/>
      <c r="H66" s="173"/>
      <c r="J66" s="19"/>
      <c r="K66" s="18"/>
      <c r="N66" s="18"/>
      <c r="S66"/>
    </row>
    <row r="67" spans="1:19" ht="15.75" customHeight="1" x14ac:dyDescent="0.35">
      <c r="A67" s="111" t="s">
        <v>84</v>
      </c>
      <c r="B67" s="111"/>
      <c r="C67" s="111"/>
      <c r="D67" s="175" t="str">
        <f>(IF(G60="NA","60 Years After Completion",IF(G60&lt;&gt;"NA",""&amp;60-ROUNDDOWN((E3-G60)/360,0)&amp;" Years"," ")))</f>
        <v>60 Years After Completion</v>
      </c>
      <c r="E67" s="175"/>
      <c r="F67" s="175"/>
      <c r="G67" s="175"/>
      <c r="H67" s="175"/>
      <c r="N67" s="18"/>
      <c r="S67"/>
    </row>
    <row r="68" spans="1:19" ht="15.75" customHeight="1" x14ac:dyDescent="0.35">
      <c r="A68" s="111" t="s">
        <v>85</v>
      </c>
      <c r="B68" s="111"/>
      <c r="C68" s="111"/>
      <c r="D68" s="115" t="s">
        <v>23</v>
      </c>
      <c r="E68" s="115"/>
      <c r="F68" s="115"/>
      <c r="G68" s="115"/>
      <c r="H68" s="115"/>
      <c r="J68" s="20"/>
      <c r="K68" s="20"/>
      <c r="S68"/>
    </row>
    <row r="69" spans="1:19" ht="33.75" customHeight="1" x14ac:dyDescent="0.35">
      <c r="A69" s="119" t="s">
        <v>330</v>
      </c>
      <c r="B69" s="119"/>
      <c r="C69" s="119"/>
      <c r="D69" s="165" t="s">
        <v>331</v>
      </c>
      <c r="E69" s="115"/>
      <c r="F69" s="115"/>
      <c r="G69" s="115"/>
      <c r="H69" s="115"/>
      <c r="S69"/>
    </row>
    <row r="70" spans="1:19" x14ac:dyDescent="0.35">
      <c r="A70" s="115" t="s">
        <v>149</v>
      </c>
      <c r="B70" s="115"/>
      <c r="C70" s="115"/>
      <c r="D70" s="115" t="s">
        <v>28</v>
      </c>
      <c r="E70" s="115"/>
      <c r="F70" s="115"/>
      <c r="G70" s="115"/>
      <c r="H70" s="115"/>
      <c r="I70" s="21"/>
      <c r="J70" s="21"/>
      <c r="K70" s="21"/>
      <c r="L70" s="21"/>
      <c r="M70" s="21"/>
      <c r="N70" s="21"/>
    </row>
    <row r="71" spans="1:19" ht="15.75" customHeight="1" x14ac:dyDescent="0.35">
      <c r="A71" s="116" t="s">
        <v>83</v>
      </c>
      <c r="B71" s="116"/>
      <c r="C71" s="116"/>
      <c r="D71" s="153" t="str">
        <f ca="1">(IF(G77&gt;95%,"Nothing",IF(G77&gt;0%,"Cement, Aggregate, Steel, etc",IF(G77=0%,"Work not yet Started"))))</f>
        <v>Cement, Aggregate, Steel, etc</v>
      </c>
      <c r="E71" s="153"/>
      <c r="F71" s="153"/>
      <c r="G71" s="153"/>
      <c r="H71" s="153"/>
      <c r="J71" s="20"/>
      <c r="S71"/>
    </row>
    <row r="72" spans="1:19" ht="33.75" customHeight="1" thickBot="1" x14ac:dyDescent="0.4">
      <c r="A72" s="115" t="s">
        <v>116</v>
      </c>
      <c r="B72" s="115"/>
      <c r="C72" s="115"/>
      <c r="D72" s="165" t="str">
        <f ca="1">(IF(D71="Nothing","Yes",IF(D71="Cement, Aggregate, Steel, etc","Under Construction",IF(D71="Work not yet Started","Work not yet Started"))))</f>
        <v>Under Construction</v>
      </c>
      <c r="E72" s="165"/>
      <c r="F72" s="165" t="str">
        <f ca="1">(IF(D71="Nothing","Yes",IF(D71="Cement, Aggregate, Steel, etc","Under Construction",IF(D71="Work not yet Started","Work not yet Started"))))</f>
        <v>Under Construction</v>
      </c>
      <c r="G72" s="165"/>
      <c r="H72" s="165"/>
      <c r="S72"/>
    </row>
    <row r="73" spans="1:19" ht="15.75" customHeight="1" x14ac:dyDescent="0.35">
      <c r="A73" s="185" t="s">
        <v>139</v>
      </c>
      <c r="B73" s="185"/>
      <c r="C73" s="185" t="str">
        <f>D65</f>
        <v>Sale Building No. 1 (A &amp; B Wing) = 2B + LG + UG + 1st to 6th Floor</v>
      </c>
      <c r="D73" s="185"/>
      <c r="E73" s="185"/>
      <c r="F73" s="185"/>
      <c r="G73" s="185"/>
      <c r="H73" s="185"/>
      <c r="I73" s="68" t="str">
        <f ca="1">IF(D86=100%,"All work Completed. Possession granted to the Building.",IF(D85=100%,"All work Completed, Waiting for OC",I74&amp;""&amp;I75&amp;""&amp;J74&amp;""&amp;J73&amp;" "&amp;J75))</f>
        <v xml:space="preserve">Excavation, Plinth Completed </v>
      </c>
      <c r="J73" s="33"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5">
      <c r="A74" s="76" t="s">
        <v>141</v>
      </c>
      <c r="B74" s="76">
        <f>IF(AND(ISNUMBER(SEARCH("1B",C73))),1,IF(AND(ISNUMBER(SEARCH("2B",C73))),2,IF(AND(ISNUMBER(SEARCH("3B",C73))),3,IF(AND(ISNUMBER(SEARCH("4B",C73))),4,IF(ISNUMBER(SEARCH("5B",C73)),5,0)))))</f>
        <v>2</v>
      </c>
      <c r="C74" s="76" t="s">
        <v>69</v>
      </c>
      <c r="D74" s="76">
        <v>2</v>
      </c>
      <c r="E74" s="76" t="s">
        <v>68</v>
      </c>
      <c r="F74" s="76">
        <v>0</v>
      </c>
      <c r="G74" s="76" t="s">
        <v>77</v>
      </c>
      <c r="H74" s="76">
        <f ca="1">--TRIM(RIGHT(SUBSTITUTE(LEFT(C73,_xlfn.AGGREGATE(16,6,FIND({0,1,2,3,4,5,6,7,8,9},C73,ROW(INDIRECT("1:"&amp;LEN(C73)))),1))," ",REPT(" ",LEN(C73))),LEN(C73)))</f>
        <v>6</v>
      </c>
      <c r="I74" s="69" t="str">
        <f ca="1">IF(D77=100%,"Excavation","")&amp;IF(D78=100%,", Plinth","")&amp;IF(D79=100%,", RCC Slab","")&amp;IF(D80=100%,", Brickwork","")&amp;IF(D81=100%,", Internal Plaster","")&amp;IF(D82=100%,", External Plaster","")&amp;IF(D83=100%,", Flooring","")&amp;IF(D84=100%,", Painting","")&amp;IF(D85=100%,", Building common Amenities","")</f>
        <v>Excavation, Plinth</v>
      </c>
      <c r="J74" s="34"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x14ac:dyDescent="0.35">
      <c r="A75" s="163" t="s">
        <v>87</v>
      </c>
      <c r="B75" s="163"/>
      <c r="C75" s="185" t="str">
        <f ca="1">I73</f>
        <v xml:space="preserve">Excavation, Plinth Completed </v>
      </c>
      <c r="D75" s="185"/>
      <c r="E75" s="185"/>
      <c r="F75" s="185"/>
      <c r="G75" s="185"/>
      <c r="H75" s="185"/>
      <c r="I75" s="69" t="str">
        <f ca="1">IF(I74&lt;&gt;""," Completed","")</f>
        <v xml:space="preserve"> Completed</v>
      </c>
      <c r="J75" s="34" t="str">
        <f ca="1">IF(J73&lt;&gt;"","Completed","")</f>
        <v/>
      </c>
      <c r="S75"/>
    </row>
    <row r="76" spans="1:19" ht="15.75" customHeight="1" x14ac:dyDescent="0.35">
      <c r="A76" s="118" t="s">
        <v>47</v>
      </c>
      <c r="B76" s="118"/>
      <c r="C76" s="73" t="s">
        <v>138</v>
      </c>
      <c r="D76" s="73" t="s">
        <v>80</v>
      </c>
      <c r="E76" s="118" t="s">
        <v>82</v>
      </c>
      <c r="F76" s="118"/>
      <c r="G76" s="118" t="s">
        <v>81</v>
      </c>
      <c r="H76" s="118"/>
      <c r="I76" s="13" t="s">
        <v>140</v>
      </c>
      <c r="J76" s="22">
        <f ca="1">H74*25%</f>
        <v>1.5</v>
      </c>
      <c r="S76"/>
    </row>
    <row r="77" spans="1:19" x14ac:dyDescent="0.35">
      <c r="A77" s="118" t="s">
        <v>127</v>
      </c>
      <c r="B77" s="118"/>
      <c r="C77" s="73">
        <f ca="1">J78</f>
        <v>6</v>
      </c>
      <c r="D77" s="49">
        <f ca="1">((100/H74)*C77)/100</f>
        <v>1</v>
      </c>
      <c r="E77" s="174">
        <f ca="1">(((C78/H74*10)+(40/(D74+F74+H74)*C79)+(7.5/(H74)*C80)+(7.5/(H74)*C81)+(10/H74*C82)+(10/H74*C83)+(5/H74*C84)+(5/H74*C85)+(5/H74*C86))/100)</f>
        <v>0.1</v>
      </c>
      <c r="F77" s="174"/>
      <c r="G77" s="174">
        <f ca="1">((((C77/H74)*20)+((C78/H74)*25)+(30/(H74+F74+D74)*C79)+(5/H74*C80)+(5/H74*C81)+(5/H74*C82)+(5/H74*C83)+(0/H74*C84)+(0/H74*C85)+(5/H74*C86))/100)</f>
        <v>0.45</v>
      </c>
      <c r="H77" s="174"/>
      <c r="I77" s="13" t="s">
        <v>98</v>
      </c>
      <c r="J77" s="23">
        <f ca="1">H74*50%</f>
        <v>3</v>
      </c>
    </row>
    <row r="78" spans="1:19" x14ac:dyDescent="0.35">
      <c r="A78" s="118" t="s">
        <v>48</v>
      </c>
      <c r="B78" s="118"/>
      <c r="C78" s="67">
        <f ca="1">J86</f>
        <v>6</v>
      </c>
      <c r="D78" s="49">
        <f ca="1">((100/H74)*C78)/100</f>
        <v>1</v>
      </c>
      <c r="E78" s="174"/>
      <c r="F78" s="174"/>
      <c r="G78" s="174"/>
      <c r="H78" s="174"/>
      <c r="I78" s="13" t="s">
        <v>99</v>
      </c>
      <c r="J78" s="23">
        <f ca="1">H74</f>
        <v>6</v>
      </c>
      <c r="S78"/>
    </row>
    <row r="79" spans="1:19" ht="15.75" customHeight="1" x14ac:dyDescent="0.35">
      <c r="A79" s="118" t="s">
        <v>128</v>
      </c>
      <c r="B79" s="118"/>
      <c r="C79" s="73">
        <v>0</v>
      </c>
      <c r="D79" s="49">
        <f ca="1">((100/(D74+F74+H74))*C79)/100</f>
        <v>0</v>
      </c>
      <c r="E79" s="174"/>
      <c r="F79" s="174"/>
      <c r="G79" s="174"/>
      <c r="H79" s="174"/>
      <c r="I79" s="13" t="s">
        <v>100</v>
      </c>
      <c r="J79" s="24">
        <f ca="1">(IF(B74&gt;1,(H74/(B74+2)),H74/4))</f>
        <v>1.5</v>
      </c>
      <c r="S79"/>
    </row>
    <row r="80" spans="1:19" ht="15.75" customHeight="1" x14ac:dyDescent="0.35">
      <c r="A80" s="118" t="s">
        <v>135</v>
      </c>
      <c r="B80" s="118" t="s">
        <v>129</v>
      </c>
      <c r="C80" s="73">
        <v>0</v>
      </c>
      <c r="D80" s="49">
        <f ca="1">((100/H74)*C80)/100</f>
        <v>0</v>
      </c>
      <c r="E80" s="174"/>
      <c r="F80" s="174"/>
      <c r="G80" s="174"/>
      <c r="H80" s="174"/>
      <c r="I80" s="13" t="s">
        <v>101</v>
      </c>
      <c r="J80" s="24">
        <f ca="1">(IF(B74&gt;1,(H74/(B74+2)+J79),H74/4+J79))</f>
        <v>3</v>
      </c>
    </row>
    <row r="81" spans="1:22" ht="15.75" customHeight="1" x14ac:dyDescent="0.35">
      <c r="A81" s="118" t="s">
        <v>136</v>
      </c>
      <c r="B81" s="118" t="s">
        <v>129</v>
      </c>
      <c r="C81" s="73">
        <v>0</v>
      </c>
      <c r="D81" s="49">
        <f ca="1">((100/H74)*C81)/100</f>
        <v>0</v>
      </c>
      <c r="E81" s="174"/>
      <c r="F81" s="174"/>
      <c r="G81" s="174"/>
      <c r="H81" s="174"/>
      <c r="I81" s="13" t="s">
        <v>147</v>
      </c>
      <c r="J81" s="24">
        <f ca="1">(IF(B74&gt;1,(H74/(B74+2)+J80),0))</f>
        <v>4.5</v>
      </c>
    </row>
    <row r="82" spans="1:22" ht="15" customHeight="1" x14ac:dyDescent="0.35">
      <c r="A82" s="118" t="s">
        <v>134</v>
      </c>
      <c r="B82" s="118" t="s">
        <v>131</v>
      </c>
      <c r="C82" s="73">
        <v>0</v>
      </c>
      <c r="D82" s="49">
        <f ca="1">((100/(H74))*C82)/100</f>
        <v>0</v>
      </c>
      <c r="E82" s="174"/>
      <c r="F82" s="174"/>
      <c r="G82" s="174"/>
      <c r="H82" s="174"/>
      <c r="I82" s="13" t="s">
        <v>142</v>
      </c>
      <c r="J82" s="24">
        <f>(IF(B74&gt;2,(H74/(B74+2)+J81),0))</f>
        <v>0</v>
      </c>
    </row>
    <row r="83" spans="1:22" ht="15.75" customHeight="1" x14ac:dyDescent="0.35">
      <c r="A83" s="118" t="s">
        <v>130</v>
      </c>
      <c r="B83" s="118" t="s">
        <v>130</v>
      </c>
      <c r="C83" s="73">
        <v>0</v>
      </c>
      <c r="D83" s="49">
        <f ca="1">((100/H74)*C83)/100</f>
        <v>0</v>
      </c>
      <c r="E83" s="174"/>
      <c r="F83" s="174"/>
      <c r="G83" s="174"/>
      <c r="H83" s="174"/>
      <c r="I83" s="13" t="s">
        <v>143</v>
      </c>
      <c r="J83" s="25">
        <f>(IF(B74&gt;3,(H74/(B74+2)+J82),0))</f>
        <v>0</v>
      </c>
    </row>
    <row r="84" spans="1:22" ht="15.75" customHeight="1" x14ac:dyDescent="0.35">
      <c r="A84" s="118" t="s">
        <v>137</v>
      </c>
      <c r="B84" s="118"/>
      <c r="C84" s="73">
        <v>0</v>
      </c>
      <c r="D84" s="49">
        <f ca="1">((100/H74)*C84)/100</f>
        <v>0</v>
      </c>
      <c r="E84" s="174"/>
      <c r="F84" s="174"/>
      <c r="G84" s="174"/>
      <c r="H84" s="174"/>
      <c r="I84" s="13" t="s">
        <v>144</v>
      </c>
      <c r="J84" s="24">
        <f>(IF(B74&gt;4,(H74/(B74+2)+J83),0))</f>
        <v>0</v>
      </c>
    </row>
    <row r="85" spans="1:22" ht="15.75" customHeight="1" x14ac:dyDescent="0.35">
      <c r="A85" s="118" t="s">
        <v>132</v>
      </c>
      <c r="B85" s="118" t="s">
        <v>132</v>
      </c>
      <c r="C85" s="73">
        <v>0</v>
      </c>
      <c r="D85" s="49">
        <f ca="1">((100/(H74))*C85)/100</f>
        <v>0</v>
      </c>
      <c r="E85" s="174"/>
      <c r="F85" s="174"/>
      <c r="G85" s="174"/>
      <c r="H85" s="174"/>
      <c r="I85" s="13" t="s">
        <v>148</v>
      </c>
      <c r="J85" s="24">
        <f>(IF(B74=1,(H74/(B74+3)+J80),IF(B74=0,(H74/4+J80),IF(B74&gt;1,0))))</f>
        <v>0</v>
      </c>
    </row>
    <row r="86" spans="1:22" ht="16" thickBot="1" x14ac:dyDescent="0.4">
      <c r="A86" s="118" t="s">
        <v>133</v>
      </c>
      <c r="B86" s="118"/>
      <c r="C86" s="73">
        <v>0</v>
      </c>
      <c r="D86" s="49">
        <f ca="1">((100/(H74))*C86)/100</f>
        <v>0</v>
      </c>
      <c r="E86" s="174"/>
      <c r="F86" s="174"/>
      <c r="G86" s="174"/>
      <c r="H86" s="174"/>
      <c r="I86" s="14" t="s">
        <v>102</v>
      </c>
      <c r="J86" s="26">
        <f ca="1">(IF(B74&gt;1.5,(H74/(B74+2)+J80+MAX(0,J81-J80)+MAX(0,J82-J81)+MAX(0,J83-J82)+MAX(0,J84-J83)+MAX(0,J85-J84)),IF(B74=1,(H74/(B74+3)+J85),IF(B74=0,H74/4+J85))))</f>
        <v>6</v>
      </c>
    </row>
    <row r="87" spans="1:22" x14ac:dyDescent="0.35">
      <c r="A87" s="191" t="s">
        <v>159</v>
      </c>
      <c r="B87" s="191"/>
      <c r="C87" s="191"/>
      <c r="D87" s="191"/>
      <c r="E87" s="191"/>
      <c r="F87" s="150" t="s">
        <v>162</v>
      </c>
      <c r="G87" s="150"/>
      <c r="H87" s="150"/>
      <c r="R87" t="s">
        <v>257</v>
      </c>
      <c r="S87" t="s">
        <v>174</v>
      </c>
      <c r="T87" t="s">
        <v>181</v>
      </c>
      <c r="U87" t="s">
        <v>196</v>
      </c>
      <c r="V87" t="s">
        <v>191</v>
      </c>
    </row>
    <row r="88" spans="1:22" x14ac:dyDescent="0.35">
      <c r="A88" s="111" t="s">
        <v>160</v>
      </c>
      <c r="B88" s="111"/>
      <c r="C88" s="111"/>
      <c r="D88" s="111"/>
      <c r="E88" s="111"/>
      <c r="F88" s="110">
        <v>40000</v>
      </c>
      <c r="G88" s="110"/>
      <c r="H88" s="110"/>
      <c r="I88" s="15" t="s">
        <v>373</v>
      </c>
      <c r="R88"/>
      <c r="S88">
        <v>800000</v>
      </c>
      <c r="T88">
        <v>150000</v>
      </c>
      <c r="U88">
        <v>100000</v>
      </c>
      <c r="V88">
        <v>100000</v>
      </c>
    </row>
    <row r="89" spans="1:22" x14ac:dyDescent="0.35">
      <c r="A89" s="111" t="s">
        <v>161</v>
      </c>
      <c r="B89" s="111"/>
      <c r="C89" s="111"/>
      <c r="D89" s="111"/>
      <c r="E89" s="111"/>
      <c r="F89" s="110">
        <v>33000</v>
      </c>
      <c r="G89" s="110"/>
      <c r="H89" s="110"/>
      <c r="R89"/>
      <c r="S89">
        <v>900000</v>
      </c>
      <c r="T89">
        <v>200000</v>
      </c>
      <c r="U89">
        <v>150000</v>
      </c>
      <c r="V89">
        <v>150000</v>
      </c>
    </row>
    <row r="90" spans="1:22" hidden="1" x14ac:dyDescent="0.35">
      <c r="A90" s="111" t="s">
        <v>161</v>
      </c>
      <c r="B90" s="111"/>
      <c r="C90" s="111"/>
      <c r="D90" s="111"/>
      <c r="E90" s="111"/>
      <c r="F90" s="110"/>
      <c r="G90" s="110"/>
      <c r="H90" s="110"/>
      <c r="R90"/>
      <c r="S90">
        <v>1000000</v>
      </c>
      <c r="T90">
        <v>250000</v>
      </c>
      <c r="U90">
        <v>200000</v>
      </c>
      <c r="V90">
        <v>200000</v>
      </c>
    </row>
    <row r="91" spans="1:22" s="27" customFormat="1" hidden="1" x14ac:dyDescent="0.35">
      <c r="A91" s="111" t="s">
        <v>176</v>
      </c>
      <c r="B91" s="111"/>
      <c r="C91" s="111"/>
      <c r="D91" s="111"/>
      <c r="E91" s="111"/>
      <c r="F91" s="110"/>
      <c r="G91" s="110"/>
      <c r="H91" s="110"/>
      <c r="R91"/>
      <c r="S91">
        <v>1100000</v>
      </c>
      <c r="T91">
        <v>300000</v>
      </c>
      <c r="U91">
        <v>250000</v>
      </c>
      <c r="V91" s="17">
        <v>250000</v>
      </c>
    </row>
    <row r="92" spans="1:22" s="27" customFormat="1" hidden="1" x14ac:dyDescent="0.35">
      <c r="A92" s="111" t="s">
        <v>92</v>
      </c>
      <c r="B92" s="111"/>
      <c r="C92" s="111"/>
      <c r="D92" s="111"/>
      <c r="E92" s="111"/>
      <c r="F92" s="110"/>
      <c r="G92" s="110"/>
      <c r="H92" s="110"/>
      <c r="R92"/>
      <c r="S92">
        <v>1200000</v>
      </c>
      <c r="T92">
        <v>350000</v>
      </c>
      <c r="U92">
        <v>300000</v>
      </c>
      <c r="V92">
        <v>300000</v>
      </c>
    </row>
    <row r="93" spans="1:22" s="27" customFormat="1" hidden="1" x14ac:dyDescent="0.35">
      <c r="A93" s="111" t="s">
        <v>93</v>
      </c>
      <c r="B93" s="111"/>
      <c r="C93" s="111"/>
      <c r="D93" s="111"/>
      <c r="E93" s="111"/>
      <c r="F93" s="110"/>
      <c r="G93" s="110"/>
      <c r="H93" s="110"/>
      <c r="R93"/>
      <c r="S93">
        <v>1300000</v>
      </c>
      <c r="T93">
        <v>400000</v>
      </c>
      <c r="U93">
        <v>350000</v>
      </c>
      <c r="V93" s="17">
        <v>400000</v>
      </c>
    </row>
    <row r="94" spans="1:22" s="27" customFormat="1" hidden="1" x14ac:dyDescent="0.35">
      <c r="A94" s="111" t="s">
        <v>94</v>
      </c>
      <c r="B94" s="111"/>
      <c r="C94" s="111"/>
      <c r="D94" s="111"/>
      <c r="E94" s="111"/>
      <c r="F94" s="110"/>
      <c r="G94" s="110"/>
      <c r="H94" s="110"/>
      <c r="R94"/>
      <c r="S94">
        <v>1400000</v>
      </c>
      <c r="T94">
        <v>500000</v>
      </c>
      <c r="U94">
        <v>400000</v>
      </c>
      <c r="V94"/>
    </row>
    <row r="95" spans="1:22" s="27" customFormat="1" hidden="1" x14ac:dyDescent="0.35">
      <c r="A95" s="111" t="s">
        <v>95</v>
      </c>
      <c r="B95" s="111"/>
      <c r="C95" s="111"/>
      <c r="D95" s="111"/>
      <c r="E95" s="111"/>
      <c r="F95" s="110"/>
      <c r="G95" s="110"/>
      <c r="H95" s="110"/>
      <c r="R95"/>
      <c r="S95">
        <v>1500000</v>
      </c>
      <c r="T95">
        <v>600000</v>
      </c>
      <c r="U95">
        <v>500000</v>
      </c>
      <c r="V95" s="17"/>
    </row>
    <row r="96" spans="1:22" s="27" customFormat="1" hidden="1" x14ac:dyDescent="0.35">
      <c r="A96" s="111" t="s">
        <v>96</v>
      </c>
      <c r="B96" s="111"/>
      <c r="C96" s="111"/>
      <c r="D96" s="111"/>
      <c r="E96" s="111"/>
      <c r="F96" s="110"/>
      <c r="G96" s="110"/>
      <c r="H96" s="110"/>
      <c r="R96"/>
      <c r="S96">
        <v>1600000</v>
      </c>
      <c r="T96">
        <v>700000</v>
      </c>
      <c r="U96">
        <v>600000</v>
      </c>
      <c r="V96"/>
    </row>
    <row r="97" spans="1:22" s="27" customFormat="1" hidden="1" x14ac:dyDescent="0.35">
      <c r="A97" s="111" t="s">
        <v>97</v>
      </c>
      <c r="B97" s="111"/>
      <c r="C97" s="111"/>
      <c r="D97" s="111"/>
      <c r="E97" s="111"/>
      <c r="F97" s="110"/>
      <c r="G97" s="110"/>
      <c r="H97" s="110"/>
      <c r="R97"/>
      <c r="S97">
        <v>1700000</v>
      </c>
      <c r="T97">
        <v>800000</v>
      </c>
      <c r="U97"/>
      <c r="V97" s="17"/>
    </row>
    <row r="98" spans="1:22" x14ac:dyDescent="0.35">
      <c r="A98" s="111" t="s">
        <v>49</v>
      </c>
      <c r="B98" s="111"/>
      <c r="C98" s="111"/>
      <c r="D98" s="111"/>
      <c r="E98" s="111"/>
      <c r="F98" s="110">
        <v>1000000</v>
      </c>
      <c r="G98" s="110"/>
      <c r="H98" s="110"/>
      <c r="R98"/>
      <c r="S98">
        <v>1800000</v>
      </c>
      <c r="T98">
        <v>900000</v>
      </c>
      <c r="U98"/>
    </row>
    <row r="99" spans="1:22" s="28" customFormat="1" x14ac:dyDescent="0.35">
      <c r="A99" s="157" t="s">
        <v>50</v>
      </c>
      <c r="B99" s="157"/>
      <c r="C99" s="157"/>
      <c r="D99" s="157"/>
      <c r="E99" s="157"/>
      <c r="F99" s="110">
        <f>F88*0.8</f>
        <v>32000</v>
      </c>
      <c r="G99" s="110"/>
      <c r="H99" s="110"/>
      <c r="R99" s="15"/>
      <c r="S99" s="15"/>
      <c r="T99">
        <v>1000000</v>
      </c>
      <c r="U99"/>
      <c r="V99" s="15"/>
    </row>
    <row r="100" spans="1:22" s="29" customFormat="1" ht="15.75" customHeight="1" x14ac:dyDescent="0.35">
      <c r="A100" s="156" t="s">
        <v>72</v>
      </c>
      <c r="B100" s="156"/>
      <c r="C100" s="156"/>
      <c r="D100" s="156"/>
      <c r="E100" s="156"/>
      <c r="F100" s="156"/>
      <c r="G100" s="156"/>
      <c r="H100" s="156"/>
      <c r="R100"/>
      <c r="S100" s="15"/>
      <c r="T100"/>
      <c r="U100"/>
      <c r="V100" s="15"/>
    </row>
    <row r="101" spans="1:22" s="29" customFormat="1" ht="15.75" customHeight="1" x14ac:dyDescent="0.35">
      <c r="A101" s="125" t="s">
        <v>51</v>
      </c>
      <c r="B101" s="125"/>
      <c r="C101" s="122" t="s">
        <v>75</v>
      </c>
      <c r="D101" s="122"/>
      <c r="E101" s="126" t="s">
        <v>52</v>
      </c>
      <c r="F101" s="126"/>
      <c r="G101" s="125" t="s">
        <v>53</v>
      </c>
      <c r="H101" s="125"/>
      <c r="R101"/>
      <c r="S101" s="15"/>
      <c r="T101"/>
      <c r="U101" s="15"/>
      <c r="V101" s="15"/>
    </row>
    <row r="102" spans="1:22" s="29" customFormat="1" x14ac:dyDescent="0.35">
      <c r="A102" s="129" t="s">
        <v>361</v>
      </c>
      <c r="B102" s="129"/>
      <c r="C102" s="79">
        <f>COUNT(F119:F120)+COUNT(F124)</f>
        <v>3</v>
      </c>
      <c r="D102" s="80"/>
      <c r="E102" s="81">
        <f>SUM(F119:F120)+SUM(F124)</f>
        <v>5697.8157599999995</v>
      </c>
      <c r="F102" s="81"/>
      <c r="G102" s="81">
        <f>SUM(H119:H120)+SUM(H124)</f>
        <v>8546.7236400000002</v>
      </c>
      <c r="H102" s="81"/>
      <c r="R102"/>
      <c r="S102" s="15"/>
      <c r="T102"/>
      <c r="U102" s="15"/>
      <c r="V102" s="15"/>
    </row>
    <row r="103" spans="1:22" s="29" customFormat="1" x14ac:dyDescent="0.35">
      <c r="A103" s="82" t="s">
        <v>365</v>
      </c>
      <c r="B103" s="58" t="s">
        <v>366</v>
      </c>
      <c r="C103" s="79">
        <f>COUNT(F129:F136)+COUNT(F138:F145)*3</f>
        <v>32</v>
      </c>
      <c r="D103" s="80"/>
      <c r="E103" s="81">
        <f t="shared" ref="E103" si="0">SUM(F129:F136)+SUM(F138:F145)*3</f>
        <v>21153.412799999998</v>
      </c>
      <c r="F103" s="81"/>
      <c r="G103" s="81">
        <f>SUM(H129:H136)+SUM(H138:H145)*3</f>
        <v>31730.119200000008</v>
      </c>
      <c r="H103" s="81"/>
      <c r="R103"/>
      <c r="S103" s="15"/>
      <c r="T103"/>
      <c r="U103" s="15"/>
      <c r="V103" s="15"/>
    </row>
    <row r="104" spans="1:22" s="55" customFormat="1" x14ac:dyDescent="0.35">
      <c r="A104" s="83"/>
      <c r="B104" s="58" t="s">
        <v>363</v>
      </c>
      <c r="C104" s="79">
        <f>COUNT(F148:F154)+COUNT(F156:F162)*3</f>
        <v>28</v>
      </c>
      <c r="D104" s="80"/>
      <c r="E104" s="81">
        <f t="shared" ref="E104" si="1">SUM(F148:F154)+SUM(F156:F162)*3</f>
        <v>13405.916160000001</v>
      </c>
      <c r="F104" s="81"/>
      <c r="G104" s="81">
        <f>SUM(H148:H154)+SUM(H156:H162)*3</f>
        <v>20108.874240000001</v>
      </c>
      <c r="H104" s="81"/>
      <c r="R104"/>
      <c r="S104" s="15"/>
      <c r="T104"/>
      <c r="U104" s="15"/>
      <c r="V104" s="15"/>
    </row>
    <row r="105" spans="1:22" s="29" customFormat="1" x14ac:dyDescent="0.35">
      <c r="A105" s="156" t="s">
        <v>152</v>
      </c>
      <c r="B105" s="156"/>
      <c r="C105" s="128">
        <f>SUM(C102:D104)</f>
        <v>63</v>
      </c>
      <c r="D105" s="122"/>
      <c r="E105" s="128">
        <f>SUM(E102:F104)</f>
        <v>40257.144719999997</v>
      </c>
      <c r="F105" s="128"/>
      <c r="G105" s="128">
        <f>SUM(G102:H104)</f>
        <v>60385.717080000017</v>
      </c>
      <c r="H105" s="128"/>
      <c r="R105"/>
      <c r="S105" s="15"/>
      <c r="T105"/>
      <c r="U105" s="15"/>
      <c r="V105" s="15"/>
    </row>
    <row r="106" spans="1:22" s="29" customFormat="1" hidden="1" x14ac:dyDescent="0.35">
      <c r="A106" s="156" t="s">
        <v>67</v>
      </c>
      <c r="B106" s="156"/>
      <c r="C106" s="156"/>
      <c r="D106" s="156"/>
      <c r="E106" s="156"/>
      <c r="F106" s="156"/>
      <c r="G106" s="156"/>
      <c r="H106" s="156"/>
      <c r="T106"/>
    </row>
    <row r="107" spans="1:22" s="29" customFormat="1" ht="15.75" hidden="1" customHeight="1" x14ac:dyDescent="0.35">
      <c r="A107" s="125" t="s">
        <v>51</v>
      </c>
      <c r="B107" s="125"/>
      <c r="C107" s="122" t="s">
        <v>75</v>
      </c>
      <c r="D107" s="122"/>
      <c r="E107" s="126" t="s">
        <v>52</v>
      </c>
      <c r="F107" s="126"/>
      <c r="G107" s="125" t="s">
        <v>53</v>
      </c>
      <c r="H107" s="125"/>
      <c r="T107"/>
    </row>
    <row r="108" spans="1:22" s="29" customFormat="1" hidden="1" x14ac:dyDescent="0.35">
      <c r="A108" s="129"/>
      <c r="B108" s="129"/>
      <c r="C108" s="80"/>
      <c r="D108" s="80"/>
      <c r="E108" s="130"/>
      <c r="F108" s="130"/>
      <c r="G108" s="131"/>
      <c r="H108" s="131"/>
      <c r="T108"/>
    </row>
    <row r="109" spans="1:22" s="29" customFormat="1" hidden="1" x14ac:dyDescent="0.35">
      <c r="A109" s="129"/>
      <c r="B109" s="129"/>
      <c r="C109" s="80"/>
      <c r="D109" s="80"/>
      <c r="E109" s="130"/>
      <c r="F109" s="130"/>
      <c r="G109" s="131"/>
      <c r="H109" s="131"/>
      <c r="T109"/>
    </row>
    <row r="110" spans="1:22" s="29" customFormat="1" ht="16" hidden="1" thickBot="1" x14ac:dyDescent="0.4">
      <c r="A110" s="158" t="s">
        <v>152</v>
      </c>
      <c r="B110" s="158"/>
      <c r="C110" s="123"/>
      <c r="D110" s="123"/>
      <c r="E110" s="159"/>
      <c r="F110" s="159"/>
      <c r="G110" s="160"/>
      <c r="H110" s="160"/>
      <c r="T110"/>
    </row>
    <row r="111" spans="1:22" s="29" customFormat="1" ht="16" hidden="1" thickBot="1" x14ac:dyDescent="0.4">
      <c r="A111" s="142" t="s">
        <v>168</v>
      </c>
      <c r="B111" s="143"/>
      <c r="C111" s="144">
        <f>C105+C110</f>
        <v>63</v>
      </c>
      <c r="D111" s="144"/>
      <c r="E111" s="183">
        <f>E105+E110</f>
        <v>40257.144719999997</v>
      </c>
      <c r="F111" s="183"/>
      <c r="G111" s="132">
        <f>G105+G110</f>
        <v>60385.717080000017</v>
      </c>
      <c r="H111" s="133"/>
      <c r="T111"/>
    </row>
    <row r="112" spans="1:22" s="28" customFormat="1" x14ac:dyDescent="0.35">
      <c r="A112" s="150" t="s">
        <v>54</v>
      </c>
      <c r="B112" s="150"/>
      <c r="C112" s="150"/>
      <c r="D112" s="150"/>
      <c r="E112" s="150"/>
      <c r="F112" s="150"/>
      <c r="G112" s="150"/>
      <c r="H112" s="150"/>
      <c r="T112" s="29"/>
    </row>
    <row r="113" spans="1:20" x14ac:dyDescent="0.35">
      <c r="A113" s="127" t="s">
        <v>358</v>
      </c>
      <c r="B113" s="127"/>
      <c r="C113" s="127"/>
      <c r="D113" s="127"/>
      <c r="E113" s="127"/>
      <c r="F113" s="127"/>
      <c r="G113" s="127"/>
      <c r="H113" s="127"/>
      <c r="T113" s="29"/>
    </row>
    <row r="114" spans="1:20" ht="47.25" customHeight="1" x14ac:dyDescent="0.35">
      <c r="A114" s="101" t="s">
        <v>119</v>
      </c>
      <c r="B114" s="101" t="s">
        <v>178</v>
      </c>
      <c r="C114" s="101" t="s">
        <v>55</v>
      </c>
      <c r="D114" s="189" t="s">
        <v>357</v>
      </c>
      <c r="E114" s="151" t="s">
        <v>158</v>
      </c>
      <c r="F114" s="101" t="s">
        <v>56</v>
      </c>
      <c r="G114" s="151" t="s">
        <v>57</v>
      </c>
      <c r="H114" s="59" t="s">
        <v>150</v>
      </c>
      <c r="T114" s="29"/>
    </row>
    <row r="115" spans="1:20" s="31" customFormat="1" x14ac:dyDescent="0.35">
      <c r="A115" s="102"/>
      <c r="B115" s="102"/>
      <c r="C115" s="102"/>
      <c r="D115" s="190"/>
      <c r="E115" s="152"/>
      <c r="F115" s="102"/>
      <c r="G115" s="152"/>
      <c r="H115" s="50">
        <v>0.5</v>
      </c>
      <c r="J115" s="51"/>
      <c r="K115" s="51"/>
      <c r="L115" s="51"/>
      <c r="M115" s="51"/>
      <c r="T115" s="29"/>
    </row>
    <row r="116" spans="1:20" s="48" customFormat="1" x14ac:dyDescent="0.35">
      <c r="A116" s="178" t="s">
        <v>332</v>
      </c>
      <c r="B116" s="179"/>
      <c r="C116" s="179"/>
      <c r="D116" s="179"/>
      <c r="E116" s="179"/>
      <c r="F116" s="179"/>
      <c r="G116" s="179"/>
      <c r="H116" s="180"/>
      <c r="J116" s="52"/>
      <c r="K116" s="51"/>
      <c r="L116" s="51"/>
      <c r="M116" s="51"/>
      <c r="T116" s="29"/>
    </row>
    <row r="117" spans="1:20" s="48" customFormat="1" x14ac:dyDescent="0.35">
      <c r="A117" s="178" t="s">
        <v>333</v>
      </c>
      <c r="B117" s="179"/>
      <c r="C117" s="179"/>
      <c r="D117" s="179"/>
      <c r="E117" s="179"/>
      <c r="F117" s="179"/>
      <c r="G117" s="179"/>
      <c r="H117" s="180"/>
      <c r="J117" s="52"/>
      <c r="K117" s="51"/>
      <c r="L117" s="51"/>
      <c r="M117" s="51"/>
      <c r="T117" s="29"/>
    </row>
    <row r="118" spans="1:20" s="31" customFormat="1" x14ac:dyDescent="0.35">
      <c r="A118" s="178" t="s">
        <v>334</v>
      </c>
      <c r="B118" s="179"/>
      <c r="C118" s="179"/>
      <c r="D118" s="179"/>
      <c r="E118" s="179"/>
      <c r="F118" s="179"/>
      <c r="G118" s="179"/>
      <c r="H118" s="180"/>
      <c r="J118" s="52"/>
      <c r="K118" s="51"/>
      <c r="L118" s="51"/>
      <c r="M118" s="51"/>
      <c r="T118" s="29"/>
    </row>
    <row r="119" spans="1:20" s="31" customFormat="1" ht="47.25" customHeight="1" x14ac:dyDescent="0.35">
      <c r="A119" s="84">
        <v>1</v>
      </c>
      <c r="B119" s="85"/>
      <c r="C119" s="42" t="s">
        <v>336</v>
      </c>
      <c r="D119" s="42">
        <f>(134.84+109.97)*10.764</f>
        <v>2635.1348399999997</v>
      </c>
      <c r="E119" s="42">
        <v>0</v>
      </c>
      <c r="F119" s="42">
        <f>D119+(IF(E119&lt;201,E119,IF(E119&lt;301,E119/2,E119/3)))</f>
        <v>2635.1348399999997</v>
      </c>
      <c r="G119" s="42">
        <v>0</v>
      </c>
      <c r="H119" s="42">
        <f>(F119+(IF(G119&lt;101,G119,IF(G119&lt;201,G119/2,IF(G119&lt;=301,G119/3,G119/4)))))*(($H$115)+1)</f>
        <v>3952.7022599999996</v>
      </c>
      <c r="I119" s="30"/>
      <c r="J119" s="51"/>
      <c r="K119" s="53"/>
      <c r="L119" s="177"/>
      <c r="M119" s="177"/>
      <c r="N119" s="30"/>
      <c r="T119" s="29"/>
    </row>
    <row r="120" spans="1:20" s="31" customFormat="1" ht="47.25" customHeight="1" x14ac:dyDescent="0.35">
      <c r="A120" s="84">
        <f>A119+1</f>
        <v>2</v>
      </c>
      <c r="B120" s="85"/>
      <c r="C120" s="42" t="s">
        <v>336</v>
      </c>
      <c r="D120" s="42">
        <f>(81.78+85.83)*10.764</f>
        <v>1804.1540400000001</v>
      </c>
      <c r="E120" s="42">
        <v>0</v>
      </c>
      <c r="F120" s="42">
        <f t="shared" ref="F120" si="2">D120+(IF(E120&lt;201,E120,IF(E120&lt;301,E120/2,E120/3)))</f>
        <v>1804.1540400000001</v>
      </c>
      <c r="G120" s="42">
        <v>0</v>
      </c>
      <c r="H120" s="42">
        <f t="shared" ref="H120" si="3">(F120+(IF(G120&lt;101,G120,IF(G120&lt;201,G120/2,IF(G120&lt;=301,G120/3,G120/4)))))*(($H$115)+1)</f>
        <v>2706.2310600000001</v>
      </c>
      <c r="I120" s="30"/>
      <c r="J120" s="51"/>
      <c r="K120" s="51"/>
      <c r="L120" s="177"/>
      <c r="M120" s="177"/>
      <c r="N120" s="30"/>
      <c r="T120" s="28"/>
    </row>
    <row r="121" spans="1:20" s="48" customFormat="1" x14ac:dyDescent="0.35">
      <c r="A121" s="124" t="s">
        <v>337</v>
      </c>
      <c r="B121" s="124"/>
      <c r="C121" s="124"/>
      <c r="D121" s="124"/>
      <c r="E121" s="124"/>
      <c r="F121" s="124"/>
      <c r="G121" s="124"/>
      <c r="H121" s="124"/>
      <c r="J121" s="52"/>
      <c r="K121" s="51"/>
      <c r="L121" s="51"/>
      <c r="M121" s="51"/>
      <c r="T121" s="29"/>
    </row>
    <row r="122" spans="1:20" s="48" customFormat="1" ht="15.75" customHeight="1" x14ac:dyDescent="0.35">
      <c r="A122" s="78">
        <v>1</v>
      </c>
      <c r="B122" s="78"/>
      <c r="C122" s="78" t="s">
        <v>338</v>
      </c>
      <c r="D122" s="78"/>
      <c r="E122" s="78"/>
      <c r="F122" s="78"/>
      <c r="G122" s="78"/>
      <c r="H122" s="78"/>
      <c r="I122" s="30"/>
      <c r="J122" s="51"/>
      <c r="K122" s="51"/>
      <c r="L122" s="177"/>
      <c r="M122" s="177"/>
      <c r="N122" s="30"/>
      <c r="T122" s="29"/>
    </row>
    <row r="123" spans="1:20" s="48" customFormat="1" ht="15.75" customHeight="1" x14ac:dyDescent="0.35">
      <c r="A123" s="78">
        <f>A122+1</f>
        <v>2</v>
      </c>
      <c r="B123" s="78"/>
      <c r="C123" s="78" t="s">
        <v>338</v>
      </c>
      <c r="D123" s="78"/>
      <c r="E123" s="78"/>
      <c r="F123" s="78"/>
      <c r="G123" s="78"/>
      <c r="H123" s="78"/>
      <c r="I123" s="30"/>
      <c r="L123" s="77"/>
      <c r="M123" s="77"/>
      <c r="N123" s="30"/>
      <c r="T123" s="28"/>
    </row>
    <row r="124" spans="1:20" s="48" customFormat="1" x14ac:dyDescent="0.35">
      <c r="A124" s="78">
        <f>A123+1</f>
        <v>3</v>
      </c>
      <c r="B124" s="78"/>
      <c r="C124" s="72" t="s">
        <v>335</v>
      </c>
      <c r="D124" s="72">
        <f>(116.92)*10.764</f>
        <v>1258.5268799999999</v>
      </c>
      <c r="E124" s="72">
        <v>0</v>
      </c>
      <c r="F124" s="72">
        <f t="shared" ref="F124" si="4">D124+(IF(E124&lt;201,E124,IF(E124&lt;301,E124/2,E124/3)))</f>
        <v>1258.5268799999999</v>
      </c>
      <c r="G124" s="72">
        <v>0</v>
      </c>
      <c r="H124" s="72">
        <f t="shared" ref="H124" si="5">(F124+(IF(G124&lt;101,G124,IF(G124&lt;201,G124/2,IF(G124&lt;=301,G124/3,G124/4)))))*(($H$115)+1)</f>
        <v>1887.7903199999998</v>
      </c>
      <c r="I124" s="30"/>
      <c r="J124" s="48">
        <f>60000/1.5</f>
        <v>40000</v>
      </c>
      <c r="L124" s="77"/>
      <c r="M124" s="77"/>
      <c r="N124" s="30"/>
      <c r="T124" s="28"/>
    </row>
    <row r="125" spans="1:20" s="48" customFormat="1" x14ac:dyDescent="0.35">
      <c r="A125" s="78">
        <f t="shared" ref="A125:A126" si="6">A124+1</f>
        <v>4</v>
      </c>
      <c r="B125" s="78"/>
      <c r="C125" s="78" t="s">
        <v>339</v>
      </c>
      <c r="D125" s="78"/>
      <c r="E125" s="78"/>
      <c r="F125" s="78"/>
      <c r="G125" s="78"/>
      <c r="H125" s="78"/>
      <c r="I125" s="30"/>
      <c r="L125" s="77"/>
      <c r="M125" s="77"/>
      <c r="N125" s="30"/>
      <c r="T125" s="28"/>
    </row>
    <row r="126" spans="1:20" s="48" customFormat="1" x14ac:dyDescent="0.35">
      <c r="A126" s="78">
        <f t="shared" si="6"/>
        <v>5</v>
      </c>
      <c r="B126" s="78"/>
      <c r="C126" s="78" t="s">
        <v>339</v>
      </c>
      <c r="D126" s="78">
        <f>(57.78)*10.764</f>
        <v>621.94391999999993</v>
      </c>
      <c r="E126" s="78">
        <v>0</v>
      </c>
      <c r="F126" s="78">
        <f t="shared" ref="F126" si="7">D126+(IF(E126&lt;201,E126,IF(E126&lt;301,E126/2,E126/3)))</f>
        <v>621.94391999999993</v>
      </c>
      <c r="G126" s="78">
        <v>0</v>
      </c>
      <c r="H126" s="78">
        <f>(F126+(IF(G126&lt;101,G126,IF(G126&lt;201,G126/2,IF(G126&lt;=301,G126/3,G126/4)))))*(($H$115)+1)</f>
        <v>932.9158799999999</v>
      </c>
      <c r="I126" s="30"/>
      <c r="L126" s="77"/>
      <c r="M126" s="77"/>
      <c r="N126" s="30"/>
      <c r="T126" s="28"/>
    </row>
    <row r="127" spans="1:20" s="54" customFormat="1" x14ac:dyDescent="0.35">
      <c r="A127" s="124" t="s">
        <v>362</v>
      </c>
      <c r="B127" s="124"/>
      <c r="C127" s="124"/>
      <c r="D127" s="124"/>
      <c r="E127" s="124"/>
      <c r="F127" s="124"/>
      <c r="G127" s="124"/>
      <c r="H127" s="124"/>
      <c r="J127" s="30"/>
      <c r="T127" s="55"/>
    </row>
    <row r="128" spans="1:20" s="48" customFormat="1" x14ac:dyDescent="0.35">
      <c r="A128" s="124" t="s">
        <v>340</v>
      </c>
      <c r="B128" s="124"/>
      <c r="C128" s="124"/>
      <c r="D128" s="124"/>
      <c r="E128" s="124"/>
      <c r="F128" s="124"/>
      <c r="G128" s="124"/>
      <c r="H128" s="124"/>
      <c r="J128" s="30"/>
      <c r="T128" s="29"/>
    </row>
    <row r="129" spans="1:20" s="48" customFormat="1" x14ac:dyDescent="0.35">
      <c r="A129" s="78" t="s">
        <v>341</v>
      </c>
      <c r="B129" s="78"/>
      <c r="C129" s="72" t="s">
        <v>364</v>
      </c>
      <c r="D129" s="72">
        <f>(49.24)*10.764</f>
        <v>530.01936000000001</v>
      </c>
      <c r="E129" s="72">
        <v>0</v>
      </c>
      <c r="F129" s="72">
        <f>D129+(IF(E129&lt;201,E129,IF(E129&lt;301,E129/2,E129/3)))</f>
        <v>530.01936000000001</v>
      </c>
      <c r="G129" s="72">
        <v>0</v>
      </c>
      <c r="H129" s="72">
        <f>(F129+(IF(G129&lt;101,G129,IF(G129&lt;201,G129/2,IF(G129&lt;=301,G129/3,G129/4)))))*(($H$115)+1)</f>
        <v>795.02904000000001</v>
      </c>
      <c r="I129" s="30">
        <f>4.87*7.55+3.49*2.76+1.23*1.83</f>
        <v>48.651800000000009</v>
      </c>
      <c r="J129" s="48">
        <f>32500/1.5</f>
        <v>21666.666666666668</v>
      </c>
      <c r="L129" s="77"/>
      <c r="M129" s="77"/>
      <c r="N129" s="30"/>
      <c r="T129" s="29"/>
    </row>
    <row r="130" spans="1:20" s="48" customFormat="1" x14ac:dyDescent="0.35">
      <c r="A130" s="78" t="s">
        <v>342</v>
      </c>
      <c r="B130" s="78"/>
      <c r="C130" s="72" t="s">
        <v>364</v>
      </c>
      <c r="D130" s="72">
        <f>(49.24)*10.764</f>
        <v>530.01936000000001</v>
      </c>
      <c r="E130" s="72">
        <v>0</v>
      </c>
      <c r="F130" s="72">
        <f t="shared" ref="F130" si="8">D130+(IF(E130&lt;201,E130,IF(E130&lt;301,E130/2,E130/3)))</f>
        <v>530.01936000000001</v>
      </c>
      <c r="G130" s="72">
        <v>0</v>
      </c>
      <c r="H130" s="72">
        <f t="shared" ref="H130" si="9">(F130+(IF(G130&lt;101,G130,IF(G130&lt;201,G130/2,IF(G130&lt;=301,G130/3,G130/4)))))*(($H$115)+1)</f>
        <v>795.02904000000001</v>
      </c>
      <c r="I130" s="30"/>
      <c r="L130" s="77"/>
      <c r="M130" s="77"/>
      <c r="N130" s="30"/>
      <c r="T130" s="28"/>
    </row>
    <row r="131" spans="1:20" s="48" customFormat="1" x14ac:dyDescent="0.35">
      <c r="A131" s="84" t="s">
        <v>343</v>
      </c>
      <c r="B131" s="85"/>
      <c r="C131" s="42" t="s">
        <v>364</v>
      </c>
      <c r="D131" s="42">
        <f>(127.62)*10.764</f>
        <v>1373.7016799999999</v>
      </c>
      <c r="E131" s="42">
        <v>0</v>
      </c>
      <c r="F131" s="42">
        <f t="shared" ref="F131:F136" si="10">D131+(IF(E131&lt;201,E131,IF(E131&lt;301,E131/2,E131/3)))</f>
        <v>1373.7016799999999</v>
      </c>
      <c r="G131" s="42">
        <v>0</v>
      </c>
      <c r="H131" s="42">
        <f t="shared" ref="H131:H136" si="11">(F131+(IF(G131&lt;101,G131,IF(G131&lt;201,G131/2,IF(G131&lt;=301,G131/3,G131/4)))))*(($H$115)+1)</f>
        <v>2060.5525199999997</v>
      </c>
      <c r="I131" s="30">
        <f>13.76*8.36+2.56*1.95+1.22*1.54+1.61*1.19+1.2*1.37</f>
        <v>125.46429999999999</v>
      </c>
      <c r="L131" s="77"/>
      <c r="M131" s="77"/>
      <c r="N131" s="30"/>
      <c r="T131" s="28"/>
    </row>
    <row r="132" spans="1:20" s="48" customFormat="1" x14ac:dyDescent="0.35">
      <c r="A132" s="84" t="s">
        <v>344</v>
      </c>
      <c r="B132" s="85"/>
      <c r="C132" s="42" t="s">
        <v>364</v>
      </c>
      <c r="D132" s="42">
        <f>(85.89)*10.764</f>
        <v>924.51995999999997</v>
      </c>
      <c r="E132" s="42">
        <v>0</v>
      </c>
      <c r="F132" s="42">
        <f t="shared" si="10"/>
        <v>924.51995999999997</v>
      </c>
      <c r="G132" s="42">
        <v>0</v>
      </c>
      <c r="H132" s="42">
        <f t="shared" si="11"/>
        <v>1386.7799399999999</v>
      </c>
      <c r="I132" s="30"/>
      <c r="L132" s="77"/>
      <c r="M132" s="77"/>
      <c r="N132" s="30"/>
      <c r="T132" s="28"/>
    </row>
    <row r="133" spans="1:20" s="48" customFormat="1" x14ac:dyDescent="0.35">
      <c r="A133" s="84" t="s">
        <v>345</v>
      </c>
      <c r="B133" s="85"/>
      <c r="C133" s="42" t="s">
        <v>364</v>
      </c>
      <c r="D133" s="42">
        <f>(108.33)*10.764</f>
        <v>1166.06412</v>
      </c>
      <c r="E133" s="42">
        <v>0</v>
      </c>
      <c r="F133" s="42">
        <f t="shared" si="10"/>
        <v>1166.06412</v>
      </c>
      <c r="G133" s="42">
        <v>0</v>
      </c>
      <c r="H133" s="42">
        <f t="shared" si="11"/>
        <v>1749.09618</v>
      </c>
      <c r="I133" s="30"/>
      <c r="L133" s="77"/>
      <c r="M133" s="77"/>
      <c r="N133" s="30"/>
      <c r="T133" s="28"/>
    </row>
    <row r="134" spans="1:20" s="48" customFormat="1" x14ac:dyDescent="0.35">
      <c r="A134" s="84" t="s">
        <v>346</v>
      </c>
      <c r="B134" s="85"/>
      <c r="C134" s="42" t="s">
        <v>364</v>
      </c>
      <c r="D134" s="42">
        <f>(20.92)*10.764</f>
        <v>225.18288000000001</v>
      </c>
      <c r="E134" s="42">
        <v>0</v>
      </c>
      <c r="F134" s="42">
        <f t="shared" si="10"/>
        <v>225.18288000000001</v>
      </c>
      <c r="G134" s="42">
        <v>0</v>
      </c>
      <c r="H134" s="42">
        <f t="shared" si="11"/>
        <v>337.77431999999999</v>
      </c>
      <c r="I134" s="30"/>
      <c r="L134" s="77"/>
      <c r="M134" s="77"/>
      <c r="N134" s="30"/>
      <c r="T134" s="28"/>
    </row>
    <row r="135" spans="1:20" s="48" customFormat="1" x14ac:dyDescent="0.35">
      <c r="A135" s="84" t="s">
        <v>347</v>
      </c>
      <c r="B135" s="85"/>
      <c r="C135" s="42" t="s">
        <v>364</v>
      </c>
      <c r="D135" s="42">
        <f>(20.92)*10.764</f>
        <v>225.18288000000001</v>
      </c>
      <c r="E135" s="42">
        <v>0</v>
      </c>
      <c r="F135" s="42">
        <f t="shared" si="10"/>
        <v>225.18288000000001</v>
      </c>
      <c r="G135" s="42">
        <v>0</v>
      </c>
      <c r="H135" s="42">
        <f t="shared" si="11"/>
        <v>337.77431999999999</v>
      </c>
      <c r="I135" s="30"/>
      <c r="L135" s="77"/>
      <c r="M135" s="77"/>
      <c r="N135" s="30"/>
      <c r="T135" s="28"/>
    </row>
    <row r="136" spans="1:20" s="48" customFormat="1" x14ac:dyDescent="0.35">
      <c r="A136" s="84" t="s">
        <v>348</v>
      </c>
      <c r="B136" s="85"/>
      <c r="C136" s="42" t="s">
        <v>364</v>
      </c>
      <c r="D136" s="42">
        <f>(29.14)*10.764</f>
        <v>313.66296</v>
      </c>
      <c r="E136" s="42">
        <v>0</v>
      </c>
      <c r="F136" s="42">
        <f t="shared" si="10"/>
        <v>313.66296</v>
      </c>
      <c r="G136" s="42">
        <v>0</v>
      </c>
      <c r="H136" s="42">
        <f t="shared" si="11"/>
        <v>470.49444</v>
      </c>
      <c r="I136" s="30"/>
      <c r="L136" s="77"/>
      <c r="M136" s="77"/>
      <c r="N136" s="30"/>
      <c r="T136" s="28"/>
    </row>
    <row r="137" spans="1:20" s="48" customFormat="1" x14ac:dyDescent="0.35">
      <c r="A137" s="178" t="s">
        <v>356</v>
      </c>
      <c r="B137" s="179"/>
      <c r="C137" s="179"/>
      <c r="D137" s="179"/>
      <c r="E137" s="179"/>
      <c r="F137" s="179"/>
      <c r="G137" s="179"/>
      <c r="H137" s="180"/>
      <c r="J137" s="30"/>
      <c r="T137" s="29"/>
    </row>
    <row r="138" spans="1:20" s="48" customFormat="1" x14ac:dyDescent="0.35">
      <c r="A138" s="84" t="s">
        <v>341</v>
      </c>
      <c r="B138" s="85"/>
      <c r="C138" s="42" t="s">
        <v>364</v>
      </c>
      <c r="D138" s="42">
        <f>(49.24)*10.764</f>
        <v>530.01936000000001</v>
      </c>
      <c r="E138" s="42">
        <v>0</v>
      </c>
      <c r="F138" s="42">
        <f>D138+(IF(E138&lt;201,E138,IF(E138&lt;301,E138/2,E138/3)))</f>
        <v>530.01936000000001</v>
      </c>
      <c r="G138" s="42">
        <v>0</v>
      </c>
      <c r="H138" s="42">
        <f t="shared" ref="H138:H145" si="12">(F138+(IF(G138&lt;101,G138,IF(G138&lt;201,G138/2,IF(G138&lt;=301,G138/3,G138/4)))))*(($H$115)+1)</f>
        <v>795.02904000000001</v>
      </c>
      <c r="I138" s="30"/>
      <c r="L138" s="77"/>
      <c r="M138" s="77"/>
      <c r="N138" s="30"/>
      <c r="T138" s="29"/>
    </row>
    <row r="139" spans="1:20" s="48" customFormat="1" x14ac:dyDescent="0.35">
      <c r="A139" s="84" t="s">
        <v>342</v>
      </c>
      <c r="B139" s="85"/>
      <c r="C139" s="42" t="s">
        <v>364</v>
      </c>
      <c r="D139" s="42">
        <f>(49.24)*10.764</f>
        <v>530.01936000000001</v>
      </c>
      <c r="E139" s="42">
        <v>0</v>
      </c>
      <c r="F139" s="42">
        <f t="shared" ref="F139:F145" si="13">D139+(IF(E139&lt;201,E139,IF(E139&lt;301,E139/2,E139/3)))</f>
        <v>530.01936000000001</v>
      </c>
      <c r="G139" s="42">
        <v>0</v>
      </c>
      <c r="H139" s="42">
        <f t="shared" si="12"/>
        <v>795.02904000000001</v>
      </c>
      <c r="I139" s="30"/>
      <c r="L139" s="77"/>
      <c r="M139" s="77"/>
      <c r="N139" s="30"/>
      <c r="T139" s="28"/>
    </row>
    <row r="140" spans="1:20" s="48" customFormat="1" x14ac:dyDescent="0.35">
      <c r="A140" s="84" t="s">
        <v>343</v>
      </c>
      <c r="B140" s="85"/>
      <c r="C140" s="42" t="s">
        <v>364</v>
      </c>
      <c r="D140" s="42">
        <f>(127.62)*10.764</f>
        <v>1373.7016799999999</v>
      </c>
      <c r="E140" s="42">
        <v>0</v>
      </c>
      <c r="F140" s="42">
        <f t="shared" si="13"/>
        <v>1373.7016799999999</v>
      </c>
      <c r="G140" s="42">
        <v>0</v>
      </c>
      <c r="H140" s="42">
        <f t="shared" si="12"/>
        <v>2060.5525199999997</v>
      </c>
      <c r="I140" s="30"/>
      <c r="L140" s="77"/>
      <c r="M140" s="77"/>
      <c r="N140" s="30"/>
      <c r="T140" s="28"/>
    </row>
    <row r="141" spans="1:20" s="48" customFormat="1" x14ac:dyDescent="0.35">
      <c r="A141" s="84" t="s">
        <v>344</v>
      </c>
      <c r="B141" s="85"/>
      <c r="C141" s="42" t="s">
        <v>364</v>
      </c>
      <c r="D141" s="42">
        <f>(85.89)*10.764</f>
        <v>924.51995999999997</v>
      </c>
      <c r="E141" s="42">
        <v>0</v>
      </c>
      <c r="F141" s="42">
        <f t="shared" si="13"/>
        <v>924.51995999999997</v>
      </c>
      <c r="G141" s="42">
        <v>0</v>
      </c>
      <c r="H141" s="42">
        <f t="shared" si="12"/>
        <v>1386.7799399999999</v>
      </c>
      <c r="I141" s="30"/>
      <c r="L141" s="77"/>
      <c r="M141" s="77"/>
      <c r="N141" s="30"/>
      <c r="T141" s="28"/>
    </row>
    <row r="142" spans="1:20" s="48" customFormat="1" x14ac:dyDescent="0.35">
      <c r="A142" s="84" t="s">
        <v>345</v>
      </c>
      <c r="B142" s="85"/>
      <c r="C142" s="42" t="s">
        <v>364</v>
      </c>
      <c r="D142" s="42">
        <f>(108.33)*10.764</f>
        <v>1166.06412</v>
      </c>
      <c r="E142" s="42">
        <v>0</v>
      </c>
      <c r="F142" s="42">
        <f t="shared" si="13"/>
        <v>1166.06412</v>
      </c>
      <c r="G142" s="42">
        <v>0</v>
      </c>
      <c r="H142" s="42">
        <f t="shared" si="12"/>
        <v>1749.09618</v>
      </c>
      <c r="I142" s="30"/>
      <c r="L142" s="77"/>
      <c r="M142" s="77"/>
      <c r="N142" s="30"/>
      <c r="T142" s="28"/>
    </row>
    <row r="143" spans="1:20" s="48" customFormat="1" x14ac:dyDescent="0.35">
      <c r="A143" s="84" t="s">
        <v>346</v>
      </c>
      <c r="B143" s="85"/>
      <c r="C143" s="42" t="s">
        <v>364</v>
      </c>
      <c r="D143" s="42">
        <f>(20.92)*10.764</f>
        <v>225.18288000000001</v>
      </c>
      <c r="E143" s="42">
        <v>0</v>
      </c>
      <c r="F143" s="42">
        <f t="shared" si="13"/>
        <v>225.18288000000001</v>
      </c>
      <c r="G143" s="42">
        <v>0</v>
      </c>
      <c r="H143" s="42">
        <f t="shared" si="12"/>
        <v>337.77431999999999</v>
      </c>
      <c r="I143" s="30"/>
      <c r="L143" s="77"/>
      <c r="M143" s="77"/>
      <c r="N143" s="30"/>
      <c r="T143" s="28"/>
    </row>
    <row r="144" spans="1:20" s="48" customFormat="1" x14ac:dyDescent="0.35">
      <c r="A144" s="84" t="s">
        <v>347</v>
      </c>
      <c r="B144" s="85"/>
      <c r="C144" s="42" t="s">
        <v>364</v>
      </c>
      <c r="D144" s="42">
        <f>(20.92)*10.764</f>
        <v>225.18288000000001</v>
      </c>
      <c r="E144" s="42">
        <v>0</v>
      </c>
      <c r="F144" s="42">
        <f t="shared" si="13"/>
        <v>225.18288000000001</v>
      </c>
      <c r="G144" s="42">
        <v>0</v>
      </c>
      <c r="H144" s="42">
        <f t="shared" si="12"/>
        <v>337.77431999999999</v>
      </c>
      <c r="I144" s="30"/>
      <c r="L144" s="77"/>
      <c r="M144" s="77"/>
      <c r="N144" s="30"/>
      <c r="T144" s="28"/>
    </row>
    <row r="145" spans="1:20" s="48" customFormat="1" x14ac:dyDescent="0.35">
      <c r="A145" s="84" t="s">
        <v>348</v>
      </c>
      <c r="B145" s="85"/>
      <c r="C145" s="42" t="s">
        <v>364</v>
      </c>
      <c r="D145" s="42">
        <f>(29.14)*10.764</f>
        <v>313.66296</v>
      </c>
      <c r="E145" s="42">
        <v>0</v>
      </c>
      <c r="F145" s="42">
        <f t="shared" si="13"/>
        <v>313.66296</v>
      </c>
      <c r="G145" s="42">
        <v>0</v>
      </c>
      <c r="H145" s="42">
        <f t="shared" si="12"/>
        <v>470.49444</v>
      </c>
      <c r="I145" s="30"/>
      <c r="L145" s="77"/>
      <c r="M145" s="77"/>
      <c r="N145" s="30"/>
      <c r="T145" s="28"/>
    </row>
    <row r="146" spans="1:20" s="54" customFormat="1" x14ac:dyDescent="0.35">
      <c r="A146" s="178" t="s">
        <v>363</v>
      </c>
      <c r="B146" s="179"/>
      <c r="C146" s="179"/>
      <c r="D146" s="179"/>
      <c r="E146" s="179"/>
      <c r="F146" s="179"/>
      <c r="G146" s="179"/>
      <c r="H146" s="180"/>
      <c r="J146" s="30"/>
      <c r="T146" s="55"/>
    </row>
    <row r="147" spans="1:20" s="54" customFormat="1" x14ac:dyDescent="0.35">
      <c r="A147" s="178" t="s">
        <v>340</v>
      </c>
      <c r="B147" s="179"/>
      <c r="C147" s="179"/>
      <c r="D147" s="179"/>
      <c r="E147" s="179"/>
      <c r="F147" s="179"/>
      <c r="G147" s="179"/>
      <c r="H147" s="180"/>
      <c r="J147" s="30"/>
      <c r="T147" s="55"/>
    </row>
    <row r="148" spans="1:20" s="54" customFormat="1" x14ac:dyDescent="0.35">
      <c r="A148" s="84" t="s">
        <v>349</v>
      </c>
      <c r="B148" s="85"/>
      <c r="C148" s="42" t="s">
        <v>364</v>
      </c>
      <c r="D148" s="42">
        <f>(35.23)*10.764</f>
        <v>379.21571999999992</v>
      </c>
      <c r="E148" s="42">
        <v>0</v>
      </c>
      <c r="F148" s="42">
        <f t="shared" ref="F148:F154" si="14">D148+(IF(E148&lt;201,E148,IF(E148&lt;301,E148/2,E148/3)))</f>
        <v>379.21571999999992</v>
      </c>
      <c r="G148" s="42">
        <v>0</v>
      </c>
      <c r="H148" s="42">
        <f t="shared" ref="H148:H154" si="15">(F148+(IF(G148&lt;101,G148,IF(G148&lt;201,G148/2,IF(G148&lt;=301,G148/3,G148/4)))))*(($H$115)+1)</f>
        <v>568.82357999999988</v>
      </c>
      <c r="I148" s="30"/>
      <c r="L148" s="77"/>
      <c r="M148" s="77"/>
      <c r="N148" s="30"/>
      <c r="T148" s="28"/>
    </row>
    <row r="149" spans="1:20" s="54" customFormat="1" x14ac:dyDescent="0.35">
      <c r="A149" s="84" t="s">
        <v>350</v>
      </c>
      <c r="B149" s="85"/>
      <c r="C149" s="42" t="s">
        <v>364</v>
      </c>
      <c r="D149" s="42">
        <f>(34.46)*10.764</f>
        <v>370.92743999999999</v>
      </c>
      <c r="E149" s="42">
        <v>0</v>
      </c>
      <c r="F149" s="42">
        <f t="shared" si="14"/>
        <v>370.92743999999999</v>
      </c>
      <c r="G149" s="42">
        <v>0</v>
      </c>
      <c r="H149" s="42">
        <f t="shared" si="15"/>
        <v>556.39116000000001</v>
      </c>
      <c r="I149" s="30"/>
      <c r="L149" s="77"/>
      <c r="M149" s="77"/>
      <c r="N149" s="30"/>
      <c r="T149" s="28"/>
    </row>
    <row r="150" spans="1:20" s="54" customFormat="1" x14ac:dyDescent="0.35">
      <c r="A150" s="84" t="s">
        <v>351</v>
      </c>
      <c r="B150" s="85"/>
      <c r="C150" s="42" t="s">
        <v>364</v>
      </c>
      <c r="D150" s="42">
        <f>(41.37)*10.764</f>
        <v>445.30667999999997</v>
      </c>
      <c r="E150" s="42">
        <v>0</v>
      </c>
      <c r="F150" s="42">
        <f t="shared" si="14"/>
        <v>445.30667999999997</v>
      </c>
      <c r="G150" s="42">
        <v>0</v>
      </c>
      <c r="H150" s="42">
        <f t="shared" si="15"/>
        <v>667.96001999999999</v>
      </c>
      <c r="I150" s="30"/>
      <c r="L150" s="77"/>
      <c r="M150" s="77"/>
      <c r="N150" s="30"/>
      <c r="T150" s="28"/>
    </row>
    <row r="151" spans="1:20" s="54" customFormat="1" x14ac:dyDescent="0.35">
      <c r="A151" s="84" t="s">
        <v>352</v>
      </c>
      <c r="B151" s="85"/>
      <c r="C151" s="42" t="s">
        <v>364</v>
      </c>
      <c r="D151" s="42">
        <f>(43.25)*10.764</f>
        <v>465.54299999999995</v>
      </c>
      <c r="E151" s="42">
        <v>0</v>
      </c>
      <c r="F151" s="42">
        <f t="shared" si="14"/>
        <v>465.54299999999995</v>
      </c>
      <c r="G151" s="42">
        <v>0</v>
      </c>
      <c r="H151" s="42">
        <f t="shared" si="15"/>
        <v>698.31449999999995</v>
      </c>
      <c r="I151" s="30"/>
      <c r="L151" s="77"/>
      <c r="M151" s="77"/>
      <c r="N151" s="30"/>
      <c r="T151" s="28"/>
    </row>
    <row r="152" spans="1:20" s="54" customFormat="1" x14ac:dyDescent="0.35">
      <c r="A152" s="84" t="s">
        <v>353</v>
      </c>
      <c r="B152" s="85"/>
      <c r="C152" s="42" t="s">
        <v>364</v>
      </c>
      <c r="D152" s="42">
        <f>(58.57)*10.764</f>
        <v>630.44747999999993</v>
      </c>
      <c r="E152" s="42">
        <v>0</v>
      </c>
      <c r="F152" s="42">
        <f t="shared" si="14"/>
        <v>630.44747999999993</v>
      </c>
      <c r="G152" s="42">
        <v>0</v>
      </c>
      <c r="H152" s="42">
        <f t="shared" si="15"/>
        <v>945.67121999999995</v>
      </c>
      <c r="I152" s="30"/>
      <c r="L152" s="77"/>
      <c r="M152" s="77"/>
      <c r="N152" s="30"/>
      <c r="T152" s="28"/>
    </row>
    <row r="153" spans="1:20" s="54" customFormat="1" x14ac:dyDescent="0.35">
      <c r="A153" s="84" t="s">
        <v>354</v>
      </c>
      <c r="B153" s="85"/>
      <c r="C153" s="42" t="s">
        <v>364</v>
      </c>
      <c r="D153" s="42">
        <f>(49.24)*10.764</f>
        <v>530.01936000000001</v>
      </c>
      <c r="E153" s="42">
        <v>0</v>
      </c>
      <c r="F153" s="42">
        <f t="shared" si="14"/>
        <v>530.01936000000001</v>
      </c>
      <c r="G153" s="42">
        <v>0</v>
      </c>
      <c r="H153" s="42">
        <f t="shared" si="15"/>
        <v>795.02904000000001</v>
      </c>
      <c r="I153" s="30"/>
      <c r="L153" s="77"/>
      <c r="M153" s="77"/>
      <c r="N153" s="30"/>
      <c r="T153" s="28"/>
    </row>
    <row r="154" spans="1:20" s="54" customFormat="1" x14ac:dyDescent="0.35">
      <c r="A154" s="84" t="s">
        <v>355</v>
      </c>
      <c r="B154" s="85"/>
      <c r="C154" s="42" t="s">
        <v>364</v>
      </c>
      <c r="D154" s="42">
        <f>(49.24)*10.764</f>
        <v>530.01936000000001</v>
      </c>
      <c r="E154" s="42">
        <v>0</v>
      </c>
      <c r="F154" s="42">
        <f t="shared" si="14"/>
        <v>530.01936000000001</v>
      </c>
      <c r="G154" s="42">
        <v>0</v>
      </c>
      <c r="H154" s="42">
        <f t="shared" si="15"/>
        <v>795.02904000000001</v>
      </c>
      <c r="I154" s="30"/>
      <c r="L154" s="77"/>
      <c r="M154" s="77"/>
      <c r="N154" s="30"/>
      <c r="T154" s="28"/>
    </row>
    <row r="155" spans="1:20" s="54" customFormat="1" x14ac:dyDescent="0.35">
      <c r="A155" s="124" t="s">
        <v>356</v>
      </c>
      <c r="B155" s="124"/>
      <c r="C155" s="124"/>
      <c r="D155" s="124"/>
      <c r="E155" s="124"/>
      <c r="F155" s="124"/>
      <c r="G155" s="124"/>
      <c r="H155" s="124"/>
      <c r="J155" s="30"/>
      <c r="T155" s="55"/>
    </row>
    <row r="156" spans="1:20" s="54" customFormat="1" x14ac:dyDescent="0.35">
      <c r="A156" s="78" t="s">
        <v>349</v>
      </c>
      <c r="B156" s="78"/>
      <c r="C156" s="72" t="s">
        <v>364</v>
      </c>
      <c r="D156" s="72">
        <f>(35.23)*10.764</f>
        <v>379.21571999999992</v>
      </c>
      <c r="E156" s="72">
        <v>0</v>
      </c>
      <c r="F156" s="72">
        <f t="shared" ref="F156:F162" si="16">D156+(IF(E156&lt;201,E156,IF(E156&lt;301,E156/2,E156/3)))</f>
        <v>379.21571999999992</v>
      </c>
      <c r="G156" s="72">
        <v>0</v>
      </c>
      <c r="H156" s="72">
        <f t="shared" ref="H156:H162" si="17">(F156+(IF(G156&lt;101,G156,IF(G156&lt;201,G156/2,IF(G156&lt;=301,G156/3,G156/4)))))*(($H$115)+1)</f>
        <v>568.82357999999988</v>
      </c>
      <c r="I156" s="30"/>
      <c r="L156" s="77"/>
      <c r="M156" s="77"/>
      <c r="N156" s="30"/>
      <c r="T156" s="28"/>
    </row>
    <row r="157" spans="1:20" s="54" customFormat="1" x14ac:dyDescent="0.35">
      <c r="A157" s="78" t="s">
        <v>350</v>
      </c>
      <c r="B157" s="78"/>
      <c r="C157" s="72" t="s">
        <v>364</v>
      </c>
      <c r="D157" s="72">
        <f>(34.46)*10.764</f>
        <v>370.92743999999999</v>
      </c>
      <c r="E157" s="72">
        <v>0</v>
      </c>
      <c r="F157" s="72">
        <f t="shared" si="16"/>
        <v>370.92743999999999</v>
      </c>
      <c r="G157" s="72">
        <v>0</v>
      </c>
      <c r="H157" s="72">
        <f t="shared" si="17"/>
        <v>556.39116000000001</v>
      </c>
      <c r="I157" s="30"/>
      <c r="L157" s="77"/>
      <c r="M157" s="77"/>
      <c r="N157" s="30"/>
      <c r="T157" s="28"/>
    </row>
    <row r="158" spans="1:20" s="54" customFormat="1" x14ac:dyDescent="0.35">
      <c r="A158" s="78" t="s">
        <v>351</v>
      </c>
      <c r="B158" s="78"/>
      <c r="C158" s="72" t="s">
        <v>364</v>
      </c>
      <c r="D158" s="72">
        <f>(41.37)*10.764</f>
        <v>445.30667999999997</v>
      </c>
      <c r="E158" s="72">
        <v>0</v>
      </c>
      <c r="F158" s="72">
        <f t="shared" si="16"/>
        <v>445.30667999999997</v>
      </c>
      <c r="G158" s="72">
        <v>0</v>
      </c>
      <c r="H158" s="72">
        <f t="shared" si="17"/>
        <v>667.96001999999999</v>
      </c>
      <c r="I158" s="30"/>
      <c r="L158" s="77"/>
      <c r="M158" s="77"/>
      <c r="N158" s="30"/>
      <c r="T158" s="28"/>
    </row>
    <row r="159" spans="1:20" s="54" customFormat="1" x14ac:dyDescent="0.35">
      <c r="A159" s="78" t="s">
        <v>352</v>
      </c>
      <c r="B159" s="78"/>
      <c r="C159" s="72" t="s">
        <v>364</v>
      </c>
      <c r="D159" s="72">
        <f>(43.25)*10.764</f>
        <v>465.54299999999995</v>
      </c>
      <c r="E159" s="72">
        <v>0</v>
      </c>
      <c r="F159" s="72">
        <f t="shared" si="16"/>
        <v>465.54299999999995</v>
      </c>
      <c r="G159" s="72">
        <v>0</v>
      </c>
      <c r="H159" s="72">
        <f t="shared" si="17"/>
        <v>698.31449999999995</v>
      </c>
      <c r="I159" s="30"/>
      <c r="L159" s="77"/>
      <c r="M159" s="77"/>
      <c r="N159" s="30"/>
      <c r="T159" s="28"/>
    </row>
    <row r="160" spans="1:20" s="54" customFormat="1" x14ac:dyDescent="0.35">
      <c r="A160" s="78" t="s">
        <v>353</v>
      </c>
      <c r="B160" s="78"/>
      <c r="C160" s="72" t="s">
        <v>364</v>
      </c>
      <c r="D160" s="72">
        <f>(58.57)*10.764</f>
        <v>630.44747999999993</v>
      </c>
      <c r="E160" s="72">
        <v>0</v>
      </c>
      <c r="F160" s="72">
        <f t="shared" si="16"/>
        <v>630.44747999999993</v>
      </c>
      <c r="G160" s="72">
        <v>0</v>
      </c>
      <c r="H160" s="72">
        <f t="shared" si="17"/>
        <v>945.67121999999995</v>
      </c>
      <c r="I160" s="30"/>
      <c r="L160" s="77"/>
      <c r="M160" s="77"/>
      <c r="N160" s="30"/>
      <c r="T160" s="28"/>
    </row>
    <row r="161" spans="1:20" s="54" customFormat="1" x14ac:dyDescent="0.35">
      <c r="A161" s="78" t="s">
        <v>354</v>
      </c>
      <c r="B161" s="78"/>
      <c r="C161" s="72" t="s">
        <v>364</v>
      </c>
      <c r="D161" s="72">
        <f>(49.24)*10.764</f>
        <v>530.01936000000001</v>
      </c>
      <c r="E161" s="72">
        <v>0</v>
      </c>
      <c r="F161" s="72">
        <f t="shared" si="16"/>
        <v>530.01936000000001</v>
      </c>
      <c r="G161" s="72">
        <v>0</v>
      </c>
      <c r="H161" s="72">
        <f t="shared" si="17"/>
        <v>795.02904000000001</v>
      </c>
      <c r="I161" s="30"/>
      <c r="L161" s="77"/>
      <c r="M161" s="77"/>
      <c r="N161" s="30"/>
      <c r="T161" s="28"/>
    </row>
    <row r="162" spans="1:20" s="54" customFormat="1" x14ac:dyDescent="0.35">
      <c r="A162" s="78" t="s">
        <v>355</v>
      </c>
      <c r="B162" s="78"/>
      <c r="C162" s="72" t="s">
        <v>364</v>
      </c>
      <c r="D162" s="72">
        <f>(49.24)*10.764</f>
        <v>530.01936000000001</v>
      </c>
      <c r="E162" s="72">
        <v>0</v>
      </c>
      <c r="F162" s="72">
        <f t="shared" si="16"/>
        <v>530.01936000000001</v>
      </c>
      <c r="G162" s="72">
        <v>0</v>
      </c>
      <c r="H162" s="72">
        <f t="shared" si="17"/>
        <v>795.02904000000001</v>
      </c>
      <c r="I162" s="30"/>
      <c r="L162" s="77"/>
      <c r="M162" s="77"/>
      <c r="N162" s="30"/>
      <c r="T162" s="28"/>
    </row>
    <row r="163" spans="1:20" s="31" customFormat="1" x14ac:dyDescent="0.35">
      <c r="A163" s="78"/>
      <c r="B163" s="78"/>
      <c r="C163" s="78"/>
      <c r="D163" s="78"/>
      <c r="E163" s="78"/>
      <c r="F163" s="78"/>
      <c r="G163" s="78"/>
      <c r="H163" s="78"/>
      <c r="I163" s="30"/>
      <c r="N163" s="30"/>
    </row>
    <row r="164" spans="1:20" ht="47.25" hidden="1" customHeight="1" x14ac:dyDescent="0.35">
      <c r="A164" s="136" t="s">
        <v>120</v>
      </c>
      <c r="B164" s="136" t="s">
        <v>179</v>
      </c>
      <c r="C164" s="136" t="s">
        <v>55</v>
      </c>
      <c r="D164" s="135" t="s">
        <v>235</v>
      </c>
      <c r="E164" s="136" t="s">
        <v>234</v>
      </c>
      <c r="F164" s="136" t="s">
        <v>56</v>
      </c>
      <c r="G164" s="192" t="s">
        <v>57</v>
      </c>
      <c r="H164" s="75" t="s">
        <v>150</v>
      </c>
      <c r="I164" s="30"/>
      <c r="T164" s="31"/>
    </row>
    <row r="165" spans="1:20" s="31" customFormat="1" hidden="1" x14ac:dyDescent="0.35">
      <c r="A165" s="136"/>
      <c r="B165" s="136"/>
      <c r="C165" s="136"/>
      <c r="D165" s="135"/>
      <c r="E165" s="136"/>
      <c r="F165" s="136"/>
      <c r="G165" s="192"/>
      <c r="H165" s="70">
        <v>0.45</v>
      </c>
      <c r="I165" s="30"/>
    </row>
    <row r="166" spans="1:20" s="48" customFormat="1" hidden="1" x14ac:dyDescent="0.35">
      <c r="A166" s="124" t="s">
        <v>332</v>
      </c>
      <c r="B166" s="124"/>
      <c r="C166" s="124"/>
      <c r="D166" s="124"/>
      <c r="E166" s="124"/>
      <c r="F166" s="124"/>
      <c r="G166" s="124"/>
      <c r="H166" s="124"/>
      <c r="J166" s="30"/>
    </row>
    <row r="167" spans="1:20" s="31" customFormat="1" hidden="1" x14ac:dyDescent="0.35">
      <c r="A167" s="124" t="s">
        <v>117</v>
      </c>
      <c r="B167" s="124"/>
      <c r="C167" s="124"/>
      <c r="D167" s="124"/>
      <c r="E167" s="124"/>
      <c r="F167" s="124"/>
      <c r="G167" s="124"/>
      <c r="H167" s="124"/>
      <c r="J167" s="30"/>
    </row>
    <row r="168" spans="1:20" s="31" customFormat="1" ht="15.75" hidden="1" customHeight="1" x14ac:dyDescent="0.35">
      <c r="A168" s="78">
        <v>1</v>
      </c>
      <c r="B168" s="78"/>
      <c r="C168" s="72"/>
      <c r="D168" s="72"/>
      <c r="E168" s="72">
        <v>0</v>
      </c>
      <c r="F168" s="72">
        <f>D168+E168</f>
        <v>0</v>
      </c>
      <c r="G168" s="72">
        <v>0</v>
      </c>
      <c r="H168" s="72">
        <f>F168*(($H$165)+1)+(IF(G168&lt;101,G168,IF(G168&lt;201,G168/2,IF(G168&lt;=301,G168/3,G168/4))))</f>
        <v>0</v>
      </c>
      <c r="I168" s="30"/>
      <c r="L168" s="77"/>
      <c r="M168" s="77"/>
      <c r="N168" s="30"/>
    </row>
    <row r="169" spans="1:20" s="31" customFormat="1" ht="15.75" hidden="1" customHeight="1" x14ac:dyDescent="0.35">
      <c r="A169" s="78">
        <f>A168+1</f>
        <v>2</v>
      </c>
      <c r="B169" s="78"/>
      <c r="C169" s="72"/>
      <c r="D169" s="72"/>
      <c r="E169" s="72">
        <v>0</v>
      </c>
      <c r="F169" s="72">
        <f>D169+E169</f>
        <v>0</v>
      </c>
      <c r="G169" s="72">
        <v>0</v>
      </c>
      <c r="H169" s="72">
        <f>F169*(($H$165)+1)+(IF(G169&lt;101,G169,IF(G169&lt;201,G169/2,IF(G169&lt;=301,G169/3,G169/4))))</f>
        <v>0</v>
      </c>
      <c r="I169" s="30"/>
      <c r="L169" s="77"/>
      <c r="M169" s="77"/>
      <c r="N169" s="30"/>
    </row>
    <row r="170" spans="1:20" s="31" customFormat="1" ht="15.75" hidden="1" customHeight="1" x14ac:dyDescent="0.35">
      <c r="A170" s="78">
        <f>A169+1</f>
        <v>3</v>
      </c>
      <c r="B170" s="78"/>
      <c r="C170" s="72"/>
      <c r="D170" s="72"/>
      <c r="E170" s="72">
        <v>0</v>
      </c>
      <c r="F170" s="72">
        <f>D170+E170</f>
        <v>0</v>
      </c>
      <c r="G170" s="72">
        <v>0</v>
      </c>
      <c r="H170" s="72">
        <f>F170*(($H$165)+1)+(IF(G170&lt;101,G170,IF(G170&lt;201,G170/2,IF(G170&lt;=301,G170/3,G170/4))))</f>
        <v>0</v>
      </c>
      <c r="I170" s="30"/>
      <c r="L170" s="77"/>
      <c r="M170" s="77"/>
      <c r="N170" s="30"/>
    </row>
    <row r="171" spans="1:20" s="31" customFormat="1" ht="15.75" hidden="1" customHeight="1" x14ac:dyDescent="0.35">
      <c r="A171" s="78">
        <f>A170+1</f>
        <v>4</v>
      </c>
      <c r="B171" s="78"/>
      <c r="C171" s="72"/>
      <c r="D171" s="72"/>
      <c r="E171" s="72">
        <v>0</v>
      </c>
      <c r="F171" s="72">
        <f>D171+E171</f>
        <v>0</v>
      </c>
      <c r="G171" s="72">
        <v>0</v>
      </c>
      <c r="H171" s="72">
        <f>F171*(($H$165)+1)+(IF(G171&lt;101,G171,IF(G171&lt;201,G171/2,IF(G171&lt;=301,G171/3,G171/4))))</f>
        <v>0</v>
      </c>
      <c r="I171" s="30"/>
      <c r="L171" s="77"/>
      <c r="M171" s="77"/>
      <c r="N171" s="30"/>
      <c r="T171" s="15"/>
    </row>
    <row r="172" spans="1:20" s="31" customFormat="1" hidden="1" x14ac:dyDescent="0.35">
      <c r="A172" s="124" t="s">
        <v>118</v>
      </c>
      <c r="B172" s="124"/>
      <c r="C172" s="124"/>
      <c r="D172" s="124"/>
      <c r="E172" s="124"/>
      <c r="F172" s="124"/>
      <c r="G172" s="124"/>
      <c r="H172" s="124"/>
      <c r="I172" s="30"/>
      <c r="L172" s="77"/>
      <c r="M172" s="77"/>
    </row>
    <row r="173" spans="1:20" s="31" customFormat="1" hidden="1" x14ac:dyDescent="0.35">
      <c r="A173" s="78">
        <f>LEFT(A172,SUM(LEN(A172)-LEN(SUBSTITUTE(A172,{"0","1","2","3","4","5","6","7","8","9"},""))))*100+1</f>
        <v>201</v>
      </c>
      <c r="B173" s="78"/>
      <c r="C173" s="72"/>
      <c r="D173" s="72"/>
      <c r="E173" s="72">
        <v>0</v>
      </c>
      <c r="F173" s="72">
        <f>D173+E173</f>
        <v>0</v>
      </c>
      <c r="G173" s="72">
        <v>0</v>
      </c>
      <c r="H173" s="72">
        <f>F173*(($H$165)+1)+(IF(G173&lt;101,G173,IF(G173&lt;201,G173/2,IF(G173&lt;=301,G173/3,G173/4))))</f>
        <v>0</v>
      </c>
      <c r="I173" s="30"/>
      <c r="N173" s="30"/>
    </row>
    <row r="174" spans="1:20" s="31" customFormat="1" hidden="1" x14ac:dyDescent="0.35">
      <c r="A174" s="78">
        <f>A173+1</f>
        <v>202</v>
      </c>
      <c r="B174" s="78"/>
      <c r="C174" s="72"/>
      <c r="D174" s="72"/>
      <c r="E174" s="72">
        <v>0</v>
      </c>
      <c r="F174" s="72">
        <f>D174+E174</f>
        <v>0</v>
      </c>
      <c r="G174" s="72">
        <v>0</v>
      </c>
      <c r="H174" s="72">
        <f>F174*(($H$165)+1)+(IF(G174&lt;101,G174,IF(G174&lt;201,G174/2,IF(G174&lt;=301,G174/3,G174/4))))</f>
        <v>0</v>
      </c>
      <c r="I174" s="30"/>
      <c r="N174" s="30"/>
    </row>
    <row r="175" spans="1:20" s="31" customFormat="1" hidden="1" x14ac:dyDescent="0.35">
      <c r="A175" s="78">
        <f>A174+1</f>
        <v>203</v>
      </c>
      <c r="B175" s="78"/>
      <c r="C175" s="72"/>
      <c r="D175" s="72"/>
      <c r="E175" s="72">
        <v>0</v>
      </c>
      <c r="F175" s="72">
        <f>D175+E175</f>
        <v>0</v>
      </c>
      <c r="G175" s="72">
        <v>0</v>
      </c>
      <c r="H175" s="72">
        <f>F175*(($H$165)+1)+(IF(G175&lt;101,G175,IF(G175&lt;201,G175/2,IF(G175&lt;=301,G175/3,G175/4))))</f>
        <v>0</v>
      </c>
      <c r="I175" s="30"/>
      <c r="N175" s="30"/>
    </row>
    <row r="176" spans="1:20" s="31" customFormat="1" hidden="1" x14ac:dyDescent="0.35">
      <c r="A176" s="78">
        <f>A175+1</f>
        <v>204</v>
      </c>
      <c r="B176" s="78"/>
      <c r="C176" s="72"/>
      <c r="D176" s="72"/>
      <c r="E176" s="72">
        <v>0</v>
      </c>
      <c r="F176" s="72">
        <f>D176+E176</f>
        <v>0</v>
      </c>
      <c r="G176" s="72">
        <v>0</v>
      </c>
      <c r="H176" s="72">
        <f>F176*(($H$165)+1)+(IF(G176&lt;101,G176,IF(G176&lt;201,G176/2,IF(G176&lt;=301,G176/3,G176/4))))</f>
        <v>0</v>
      </c>
      <c r="I176" s="30"/>
      <c r="N176" s="30"/>
    </row>
    <row r="177" spans="1:14" s="31" customFormat="1" hidden="1" x14ac:dyDescent="0.35">
      <c r="A177" s="78">
        <f>A176+1</f>
        <v>205</v>
      </c>
      <c r="B177" s="78"/>
      <c r="C177" s="72"/>
      <c r="D177" s="72"/>
      <c r="E177" s="72">
        <v>0</v>
      </c>
      <c r="F177" s="72">
        <f>D177+E177</f>
        <v>0</v>
      </c>
      <c r="G177" s="72">
        <v>0</v>
      </c>
      <c r="H177" s="72">
        <f>F177*(($H$165)+1)+(IF(G177&lt;101,G177,IF(G177&lt;201,G177/2,IF(G177&lt;=301,G177/3,G177/4))))</f>
        <v>0</v>
      </c>
      <c r="I177" s="30"/>
      <c r="N177" s="30"/>
    </row>
    <row r="178" spans="1:14" s="31" customFormat="1" ht="15.75" hidden="1" customHeight="1" x14ac:dyDescent="0.35">
      <c r="A178" s="124" t="s">
        <v>151</v>
      </c>
      <c r="B178" s="124"/>
      <c r="C178" s="124"/>
      <c r="D178" s="124"/>
      <c r="E178" s="124"/>
      <c r="F178" s="124"/>
      <c r="G178" s="124"/>
      <c r="H178" s="124"/>
      <c r="I178" s="30"/>
    </row>
    <row r="179" spans="1:14" s="31" customFormat="1" ht="15.75" hidden="1" customHeight="1" x14ac:dyDescent="0.35">
      <c r="A179" s="78"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10^ROW(INDIRECT("1:"&amp;LEN((LEFT(A178,SUM(LEN(A178)-LEN(SUBSTITUTE(A178,{"0","1","2"},""))))))))/10))*100+1&amp;""&amp;" ,..,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",LEN(A178))),LEN(A178)))))))/10))*100+1</f>
        <v>301 ,.., 1501</v>
      </c>
      <c r="B179" s="78"/>
      <c r="C179" s="72"/>
      <c r="D179" s="72"/>
      <c r="E179" s="72">
        <v>0</v>
      </c>
      <c r="F179" s="72">
        <f>D179+E179</f>
        <v>0</v>
      </c>
      <c r="G179" s="72">
        <v>0</v>
      </c>
      <c r="H179" s="72">
        <f>F179*(($H$165)+1)+(IF(G179&lt;101,G179,IF(G179&lt;201,G179/2,IF(G179&lt;=301,G179/3,G179/4))))</f>
        <v>0</v>
      </c>
      <c r="I179" s="30"/>
    </row>
    <row r="180" spans="1:14" s="31" customFormat="1" ht="15.75" hidden="1" customHeight="1" x14ac:dyDescent="0.35">
      <c r="A180" s="78" t="str">
        <f ca="1">(SUMPRODUCT(MID(0&amp;(LEFT(A179,SUM(LEN(A179)-LEN(SUBSTITUTE(A179,{"0","1","2"},""))))), LARGE(INDEX(ISNUMBER(--MID((LEFT(A179,SUM(LEN(A179)-LEN(SUBSTITUTE(A179,{"0","1","2"},""))))), ROW(INDIRECT("1:"&amp;LEN((LEFT(A179,SUM(LEN(A179)-LEN(SUBSTITUTE(A179,{"0","1","2"},"")))))))), 1)) * ROW(INDIRECT("1:"&amp;LEN((LEFT(A179,SUM(LEN(A179)-LEN(SUBSTITUTE(A179,{"0","1","2"},"")))))))), 0), ROW(INDIRECT("1:"&amp;LEN((LEFT(A179,SUM(LEN(A179)-LEN(SUBSTITUTE(A179,{"0","1","2"},"")))))))))+1, 1) * 10^ROW(INDIRECT("1:"&amp;LEN((LEFT(A179,SUM(LEN(A179)-LEN(SUBSTITUTE(A179,{"0","1","2"},""))))))))/10))*1+1&amp;""&amp;" ,.., "&amp;""&amp;(SUMPRODUCT(MID(0&amp;(--TRIM(RIGHT(SUBSTITUTE(LEFT(A179,_xlfn.AGGREGATE(16,6,FIND({0,1,2,3,4,5,6,7,8,9},A179,ROW(INDIRECT("1:"&amp;LEN(A179)))),1))," ",REPT(" ",LEN(A179))),LEN(A179)))), LARGE(INDEX(ISNUMBER(--MID((--TRIM(RIGHT(SUBSTITUTE(LEFT(A179,_xlfn.AGGREGATE(16,6,FIND({0,1,2,3,4,5,6,7,8,9},A179,ROW(INDIRECT("1:"&amp;LEN(A179)))),1))," ",REPT(" ",LEN(A179))),LEN(A179)))), ROW(INDIRECT("1:"&amp;LEN((--TRIM(RIGHT(SUBSTITUTE(LEFT(A179,_xlfn.AGGREGATE(16,6,FIND({0,1,2,3,4,5,6,7,8,9},A179,ROW(INDIRECT("1:"&amp;LEN(A179)))),1))," ",REPT(" ",LEN(A179))),LEN(A179))))))), 1)) * ROW(INDIRECT("1:"&amp;LEN((--TRIM(RIGHT(SUBSTITUTE(LEFT(A179,_xlfn.AGGREGATE(16,6,FIND({0,1,2,3,4,5,6,7,8,9},A179,ROW(INDIRECT("1:"&amp;LEN(A179)))),1))," ",REPT(" ",LEN(A179))),LEN(A179))))))), 0), ROW(INDIRECT("1:"&amp;LEN((--TRIM(RIGHT(SUBSTITUTE(LEFT(A179,_xlfn.AGGREGATE(16,6,FIND({0,1,2,3,4,5,6,7,8,9},A179,ROW(INDIRECT("1:"&amp;LEN(A179)))),1))," ",REPT(" ",LEN(A179))),LEN(A179))))))))+1, 1) * 10^ROW(INDIRECT("1:"&amp;LEN((--TRIM(RIGHT(SUBSTITUTE(LEFT(A179,_xlfn.AGGREGATE(16,6,FIND({0,1,2,3,4,5,6,7,8,9},A179,ROW(INDIRECT("1:"&amp;LEN(A179)))),1))," ",REPT(" ",LEN(A179))),LEN(A179)))))))/10))*1+1</f>
        <v>302 ,.., 1502</v>
      </c>
      <c r="B180" s="78"/>
      <c r="C180" s="72"/>
      <c r="D180" s="72"/>
      <c r="E180" s="72">
        <v>0</v>
      </c>
      <c r="F180" s="72">
        <f>D180+E180</f>
        <v>0</v>
      </c>
      <c r="G180" s="72">
        <v>0</v>
      </c>
      <c r="H180" s="72">
        <f>F180*(($H$165)+1)+(IF(G180&lt;101,G180,IF(G180&lt;201,G180/2,IF(G180&lt;=301,G180/3,G180/4))))</f>
        <v>0</v>
      </c>
      <c r="I180" s="30"/>
    </row>
    <row r="181" spans="1:14" s="31" customFormat="1" ht="15.75" hidden="1" customHeight="1" x14ac:dyDescent="0.35">
      <c r="A181" s="78"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10^ROW(INDIRECT("1:"&amp;LEN((LEFT(A180,SUM(LEN(A180)-LEN(SUBSTITUTE(A180,{"0","1","2"},""))))))))/10))*1+1&amp;""&amp;" ,..,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",LEN(A180))),LEN(A180)))))))/10))*1+1</f>
        <v>303 ,.., 1503</v>
      </c>
      <c r="B181" s="78"/>
      <c r="C181" s="72"/>
      <c r="D181" s="72"/>
      <c r="E181" s="72">
        <v>0</v>
      </c>
      <c r="F181" s="72">
        <f>D181+E181</f>
        <v>0</v>
      </c>
      <c r="G181" s="72">
        <v>0</v>
      </c>
      <c r="H181" s="72">
        <f>F181*(($H$165)+1)+(IF(G181&lt;101,G181,IF(G181&lt;201,G181/2,IF(G181&lt;=301,G181/3,G181/4))))</f>
        <v>0</v>
      </c>
      <c r="I181" s="30"/>
    </row>
    <row r="182" spans="1:14" s="31" customFormat="1" ht="15.75" hidden="1" customHeight="1" x14ac:dyDescent="0.35">
      <c r="A182" s="78"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304 ,.., 1504</v>
      </c>
      <c r="B182" s="78"/>
      <c r="C182" s="72"/>
      <c r="D182" s="72"/>
      <c r="E182" s="72">
        <v>0</v>
      </c>
      <c r="F182" s="72">
        <f>D182+E182</f>
        <v>0</v>
      </c>
      <c r="G182" s="72">
        <v>0</v>
      </c>
      <c r="H182" s="72">
        <f>F182*(($H$165)+1)+(IF(G182&lt;101,G182,IF(G182&lt;201,G182/2,IF(G182&lt;=301,G182/3,G182/4))))</f>
        <v>0</v>
      </c>
      <c r="I182" s="30"/>
    </row>
    <row r="183" spans="1:14" s="31" customFormat="1" ht="15.75" hidden="1" customHeight="1" x14ac:dyDescent="0.35">
      <c r="A183" s="78"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305 ,.., 1505</v>
      </c>
      <c r="B183" s="78"/>
      <c r="C183" s="72"/>
      <c r="D183" s="72"/>
      <c r="E183" s="72">
        <v>0</v>
      </c>
      <c r="F183" s="72">
        <f>D183+E183</f>
        <v>0</v>
      </c>
      <c r="G183" s="72">
        <v>0</v>
      </c>
      <c r="H183" s="72">
        <f>F183*(($H$165)+1)+(IF(G183&lt;101,G183,IF(G183&lt;201,G183/2,IF(G183&lt;=301,G183/3,G183/4))))</f>
        <v>0</v>
      </c>
      <c r="I183" s="30"/>
    </row>
    <row r="184" spans="1:14" s="31" customFormat="1" hidden="1" x14ac:dyDescent="0.35">
      <c r="A184" s="124" t="s">
        <v>145</v>
      </c>
      <c r="B184" s="124"/>
      <c r="C184" s="124"/>
      <c r="D184" s="124"/>
      <c r="E184" s="124"/>
      <c r="F184" s="124"/>
      <c r="G184" s="124"/>
      <c r="H184" s="124"/>
      <c r="I184" s="30"/>
    </row>
    <row r="185" spans="1:14" s="31" customFormat="1" ht="15.75" hidden="1" customHeight="1" x14ac:dyDescent="0.35">
      <c r="A185" s="78"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10^ROW(INDIRECT("1:"&amp;LEN((LEFT(A184,SUM(LEN(A184)-LEN(SUBSTITUTE(A184,{"0","1","2"},""))))))))/10))*100+1&amp;""&amp;" to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",LEN(A184))),LEN(A184)))))))/10))*100+1</f>
        <v>201 to 501</v>
      </c>
      <c r="B185" s="78"/>
      <c r="C185" s="72"/>
      <c r="D185" s="72"/>
      <c r="E185" s="72">
        <v>0</v>
      </c>
      <c r="F185" s="72">
        <f>D185+E185</f>
        <v>0</v>
      </c>
      <c r="G185" s="72">
        <v>0</v>
      </c>
      <c r="H185" s="72">
        <f>F185*(($H$165)+1)+(IF(G185&lt;101,G185,IF(G185&lt;201,G185/2,IF(G185&lt;=301,G185/3,G185/4))))</f>
        <v>0</v>
      </c>
      <c r="I185" s="30"/>
    </row>
    <row r="186" spans="1:14" s="31" customFormat="1" ht="15.75" hidden="1" customHeight="1" x14ac:dyDescent="0.35">
      <c r="A186" s="78" t="str">
        <f ca="1">(SUMPRODUCT(MID(0&amp;(LEFT(A185,SUM(LEN(A185)-LEN(SUBSTITUTE(A185,{"0","1","2"},""))))), LARGE(INDEX(ISNUMBER(--MID((LEFT(A185,SUM(LEN(A185)-LEN(SUBSTITUTE(A185,{"0","1","2"},""))))), ROW(INDIRECT("1:"&amp;LEN((LEFT(A185,SUM(LEN(A185)-LEN(SUBSTITUTE(A185,{"0","1","2"},"")))))))), 1)) * ROW(INDIRECT("1:"&amp;LEN((LEFT(A185,SUM(LEN(A185)-LEN(SUBSTITUTE(A185,{"0","1","2"},"")))))))), 0), ROW(INDIRECT("1:"&amp;LEN((LEFT(A185,SUM(LEN(A185)-LEN(SUBSTITUTE(A185,{"0","1","2"},"")))))))))+1, 1) * 10^ROW(INDIRECT("1:"&amp;LEN((LEFT(A185,SUM(LEN(A185)-LEN(SUBSTITUTE(A185,{"0","1","2"},""))))))))/10))*1+1&amp;""&amp;" to "&amp;""&amp;(SUMPRODUCT(MID(0&amp;(--TRIM(RIGHT(SUBSTITUTE(LEFT(A185,_xlfn.AGGREGATE(16,6,FIND({0,1,2,3,4,5,6,7,8,9},A185,ROW(INDIRECT("1:"&amp;LEN(A185)))),1))," ",REPT(" ",LEN(A185))),LEN(A185)))), LARGE(INDEX(ISNUMBER(--MID((--TRIM(RIGHT(SUBSTITUTE(LEFT(A185,_xlfn.AGGREGATE(16,6,FIND({0,1,2,3,4,5,6,7,8,9},A185,ROW(INDIRECT("1:"&amp;LEN(A185)))),1))," ",REPT(" ",LEN(A185))),LEN(A185)))), ROW(INDIRECT("1:"&amp;LEN((--TRIM(RIGHT(SUBSTITUTE(LEFT(A185,_xlfn.AGGREGATE(16,6,FIND({0,1,2,3,4,5,6,7,8,9},A185,ROW(INDIRECT("1:"&amp;LEN(A185)))),1))," ",REPT(" ",LEN(A185))),LEN(A185))))))), 1)) * ROW(INDIRECT("1:"&amp;LEN((--TRIM(RIGHT(SUBSTITUTE(LEFT(A185,_xlfn.AGGREGATE(16,6,FIND({0,1,2,3,4,5,6,7,8,9},A185,ROW(INDIRECT("1:"&amp;LEN(A185)))),1))," ",REPT(" ",LEN(A185))),LEN(A185))))))), 0), ROW(INDIRECT("1:"&amp;LEN((--TRIM(RIGHT(SUBSTITUTE(LEFT(A185,_xlfn.AGGREGATE(16,6,FIND({0,1,2,3,4,5,6,7,8,9},A185,ROW(INDIRECT("1:"&amp;LEN(A185)))),1))," ",REPT(" ",LEN(A185))),LEN(A185))))))))+1, 1) * 10^ROW(INDIRECT("1:"&amp;LEN((--TRIM(RIGHT(SUBSTITUTE(LEFT(A185,_xlfn.AGGREGATE(16,6,FIND({0,1,2,3,4,5,6,7,8,9},A185,ROW(INDIRECT("1:"&amp;LEN(A185)))),1))," ",REPT(" ",LEN(A185))),LEN(A185)))))))/10))*1+1</f>
        <v>202 to 502</v>
      </c>
      <c r="B186" s="78"/>
      <c r="C186" s="72"/>
      <c r="D186" s="72"/>
      <c r="E186" s="72">
        <v>0</v>
      </c>
      <c r="F186" s="72">
        <f>D186+E186</f>
        <v>0</v>
      </c>
      <c r="G186" s="72">
        <v>0</v>
      </c>
      <c r="H186" s="72">
        <f>F186*(($H$165)+1)+(IF(G186&lt;101,G186,IF(G186&lt;201,G186/2,IF(G186&lt;=301,G186/3,G186/4))))</f>
        <v>0</v>
      </c>
      <c r="I186" s="30"/>
    </row>
    <row r="187" spans="1:14" s="31" customFormat="1" ht="15.75" hidden="1" customHeight="1" x14ac:dyDescent="0.35">
      <c r="A187" s="78"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10^ROW(INDIRECT("1:"&amp;LEN((LEFT(A186,SUM(LEN(A186)-LEN(SUBSTITUTE(A186,{"0","1","2"},""))))))))/10))*1+1&amp;""&amp;" to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",LEN(A186))),LEN(A186)))))))/10))*1+1</f>
        <v>203 to 503</v>
      </c>
      <c r="B187" s="78"/>
      <c r="C187" s="72"/>
      <c r="D187" s="72"/>
      <c r="E187" s="72">
        <v>0</v>
      </c>
      <c r="F187" s="72">
        <f>D187+E187</f>
        <v>0</v>
      </c>
      <c r="G187" s="72">
        <v>0</v>
      </c>
      <c r="H187" s="72">
        <f>F187*(($H$165)+1)+(IF(G187&lt;101,G187,IF(G187&lt;201,G187/2,IF(G187&lt;=301,G187/3,G187/4))))</f>
        <v>0</v>
      </c>
      <c r="I187" s="30"/>
    </row>
    <row r="188" spans="1:14" s="31" customFormat="1" ht="15.75" hidden="1" customHeight="1" x14ac:dyDescent="0.35">
      <c r="A188" s="78"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to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204 to 504</v>
      </c>
      <c r="B188" s="78"/>
      <c r="C188" s="72"/>
      <c r="D188" s="72"/>
      <c r="E188" s="72">
        <v>0</v>
      </c>
      <c r="F188" s="72">
        <f>D188+E188</f>
        <v>0</v>
      </c>
      <c r="G188" s="72">
        <v>0</v>
      </c>
      <c r="H188" s="72">
        <f>F188*(($H$165)+1)+(IF(G188&lt;101,G188,IF(G188&lt;201,G188/2,IF(G188&lt;=301,G188/3,G188/4))))</f>
        <v>0</v>
      </c>
      <c r="I188" s="30"/>
    </row>
    <row r="189" spans="1:14" s="31" customFormat="1" ht="15.75" hidden="1" customHeight="1" x14ac:dyDescent="0.35">
      <c r="A189" s="78"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to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205 to 505</v>
      </c>
      <c r="B189" s="78"/>
      <c r="C189" s="72"/>
      <c r="D189" s="72"/>
      <c r="E189" s="72">
        <v>0</v>
      </c>
      <c r="F189" s="72">
        <f>D189+E189</f>
        <v>0</v>
      </c>
      <c r="G189" s="72">
        <v>0</v>
      </c>
      <c r="H189" s="72">
        <f>F189*(($H$165)+1)+(IF(G189&lt;101,G189,IF(G189&lt;201,G189/2,IF(G189&lt;=301,G189/3,G189/4))))</f>
        <v>0</v>
      </c>
      <c r="I189" s="30"/>
    </row>
    <row r="190" spans="1:14" s="31" customFormat="1" hidden="1" x14ac:dyDescent="0.35">
      <c r="A190" s="124" t="s">
        <v>146</v>
      </c>
      <c r="B190" s="124"/>
      <c r="C190" s="124"/>
      <c r="D190" s="124"/>
      <c r="E190" s="124"/>
      <c r="F190" s="124"/>
      <c r="G190" s="124"/>
      <c r="H190" s="124"/>
      <c r="I190" s="30"/>
    </row>
    <row r="191" spans="1:14" s="31" customFormat="1" ht="15.75" hidden="1" customHeight="1" x14ac:dyDescent="0.35">
      <c r="A191" s="78"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10^ROW(INDIRECT("1:"&amp;LEN((LEFT(A190,SUM(LEN(A190)-LEN(SUBSTITUTE(A190,{"0","1","2"},""))))))))/10))*100+1&amp;""&amp;" &amp;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",LEN(A190))),LEN(A190)))))))/10))*100+1</f>
        <v>201 &amp; 501</v>
      </c>
      <c r="B191" s="78"/>
      <c r="C191" s="72"/>
      <c r="D191" s="72"/>
      <c r="E191" s="72">
        <v>0</v>
      </c>
      <c r="F191" s="72">
        <f>D191+E191</f>
        <v>0</v>
      </c>
      <c r="G191" s="72">
        <v>0</v>
      </c>
      <c r="H191" s="72">
        <f>F191*(($H$165)+1)+(IF(G191&lt;101,G191,IF(G191&lt;201,G191/2,IF(G191&lt;=301,G191/3,G191/4))))</f>
        <v>0</v>
      </c>
      <c r="I191" s="30"/>
    </row>
    <row r="192" spans="1:14" s="31" customFormat="1" ht="15.75" hidden="1" customHeight="1" x14ac:dyDescent="0.35">
      <c r="A192" s="78" t="str">
        <f ca="1">(SUMPRODUCT(MID(0&amp;(LEFT(A191,SUM(LEN(A191)-LEN(SUBSTITUTE(A191,{"0","1","2"},""))))), LARGE(INDEX(ISNUMBER(--MID((LEFT(A191,SUM(LEN(A191)-LEN(SUBSTITUTE(A191,{"0","1","2"},""))))), ROW(INDIRECT("1:"&amp;LEN((LEFT(A191,SUM(LEN(A191)-LEN(SUBSTITUTE(A191,{"0","1","2"},"")))))))), 1)) * ROW(INDIRECT("1:"&amp;LEN((LEFT(A191,SUM(LEN(A191)-LEN(SUBSTITUTE(A191,{"0","1","2"},"")))))))), 0), ROW(INDIRECT("1:"&amp;LEN((LEFT(A191,SUM(LEN(A191)-LEN(SUBSTITUTE(A191,{"0","1","2"},"")))))))))+1, 1) * 10^ROW(INDIRECT("1:"&amp;LEN((LEFT(A191,SUM(LEN(A191)-LEN(SUBSTITUTE(A191,{"0","1","2"},""))))))))/10))*1+1&amp;""&amp;" &amp; "&amp;""&amp;(SUMPRODUCT(MID(0&amp;(--TRIM(RIGHT(SUBSTITUTE(LEFT(A191,_xlfn.AGGREGATE(16,6,FIND({0,1,2,3,4,5,6,7,8,9},A191,ROW(INDIRECT("1:"&amp;LEN(A191)))),1))," ",REPT(" ",LEN(A191))),LEN(A191)))), LARGE(INDEX(ISNUMBER(--MID((--TRIM(RIGHT(SUBSTITUTE(LEFT(A191,_xlfn.AGGREGATE(16,6,FIND({0,1,2,3,4,5,6,7,8,9},A191,ROW(INDIRECT("1:"&amp;LEN(A191)))),1))," ",REPT(" ",LEN(A191))),LEN(A191)))), ROW(INDIRECT("1:"&amp;LEN((--TRIM(RIGHT(SUBSTITUTE(LEFT(A191,_xlfn.AGGREGATE(16,6,FIND({0,1,2,3,4,5,6,7,8,9},A191,ROW(INDIRECT("1:"&amp;LEN(A191)))),1))," ",REPT(" ",LEN(A191))),LEN(A191))))))), 1)) * ROW(INDIRECT("1:"&amp;LEN((--TRIM(RIGHT(SUBSTITUTE(LEFT(A191,_xlfn.AGGREGATE(16,6,FIND({0,1,2,3,4,5,6,7,8,9},A191,ROW(INDIRECT("1:"&amp;LEN(A191)))),1))," ",REPT(" ",LEN(A191))),LEN(A191))))))), 0), ROW(INDIRECT("1:"&amp;LEN((--TRIM(RIGHT(SUBSTITUTE(LEFT(A191,_xlfn.AGGREGATE(16,6,FIND({0,1,2,3,4,5,6,7,8,9},A191,ROW(INDIRECT("1:"&amp;LEN(A191)))),1))," ",REPT(" ",LEN(A191))),LEN(A191))))))))+1, 1) * 10^ROW(INDIRECT("1:"&amp;LEN((--TRIM(RIGHT(SUBSTITUTE(LEFT(A191,_xlfn.AGGREGATE(16,6,FIND({0,1,2,3,4,5,6,7,8,9},A191,ROW(INDIRECT("1:"&amp;LEN(A191)))),1))," ",REPT(" ",LEN(A191))),LEN(A191)))))))/10))*1+1</f>
        <v>202 &amp; 502</v>
      </c>
      <c r="B192" s="78"/>
      <c r="C192" s="72"/>
      <c r="D192" s="72"/>
      <c r="E192" s="72">
        <v>0</v>
      </c>
      <c r="F192" s="72">
        <f>D192+E192</f>
        <v>0</v>
      </c>
      <c r="G192" s="72">
        <v>0</v>
      </c>
      <c r="H192" s="72">
        <f>F192*(($H$165)+1)+(IF(G192&lt;101,G192,IF(G192&lt;201,G192/2,IF(G192&lt;=301,G192/3,G192/4))))</f>
        <v>0</v>
      </c>
      <c r="I192" s="30"/>
    </row>
    <row r="193" spans="1:20" s="31" customFormat="1" ht="15.75" hidden="1" customHeight="1" x14ac:dyDescent="0.35">
      <c r="A193" s="78" t="str">
        <f ca="1">(SUMPRODUCT(MID(0&amp;(LEFT(A192,SUM(LEN(A192)-LEN(SUBSTITUTE(A192,{"0","1","2"},""))))), LARGE(INDEX(ISNUMBER(--MID((LEFT(A192,SUM(LEN(A192)-LEN(SUBSTITUTE(A192,{"0","1","2"},""))))), ROW(INDIRECT("1:"&amp;LEN((LEFT(A192,SUM(LEN(A192)-LEN(SUBSTITUTE(A192,{"0","1","2"},"")))))))), 1)) * ROW(INDIRECT("1:"&amp;LEN((LEFT(A192,SUM(LEN(A192)-LEN(SUBSTITUTE(A192,{"0","1","2"},"")))))))), 0), ROW(INDIRECT("1:"&amp;LEN((LEFT(A192,SUM(LEN(A192)-LEN(SUBSTITUTE(A192,{"0","1","2"},"")))))))))+1, 1) * 10^ROW(INDIRECT("1:"&amp;LEN((LEFT(A192,SUM(LEN(A192)-LEN(SUBSTITUTE(A192,{"0","1","2"},""))))))))/10))*1+1&amp;""&amp;" &amp; "&amp;""&amp;(SUMPRODUCT(MID(0&amp;(--TRIM(RIGHT(SUBSTITUTE(LEFT(A192,_xlfn.AGGREGATE(16,6,FIND({0,1,2,3,4,5,6,7,8,9},A192,ROW(INDIRECT("1:"&amp;LEN(A192)))),1))," ",REPT(" ",LEN(A192))),LEN(A192)))), LARGE(INDEX(ISNUMBER(--MID((--TRIM(RIGHT(SUBSTITUTE(LEFT(A192,_xlfn.AGGREGATE(16,6,FIND({0,1,2,3,4,5,6,7,8,9},A192,ROW(INDIRECT("1:"&amp;LEN(A192)))),1))," ",REPT(" ",LEN(A192))),LEN(A192)))), ROW(INDIRECT("1:"&amp;LEN((--TRIM(RIGHT(SUBSTITUTE(LEFT(A192,_xlfn.AGGREGATE(16,6,FIND({0,1,2,3,4,5,6,7,8,9},A192,ROW(INDIRECT("1:"&amp;LEN(A192)))),1))," ",REPT(" ",LEN(A192))),LEN(A192))))))), 1)) * ROW(INDIRECT("1:"&amp;LEN((--TRIM(RIGHT(SUBSTITUTE(LEFT(A192,_xlfn.AGGREGATE(16,6,FIND({0,1,2,3,4,5,6,7,8,9},A192,ROW(INDIRECT("1:"&amp;LEN(A192)))),1))," ",REPT(" ",LEN(A192))),LEN(A192))))))), 0), ROW(INDIRECT("1:"&amp;LEN((--TRIM(RIGHT(SUBSTITUTE(LEFT(A192,_xlfn.AGGREGATE(16,6,FIND({0,1,2,3,4,5,6,7,8,9},A192,ROW(INDIRECT("1:"&amp;LEN(A192)))),1))," ",REPT(" ",LEN(A192))),LEN(A192))))))))+1, 1) * 10^ROW(INDIRECT("1:"&amp;LEN((--TRIM(RIGHT(SUBSTITUTE(LEFT(A192,_xlfn.AGGREGATE(16,6,FIND({0,1,2,3,4,5,6,7,8,9},A192,ROW(INDIRECT("1:"&amp;LEN(A192)))),1))," ",REPT(" ",LEN(A192))),LEN(A192)))))))/10))*1+1</f>
        <v>203 &amp; 503</v>
      </c>
      <c r="B193" s="78"/>
      <c r="C193" s="72"/>
      <c r="D193" s="72"/>
      <c r="E193" s="72">
        <v>0</v>
      </c>
      <c r="F193" s="72">
        <f>D193+E193</f>
        <v>0</v>
      </c>
      <c r="G193" s="72">
        <v>0</v>
      </c>
      <c r="H193" s="72">
        <f>F193*(($H$165)+1)+(IF(G193&lt;101,G193,IF(G193&lt;201,G193/2,IF(G193&lt;=301,G193/3,G193/4))))</f>
        <v>0</v>
      </c>
      <c r="I193" s="30"/>
    </row>
    <row r="194" spans="1:20" s="31" customFormat="1" ht="15.75" hidden="1" customHeight="1" x14ac:dyDescent="0.35">
      <c r="A194" s="78" t="str">
        <f ca="1">(SUMPRODUCT(MID(0&amp;(LEFT(A193,SUM(LEN(A193)-LEN(SUBSTITUTE(A193,{"0","1","2"},""))))), LARGE(INDEX(ISNUMBER(--MID((LEFT(A193,SUM(LEN(A193)-LEN(SUBSTITUTE(A193,{"0","1","2"},""))))), ROW(INDIRECT("1:"&amp;LEN((LEFT(A193,SUM(LEN(A193)-LEN(SUBSTITUTE(A193,{"0","1","2"},"")))))))), 1)) * ROW(INDIRECT("1:"&amp;LEN((LEFT(A193,SUM(LEN(A193)-LEN(SUBSTITUTE(A193,{"0","1","2"},"")))))))), 0), ROW(INDIRECT("1:"&amp;LEN((LEFT(A193,SUM(LEN(A193)-LEN(SUBSTITUTE(A193,{"0","1","2"},"")))))))))+1, 1) * 10^ROW(INDIRECT("1:"&amp;LEN((LEFT(A193,SUM(LEN(A193)-LEN(SUBSTITUTE(A193,{"0","1","2"},""))))))))/10))*1+1&amp;""&amp;" &amp; "&amp;""&amp;(SUMPRODUCT(MID(0&amp;(--TRIM(RIGHT(SUBSTITUTE(LEFT(A193,_xlfn.AGGREGATE(16,6,FIND({0,1,2,3,4,5,6,7,8,9},A193,ROW(INDIRECT("1:"&amp;LEN(A193)))),1))," ",REPT(" ",LEN(A193))),LEN(A193)))), LARGE(INDEX(ISNUMBER(--MID((--TRIM(RIGHT(SUBSTITUTE(LEFT(A193,_xlfn.AGGREGATE(16,6,FIND({0,1,2,3,4,5,6,7,8,9},A193,ROW(INDIRECT("1:"&amp;LEN(A193)))),1))," ",REPT(" ",LEN(A193))),LEN(A193)))), ROW(INDIRECT("1:"&amp;LEN((--TRIM(RIGHT(SUBSTITUTE(LEFT(A193,_xlfn.AGGREGATE(16,6,FIND({0,1,2,3,4,5,6,7,8,9},A193,ROW(INDIRECT("1:"&amp;LEN(A193)))),1))," ",REPT(" ",LEN(A193))),LEN(A193))))))), 1)) * ROW(INDIRECT("1:"&amp;LEN((--TRIM(RIGHT(SUBSTITUTE(LEFT(A193,_xlfn.AGGREGATE(16,6,FIND({0,1,2,3,4,5,6,7,8,9},A193,ROW(INDIRECT("1:"&amp;LEN(A193)))),1))," ",REPT(" ",LEN(A193))),LEN(A193))))))), 0), ROW(INDIRECT("1:"&amp;LEN((--TRIM(RIGHT(SUBSTITUTE(LEFT(A193,_xlfn.AGGREGATE(16,6,FIND({0,1,2,3,4,5,6,7,8,9},A193,ROW(INDIRECT("1:"&amp;LEN(A193)))),1))," ",REPT(" ",LEN(A193))),LEN(A193))))))))+1, 1) * 10^ROW(INDIRECT("1:"&amp;LEN((--TRIM(RIGHT(SUBSTITUTE(LEFT(A193,_xlfn.AGGREGATE(16,6,FIND({0,1,2,3,4,5,6,7,8,9},A193,ROW(INDIRECT("1:"&amp;LEN(A193)))),1))," ",REPT(" ",LEN(A193))),LEN(A193)))))))/10))*1+1</f>
        <v>204 &amp; 504</v>
      </c>
      <c r="B194" s="78"/>
      <c r="C194" s="72"/>
      <c r="D194" s="72"/>
      <c r="E194" s="72">
        <v>0</v>
      </c>
      <c r="F194" s="72">
        <f>D194+E194</f>
        <v>0</v>
      </c>
      <c r="G194" s="72">
        <v>0</v>
      </c>
      <c r="H194" s="72">
        <f>F194*(($H$165)+1)+(IF(G194&lt;101,G194,IF(G194&lt;201,G194/2,IF(G194&lt;=301,G194/3,G194/4))))</f>
        <v>0</v>
      </c>
      <c r="I194" s="30"/>
    </row>
    <row r="195" spans="1:20" s="31" customFormat="1" ht="15.75" hidden="1" customHeight="1" x14ac:dyDescent="0.35">
      <c r="A195" s="78" t="str">
        <f ca="1">(SUMPRODUCT(MID(0&amp;(LEFT(A194,SUM(LEN(A194)-LEN(SUBSTITUTE(A194,{"0","1","2"},""))))), LARGE(INDEX(ISNUMBER(--MID((LEFT(A194,SUM(LEN(A194)-LEN(SUBSTITUTE(A194,{"0","1","2"},""))))), ROW(INDIRECT("1:"&amp;LEN((LEFT(A194,SUM(LEN(A194)-LEN(SUBSTITUTE(A194,{"0","1","2"},"")))))))), 1)) * ROW(INDIRECT("1:"&amp;LEN((LEFT(A194,SUM(LEN(A194)-LEN(SUBSTITUTE(A194,{"0","1","2"},"")))))))), 0), ROW(INDIRECT("1:"&amp;LEN((LEFT(A194,SUM(LEN(A194)-LEN(SUBSTITUTE(A194,{"0","1","2"},"")))))))))+1, 1) * 10^ROW(INDIRECT("1:"&amp;LEN((LEFT(A194,SUM(LEN(A194)-LEN(SUBSTITUTE(A194,{"0","1","2"},""))))))))/10))*1+1&amp;""&amp;" &amp; "&amp;""&amp;(SUMPRODUCT(MID(0&amp;(--TRIM(RIGHT(SUBSTITUTE(LEFT(A194,_xlfn.AGGREGATE(16,6,FIND({0,1,2,3,4,5,6,7,8,9},A194,ROW(INDIRECT("1:"&amp;LEN(A194)))),1))," ",REPT(" ",LEN(A194))),LEN(A194)))), LARGE(INDEX(ISNUMBER(--MID((--TRIM(RIGHT(SUBSTITUTE(LEFT(A194,_xlfn.AGGREGATE(16,6,FIND({0,1,2,3,4,5,6,7,8,9},A194,ROW(INDIRECT("1:"&amp;LEN(A194)))),1))," ",REPT(" ",LEN(A194))),LEN(A194)))), ROW(INDIRECT("1:"&amp;LEN((--TRIM(RIGHT(SUBSTITUTE(LEFT(A194,_xlfn.AGGREGATE(16,6,FIND({0,1,2,3,4,5,6,7,8,9},A194,ROW(INDIRECT("1:"&amp;LEN(A194)))),1))," ",REPT(" ",LEN(A194))),LEN(A194))))))), 1)) * ROW(INDIRECT("1:"&amp;LEN((--TRIM(RIGHT(SUBSTITUTE(LEFT(A194,_xlfn.AGGREGATE(16,6,FIND({0,1,2,3,4,5,6,7,8,9},A194,ROW(INDIRECT("1:"&amp;LEN(A194)))),1))," ",REPT(" ",LEN(A194))),LEN(A194))))))), 0), ROW(INDIRECT("1:"&amp;LEN((--TRIM(RIGHT(SUBSTITUTE(LEFT(A194,_xlfn.AGGREGATE(16,6,FIND({0,1,2,3,4,5,6,7,8,9},A194,ROW(INDIRECT("1:"&amp;LEN(A194)))),1))," ",REPT(" ",LEN(A194))),LEN(A194))))))))+1, 1) * 10^ROW(INDIRECT("1:"&amp;LEN((--TRIM(RIGHT(SUBSTITUTE(LEFT(A194,_xlfn.AGGREGATE(16,6,FIND({0,1,2,3,4,5,6,7,8,9},A194,ROW(INDIRECT("1:"&amp;LEN(A194)))),1))," ",REPT(" ",LEN(A194))),LEN(A194)))))))/10))*1+1</f>
        <v>205 &amp; 505</v>
      </c>
      <c r="B195" s="78"/>
      <c r="C195" s="72"/>
      <c r="D195" s="72"/>
      <c r="E195" s="72">
        <v>0</v>
      </c>
      <c r="F195" s="72">
        <f>D195+E195</f>
        <v>0</v>
      </c>
      <c r="G195" s="72">
        <v>0</v>
      </c>
      <c r="H195" s="72">
        <f>F195*(($H$165)+1)+(IF(G195&lt;101,G195,IF(G195&lt;201,G195/2,IF(G195&lt;=301,G195/3,G195/4))))</f>
        <v>0</v>
      </c>
      <c r="I195" s="30"/>
    </row>
    <row r="196" spans="1:20" s="29" customFormat="1" x14ac:dyDescent="0.35">
      <c r="A196" s="138" t="s">
        <v>65</v>
      </c>
      <c r="B196" s="138"/>
      <c r="C196" s="138"/>
      <c r="D196" s="138"/>
      <c r="E196" s="138"/>
      <c r="F196" s="138"/>
      <c r="G196" s="138"/>
      <c r="H196" s="138"/>
      <c r="T196" s="31"/>
    </row>
    <row r="197" spans="1:20" s="29" customFormat="1" x14ac:dyDescent="0.35">
      <c r="A197" s="74" t="s">
        <v>155</v>
      </c>
      <c r="B197" s="148" t="s">
        <v>376</v>
      </c>
      <c r="C197" s="148"/>
      <c r="D197" s="148"/>
      <c r="E197" s="148"/>
      <c r="F197" s="148"/>
      <c r="G197" s="148"/>
      <c r="H197" s="148"/>
      <c r="I197" s="193" t="s">
        <v>359</v>
      </c>
      <c r="J197" s="194"/>
      <c r="K197" s="194"/>
      <c r="L197" s="194"/>
      <c r="T197" s="31"/>
    </row>
    <row r="198" spans="1:20" s="29" customFormat="1" hidden="1" x14ac:dyDescent="0.35">
      <c r="A198" s="74" t="s">
        <v>155</v>
      </c>
      <c r="B198" s="148" t="str">
        <f>(IF(H164="Saleable area Loading :","We have considered Saleable area of Flats as per our Calculation.","We considered Saleable area of Flat as per Builder area Sheet."))</f>
        <v>We have considered Saleable area of Flats as per our Calculation.</v>
      </c>
      <c r="C198" s="148"/>
      <c r="D198" s="148"/>
      <c r="E198" s="148"/>
      <c r="F198" s="148"/>
      <c r="G198" s="148"/>
      <c r="H198" s="148"/>
      <c r="T198" s="31"/>
    </row>
    <row r="199" spans="1:20" s="29" customFormat="1" x14ac:dyDescent="0.35">
      <c r="A199" s="74" t="s">
        <v>155</v>
      </c>
      <c r="B199" s="148" t="str">
        <f>(IF(H114="Saleable area Loading :","We have considered Saleable area of Commercial as per our Calculation.","We considered Saleable area of Commercial as per Builder area Sheet."))</f>
        <v>We have considered Saleable area of Commercial as per our Calculation.</v>
      </c>
      <c r="C199" s="148"/>
      <c r="D199" s="148"/>
      <c r="E199" s="148"/>
      <c r="F199" s="148"/>
      <c r="G199" s="148"/>
      <c r="H199" s="148"/>
      <c r="T199" s="31"/>
    </row>
    <row r="200" spans="1:20" s="29" customFormat="1" x14ac:dyDescent="0.35">
      <c r="A200" s="74" t="s">
        <v>155</v>
      </c>
      <c r="B200" s="137" t="s">
        <v>122</v>
      </c>
      <c r="C200" s="137"/>
      <c r="D200" s="137"/>
      <c r="E200" s="137"/>
      <c r="F200" s="137"/>
      <c r="G200" s="137"/>
      <c r="H200" s="137"/>
      <c r="T200" s="31"/>
    </row>
    <row r="201" spans="1:20" s="29" customFormat="1" x14ac:dyDescent="0.35">
      <c r="A201" s="74" t="s">
        <v>155</v>
      </c>
      <c r="B201" s="137" t="s">
        <v>360</v>
      </c>
      <c r="C201" s="137"/>
      <c r="D201" s="137"/>
      <c r="E201" s="137"/>
      <c r="F201" s="137"/>
      <c r="G201" s="137"/>
      <c r="H201" s="137"/>
      <c r="T201" s="31"/>
    </row>
    <row r="202" spans="1:20" s="29" customFormat="1" x14ac:dyDescent="0.35">
      <c r="A202" s="74" t="s">
        <v>155</v>
      </c>
      <c r="B202" s="137" t="s">
        <v>154</v>
      </c>
      <c r="C202" s="137"/>
      <c r="D202" s="137"/>
      <c r="E202" s="137"/>
      <c r="F202" s="137"/>
      <c r="G202" s="137"/>
      <c r="H202" s="137"/>
    </row>
    <row r="203" spans="1:20" s="29" customFormat="1" x14ac:dyDescent="0.35">
      <c r="A203" s="71" t="s">
        <v>155</v>
      </c>
      <c r="B203" s="137" t="s">
        <v>123</v>
      </c>
      <c r="C203" s="137"/>
      <c r="D203" s="137"/>
      <c r="E203" s="137"/>
      <c r="F203" s="137"/>
      <c r="G203" s="137"/>
      <c r="H203" s="137"/>
    </row>
    <row r="204" spans="1:20" s="29" customFormat="1" ht="34.5" customHeight="1" x14ac:dyDescent="0.35">
      <c r="A204" s="71" t="s">
        <v>155</v>
      </c>
      <c r="B204" s="137" t="s">
        <v>156</v>
      </c>
      <c r="C204" s="137"/>
      <c r="D204" s="137"/>
      <c r="E204" s="137"/>
      <c r="F204" s="137"/>
      <c r="G204" s="137"/>
      <c r="H204" s="137"/>
    </row>
    <row r="205" spans="1:20" s="29" customFormat="1" x14ac:dyDescent="0.35">
      <c r="A205" s="60" t="s">
        <v>155</v>
      </c>
      <c r="B205" s="145" t="s">
        <v>124</v>
      </c>
      <c r="C205" s="146"/>
      <c r="D205" s="146"/>
      <c r="E205" s="146"/>
      <c r="F205" s="146"/>
      <c r="G205" s="146"/>
      <c r="H205" s="147"/>
    </row>
    <row r="206" spans="1:20" s="29" customFormat="1" ht="32.25" hidden="1" customHeight="1" x14ac:dyDescent="0.35">
      <c r="A206" s="60" t="s">
        <v>155</v>
      </c>
      <c r="B206" s="139" t="s">
        <v>180</v>
      </c>
      <c r="C206" s="140"/>
      <c r="D206" s="140"/>
      <c r="E206" s="140"/>
      <c r="F206" s="140"/>
      <c r="G206" s="140"/>
      <c r="H206" s="141"/>
    </row>
    <row r="207" spans="1:20" s="29" customFormat="1" hidden="1" x14ac:dyDescent="0.35">
      <c r="A207" s="60" t="s">
        <v>155</v>
      </c>
      <c r="B207" s="139" t="s">
        <v>236</v>
      </c>
      <c r="C207" s="140"/>
      <c r="D207" s="140"/>
      <c r="E207" s="140"/>
      <c r="F207" s="140"/>
      <c r="G207" s="140"/>
      <c r="H207" s="141"/>
    </row>
    <row r="208" spans="1:20" s="65" customFormat="1" x14ac:dyDescent="0.35">
      <c r="A208" s="66" t="s">
        <v>155</v>
      </c>
      <c r="B208" s="145" t="s">
        <v>372</v>
      </c>
      <c r="C208" s="146"/>
      <c r="D208" s="146"/>
      <c r="E208" s="146"/>
      <c r="F208" s="146"/>
      <c r="G208" s="146"/>
      <c r="H208" s="147"/>
    </row>
    <row r="209" spans="1:20" x14ac:dyDescent="0.35">
      <c r="A209" s="149" t="s">
        <v>58</v>
      </c>
      <c r="B209" s="149"/>
      <c r="C209" s="149"/>
      <c r="D209" s="149"/>
      <c r="E209" s="149"/>
      <c r="F209" s="149"/>
      <c r="G209" s="149"/>
      <c r="H209" s="149"/>
      <c r="T209" s="29"/>
    </row>
    <row r="210" spans="1:20" x14ac:dyDescent="0.35">
      <c r="A210" s="111" t="s">
        <v>59</v>
      </c>
      <c r="B210" s="111"/>
      <c r="C210" s="111"/>
      <c r="D210" s="111"/>
      <c r="E210" s="111"/>
      <c r="F210" s="111"/>
      <c r="G210" s="111"/>
      <c r="H210" s="111"/>
      <c r="T210" s="29"/>
    </row>
    <row r="211" spans="1:20" ht="15.75" customHeight="1" x14ac:dyDescent="0.35">
      <c r="A211" s="134" t="s">
        <v>60</v>
      </c>
      <c r="B211" s="134"/>
      <c r="C211" s="134"/>
      <c r="D211" s="134"/>
      <c r="E211" s="134"/>
      <c r="F211" s="134"/>
      <c r="G211" s="134"/>
      <c r="H211" s="134"/>
      <c r="T211" s="29"/>
    </row>
    <row r="212" spans="1:20" x14ac:dyDescent="0.35">
      <c r="A212" s="111" t="s">
        <v>61</v>
      </c>
      <c r="B212" s="111"/>
      <c r="C212" s="111"/>
      <c r="D212" s="111"/>
      <c r="E212" s="111"/>
      <c r="F212" s="111"/>
      <c r="G212" s="111"/>
      <c r="H212" s="111"/>
      <c r="T212" s="29"/>
    </row>
    <row r="213" spans="1:20" x14ac:dyDescent="0.35">
      <c r="A213" s="111" t="s">
        <v>62</v>
      </c>
      <c r="B213" s="111"/>
      <c r="C213" s="111"/>
      <c r="D213" s="111"/>
      <c r="E213" s="111"/>
      <c r="F213" s="111"/>
      <c r="G213" s="111"/>
      <c r="H213" s="111"/>
      <c r="T213" s="29"/>
    </row>
    <row r="214" spans="1:20" x14ac:dyDescent="0.35">
      <c r="A214" s="111" t="s">
        <v>125</v>
      </c>
      <c r="B214" s="111"/>
      <c r="C214" s="111"/>
      <c r="D214" s="111"/>
      <c r="E214" s="111"/>
      <c r="F214" s="111"/>
      <c r="G214" s="111"/>
      <c r="H214" s="111"/>
      <c r="T214" s="29"/>
    </row>
    <row r="215" spans="1:20" ht="34" customHeight="1" x14ac:dyDescent="0.35">
      <c r="A215" s="115" t="s">
        <v>126</v>
      </c>
      <c r="B215" s="115"/>
      <c r="C215" s="115"/>
      <c r="D215" s="115"/>
      <c r="E215" s="115"/>
      <c r="F215" s="115"/>
      <c r="G215" s="115"/>
      <c r="H215" s="115"/>
    </row>
    <row r="216" spans="1:20" x14ac:dyDescent="0.35">
      <c r="A216" s="155" t="s">
        <v>74</v>
      </c>
      <c r="B216" s="155"/>
      <c r="C216" s="155" t="s">
        <v>371</v>
      </c>
      <c r="D216" s="155"/>
      <c r="E216" s="155" t="s">
        <v>104</v>
      </c>
      <c r="F216" s="155"/>
      <c r="G216" s="155" t="s">
        <v>374</v>
      </c>
      <c r="H216" s="155"/>
    </row>
    <row r="217" spans="1:20" x14ac:dyDescent="0.35">
      <c r="A217" s="154" t="s">
        <v>76</v>
      </c>
      <c r="B217" s="154"/>
      <c r="C217" s="154"/>
      <c r="D217" s="154"/>
      <c r="E217" s="154"/>
      <c r="F217" s="154"/>
      <c r="G217" s="154"/>
      <c r="H217" s="154"/>
    </row>
    <row r="218" spans="1:20" x14ac:dyDescent="0.35">
      <c r="A218" s="154"/>
      <c r="B218" s="154"/>
      <c r="C218" s="154"/>
      <c r="D218" s="154"/>
      <c r="E218" s="154"/>
      <c r="F218" s="154"/>
      <c r="G218" s="154"/>
      <c r="H218" s="154"/>
    </row>
    <row r="219" spans="1:20" x14ac:dyDescent="0.35">
      <c r="A219" s="154"/>
      <c r="B219" s="154"/>
      <c r="C219" s="154"/>
      <c r="D219" s="154"/>
      <c r="E219" s="154"/>
      <c r="F219" s="154"/>
      <c r="G219" s="154"/>
      <c r="H219" s="154"/>
    </row>
    <row r="220" spans="1:20" x14ac:dyDescent="0.35">
      <c r="A220" s="154"/>
      <c r="B220" s="154"/>
      <c r="C220" s="154"/>
      <c r="D220" s="154"/>
      <c r="E220" s="154"/>
      <c r="F220" s="154"/>
      <c r="G220" s="154"/>
      <c r="H220" s="154"/>
    </row>
    <row r="221" spans="1:20" x14ac:dyDescent="0.35">
      <c r="A221" s="61" t="s">
        <v>63</v>
      </c>
      <c r="B221" s="62"/>
      <c r="C221" s="62"/>
      <c r="D221" s="61" t="str">
        <f>E9</f>
        <v>Yura Business Park</v>
      </c>
      <c r="E221" s="63"/>
      <c r="F221" s="62"/>
      <c r="G221" s="62"/>
      <c r="H221" s="62"/>
    </row>
    <row r="222" spans="1:20" x14ac:dyDescent="0.35">
      <c r="A222" s="62"/>
      <c r="B222" s="62"/>
      <c r="C222" s="62"/>
      <c r="D222" s="62"/>
      <c r="E222" s="62"/>
      <c r="F222" s="62"/>
      <c r="G222" s="62"/>
      <c r="H222" s="62"/>
    </row>
    <row r="223" spans="1:20" x14ac:dyDescent="0.35">
      <c r="A223" s="62"/>
      <c r="B223" s="62"/>
      <c r="C223" s="62"/>
      <c r="D223" s="62"/>
      <c r="E223" s="62"/>
      <c r="F223" s="62"/>
      <c r="G223" s="62"/>
      <c r="H223" s="62"/>
    </row>
    <row r="224" spans="1:20" ht="15" customHeight="1" x14ac:dyDescent="0.35">
      <c r="A224" s="63"/>
      <c r="B224" s="63"/>
      <c r="C224" s="63"/>
      <c r="D224" s="63"/>
      <c r="E224" s="63"/>
      <c r="F224" s="63"/>
      <c r="G224" s="63"/>
      <c r="H224" s="63"/>
    </row>
    <row r="225" spans="1:8" x14ac:dyDescent="0.35">
      <c r="A225" s="63"/>
      <c r="B225" s="63"/>
      <c r="C225" s="63"/>
      <c r="D225" s="63"/>
      <c r="E225" s="63"/>
      <c r="F225" s="63"/>
      <c r="G225" s="63"/>
      <c r="H225" s="63"/>
    </row>
    <row r="226" spans="1:8" x14ac:dyDescent="0.35">
      <c r="A226" s="63"/>
      <c r="B226" s="63"/>
      <c r="C226" s="63"/>
      <c r="D226" s="63"/>
      <c r="E226" s="63"/>
      <c r="F226" s="63"/>
      <c r="G226" s="63"/>
      <c r="H226" s="63"/>
    </row>
    <row r="227" spans="1:8" x14ac:dyDescent="0.35">
      <c r="A227" s="63"/>
      <c r="B227" s="63"/>
      <c r="C227" s="63"/>
      <c r="D227" s="63"/>
      <c r="E227" s="63"/>
      <c r="F227" s="63"/>
      <c r="G227" s="63"/>
      <c r="H227" s="63"/>
    </row>
    <row r="228" spans="1:8" x14ac:dyDescent="0.35">
      <c r="A228" s="63"/>
      <c r="B228" s="63"/>
      <c r="C228" s="63"/>
      <c r="D228" s="63"/>
      <c r="E228" s="63"/>
      <c r="F228" s="63"/>
      <c r="G228" s="63"/>
      <c r="H228" s="63"/>
    </row>
    <row r="229" spans="1:8" x14ac:dyDescent="0.35">
      <c r="A229" s="63"/>
      <c r="B229" s="63"/>
      <c r="C229" s="63"/>
      <c r="D229" s="63"/>
      <c r="E229" s="63"/>
      <c r="F229" s="63"/>
      <c r="G229" s="63"/>
      <c r="H229" s="63"/>
    </row>
    <row r="230" spans="1:8" x14ac:dyDescent="0.35">
      <c r="A230" s="63"/>
      <c r="B230" s="63"/>
      <c r="C230" s="63"/>
      <c r="D230" s="63"/>
      <c r="E230" s="63"/>
      <c r="F230" s="63"/>
      <c r="G230" s="63"/>
      <c r="H230" s="63"/>
    </row>
    <row r="231" spans="1:8" x14ac:dyDescent="0.35">
      <c r="A231" s="63"/>
      <c r="B231" s="63"/>
      <c r="C231" s="63"/>
      <c r="D231" s="63"/>
      <c r="E231" s="63"/>
      <c r="F231" s="63"/>
      <c r="G231" s="63"/>
      <c r="H231" s="63"/>
    </row>
    <row r="232" spans="1:8" x14ac:dyDescent="0.35">
      <c r="A232" s="63"/>
      <c r="B232" s="63"/>
      <c r="C232" s="63"/>
      <c r="D232" s="63"/>
      <c r="E232" s="63"/>
      <c r="F232" s="63"/>
      <c r="G232" s="63"/>
      <c r="H232" s="63"/>
    </row>
    <row r="233" spans="1:8" x14ac:dyDescent="0.35">
      <c r="A233" s="63"/>
      <c r="B233" s="63"/>
      <c r="C233" s="63"/>
      <c r="D233" s="63"/>
      <c r="E233" s="63"/>
      <c r="F233" s="63"/>
      <c r="G233" s="63"/>
      <c r="H233" s="63"/>
    </row>
    <row r="234" spans="1:8" x14ac:dyDescent="0.35">
      <c r="A234" s="63"/>
      <c r="B234" s="63"/>
      <c r="C234" s="63"/>
      <c r="D234" s="63"/>
      <c r="E234" s="63"/>
      <c r="F234" s="63"/>
      <c r="G234" s="63"/>
      <c r="H234" s="63"/>
    </row>
    <row r="235" spans="1:8" x14ac:dyDescent="0.35">
      <c r="A235" s="63"/>
      <c r="B235" s="63"/>
      <c r="C235" s="63"/>
      <c r="D235" s="63"/>
      <c r="E235" s="63"/>
      <c r="F235" s="63"/>
      <c r="G235" s="63"/>
      <c r="H235" s="63"/>
    </row>
    <row r="236" spans="1:8" x14ac:dyDescent="0.35">
      <c r="A236" s="63"/>
      <c r="B236" s="63"/>
      <c r="C236" s="63"/>
      <c r="D236" s="63"/>
      <c r="E236" s="63"/>
      <c r="F236" s="63"/>
      <c r="G236" s="63"/>
      <c r="H236" s="63"/>
    </row>
    <row r="237" spans="1:8" x14ac:dyDescent="0.35">
      <c r="A237" s="63"/>
      <c r="B237" s="63"/>
      <c r="C237" s="63"/>
      <c r="D237" s="63"/>
      <c r="E237" s="63"/>
      <c r="F237" s="63"/>
      <c r="G237" s="63"/>
      <c r="H237" s="63"/>
    </row>
    <row r="238" spans="1:8" x14ac:dyDescent="0.35">
      <c r="A238" s="63"/>
      <c r="B238" s="63"/>
      <c r="C238" s="63"/>
      <c r="D238" s="63"/>
      <c r="E238" s="63"/>
      <c r="F238" s="63"/>
      <c r="G238" s="63"/>
      <c r="H238" s="63"/>
    </row>
    <row r="239" spans="1:8" x14ac:dyDescent="0.35">
      <c r="A239" s="63"/>
      <c r="B239" s="63"/>
      <c r="C239" s="63"/>
      <c r="D239" s="63"/>
      <c r="E239" s="63"/>
      <c r="F239" s="63"/>
      <c r="G239" s="63"/>
      <c r="H239" s="63"/>
    </row>
    <row r="240" spans="1:8" x14ac:dyDescent="0.35">
      <c r="A240" s="63"/>
      <c r="B240" s="63"/>
      <c r="C240" s="63"/>
      <c r="D240" s="63"/>
      <c r="E240" s="63"/>
      <c r="F240" s="63"/>
      <c r="G240" s="63"/>
      <c r="H240" s="63"/>
    </row>
    <row r="241" spans="1:8" x14ac:dyDescent="0.35">
      <c r="A241" s="63"/>
      <c r="B241" s="63"/>
      <c r="C241" s="63"/>
      <c r="D241" s="63"/>
      <c r="E241" s="63"/>
      <c r="F241" s="63"/>
      <c r="G241" s="63"/>
      <c r="H241" s="63"/>
    </row>
    <row r="242" spans="1:8" x14ac:dyDescent="0.35">
      <c r="A242" s="63"/>
      <c r="B242" s="63"/>
      <c r="C242" s="63"/>
      <c r="D242" s="63"/>
      <c r="E242" s="63"/>
      <c r="F242" s="63"/>
      <c r="G242" s="63"/>
      <c r="H242" s="63"/>
    </row>
    <row r="243" spans="1:8" x14ac:dyDescent="0.35">
      <c r="A243" s="63"/>
      <c r="B243" s="63"/>
      <c r="C243" s="63"/>
      <c r="D243" s="63"/>
      <c r="E243" s="63"/>
      <c r="F243" s="63"/>
      <c r="G243" s="63"/>
      <c r="H243" s="63"/>
    </row>
    <row r="244" spans="1:8" x14ac:dyDescent="0.35">
      <c r="A244" s="63"/>
      <c r="B244" s="63"/>
      <c r="C244" s="63"/>
      <c r="D244" s="63"/>
      <c r="E244" s="63"/>
      <c r="F244" s="63"/>
      <c r="G244" s="63"/>
      <c r="H244" s="63"/>
    </row>
    <row r="245" spans="1:8" x14ac:dyDescent="0.35">
      <c r="A245" s="63"/>
      <c r="B245" s="63"/>
      <c r="C245" s="63"/>
      <c r="D245" s="63"/>
      <c r="E245" s="63"/>
      <c r="F245" s="63"/>
      <c r="G245" s="63"/>
      <c r="H245" s="63"/>
    </row>
    <row r="246" spans="1:8" x14ac:dyDescent="0.35">
      <c r="A246" s="63"/>
      <c r="B246" s="63"/>
      <c r="C246" s="63"/>
      <c r="D246" s="63"/>
      <c r="E246" s="63"/>
      <c r="F246" s="63"/>
      <c r="G246" s="63"/>
      <c r="H246" s="63"/>
    </row>
    <row r="247" spans="1:8" x14ac:dyDescent="0.35">
      <c r="A247" s="63"/>
      <c r="B247" s="63"/>
      <c r="C247" s="63"/>
      <c r="D247" s="63"/>
      <c r="E247" s="63"/>
      <c r="F247" s="63"/>
      <c r="G247" s="63"/>
      <c r="H247" s="63"/>
    </row>
    <row r="248" spans="1:8" x14ac:dyDescent="0.35">
      <c r="A248" s="63"/>
      <c r="B248" s="63"/>
      <c r="C248" s="63"/>
      <c r="D248" s="63"/>
      <c r="E248" s="63"/>
      <c r="F248" s="63"/>
      <c r="G248" s="63"/>
      <c r="H248" s="63"/>
    </row>
    <row r="249" spans="1:8" x14ac:dyDescent="0.35">
      <c r="A249" s="63"/>
      <c r="B249" s="63"/>
      <c r="C249" s="63"/>
      <c r="D249" s="63"/>
      <c r="E249" s="63"/>
      <c r="F249" s="63"/>
      <c r="G249" s="63"/>
      <c r="H249" s="63"/>
    </row>
    <row r="250" spans="1:8" x14ac:dyDescent="0.35">
      <c r="A250" s="63"/>
      <c r="B250" s="63"/>
      <c r="C250" s="63"/>
      <c r="D250" s="63"/>
      <c r="E250" s="63"/>
      <c r="F250" s="63"/>
      <c r="G250" s="63"/>
      <c r="H250" s="63"/>
    </row>
    <row r="251" spans="1:8" x14ac:dyDescent="0.35">
      <c r="A251" s="63"/>
      <c r="B251" s="63"/>
      <c r="C251" s="63"/>
      <c r="D251" s="63"/>
      <c r="E251" s="63"/>
      <c r="F251" s="63"/>
      <c r="G251" s="63"/>
      <c r="H251" s="63"/>
    </row>
    <row r="252" spans="1:8" x14ac:dyDescent="0.35">
      <c r="A252" s="63"/>
      <c r="B252" s="63"/>
      <c r="C252" s="63"/>
      <c r="D252" s="63"/>
      <c r="E252" s="63"/>
      <c r="F252" s="63"/>
      <c r="G252" s="63"/>
      <c r="H252" s="63"/>
    </row>
    <row r="253" spans="1:8" x14ac:dyDescent="0.35">
      <c r="A253" s="63"/>
      <c r="B253" s="63"/>
      <c r="C253" s="63"/>
      <c r="D253" s="63"/>
      <c r="E253" s="63"/>
      <c r="F253" s="63"/>
      <c r="G253" s="63"/>
      <c r="H253" s="63"/>
    </row>
    <row r="254" spans="1:8" x14ac:dyDescent="0.35">
      <c r="A254" s="63"/>
      <c r="B254" s="63"/>
      <c r="C254" s="63"/>
      <c r="D254" s="63"/>
      <c r="E254" s="63"/>
      <c r="F254" s="63"/>
      <c r="G254" s="63"/>
      <c r="H254" s="63"/>
    </row>
    <row r="255" spans="1:8" x14ac:dyDescent="0.35">
      <c r="A255" s="63"/>
      <c r="B255" s="63"/>
      <c r="C255" s="63"/>
      <c r="D255" s="63"/>
      <c r="E255" s="63"/>
      <c r="F255" s="63"/>
      <c r="G255" s="63"/>
      <c r="H255" s="63"/>
    </row>
    <row r="256" spans="1:8" x14ac:dyDescent="0.35">
      <c r="A256" s="63"/>
      <c r="B256" s="63"/>
      <c r="C256" s="63"/>
      <c r="D256" s="63"/>
      <c r="E256" s="63"/>
      <c r="F256" s="63"/>
      <c r="G256" s="63"/>
      <c r="H256" s="63"/>
    </row>
    <row r="257" spans="1:8" x14ac:dyDescent="0.35">
      <c r="A257" s="63"/>
      <c r="B257" s="63"/>
      <c r="C257" s="63"/>
      <c r="D257" s="63"/>
      <c r="E257" s="63"/>
      <c r="F257" s="63"/>
      <c r="G257" s="63"/>
      <c r="H257" s="63"/>
    </row>
    <row r="258" spans="1:8" x14ac:dyDescent="0.35">
      <c r="A258" s="63"/>
      <c r="B258" s="63"/>
      <c r="C258" s="63"/>
      <c r="D258" s="63"/>
      <c r="E258" s="63"/>
      <c r="F258" s="63"/>
      <c r="G258" s="63"/>
      <c r="H258" s="63"/>
    </row>
    <row r="259" spans="1:8" x14ac:dyDescent="0.35">
      <c r="A259" s="63"/>
      <c r="B259" s="63"/>
      <c r="C259" s="63"/>
      <c r="D259" s="63"/>
      <c r="E259" s="63"/>
      <c r="F259" s="63"/>
      <c r="G259" s="63"/>
      <c r="H259" s="63"/>
    </row>
    <row r="260" spans="1:8" x14ac:dyDescent="0.35">
      <c r="A260" s="63"/>
      <c r="B260" s="63"/>
      <c r="C260" s="63"/>
      <c r="D260" s="63"/>
      <c r="E260" s="63"/>
      <c r="F260" s="63"/>
      <c r="G260" s="63"/>
      <c r="H260" s="63"/>
    </row>
    <row r="261" spans="1:8" x14ac:dyDescent="0.35">
      <c r="A261" s="63"/>
      <c r="B261" s="63"/>
      <c r="C261" s="63"/>
      <c r="D261" s="63"/>
      <c r="E261" s="63"/>
      <c r="F261" s="63"/>
      <c r="G261" s="63"/>
      <c r="H261" s="63"/>
    </row>
    <row r="262" spans="1:8" x14ac:dyDescent="0.35">
      <c r="A262" s="63"/>
      <c r="B262" s="63"/>
      <c r="C262" s="63"/>
      <c r="D262" s="63"/>
      <c r="E262" s="63"/>
      <c r="F262" s="63"/>
      <c r="G262" s="63"/>
      <c r="H262" s="63"/>
    </row>
    <row r="263" spans="1:8" x14ac:dyDescent="0.35">
      <c r="A263" s="63"/>
      <c r="B263" s="63"/>
      <c r="C263" s="63"/>
      <c r="D263" s="63"/>
      <c r="E263" s="63"/>
      <c r="F263" s="63"/>
      <c r="G263" s="63"/>
      <c r="H263" s="63"/>
    </row>
    <row r="264" spans="1:8" x14ac:dyDescent="0.35">
      <c r="A264" s="64" t="s">
        <v>165</v>
      </c>
      <c r="B264" s="63"/>
      <c r="C264" s="63"/>
      <c r="D264" s="63"/>
      <c r="E264" s="63"/>
      <c r="F264" s="63"/>
      <c r="G264" s="63"/>
      <c r="H264" s="63"/>
    </row>
    <row r="265" spans="1:8" x14ac:dyDescent="0.35">
      <c r="A265" s="63"/>
      <c r="B265" s="63"/>
      <c r="C265" s="63"/>
      <c r="D265" s="63"/>
      <c r="E265" s="63"/>
      <c r="F265" s="63"/>
      <c r="G265" s="63"/>
      <c r="H265" s="63"/>
    </row>
    <row r="266" spans="1:8" x14ac:dyDescent="0.35">
      <c r="A266" s="63"/>
      <c r="B266" s="63"/>
      <c r="C266" s="63"/>
      <c r="D266" s="63"/>
      <c r="E266" s="63"/>
      <c r="F266" s="63"/>
      <c r="G266" s="63"/>
      <c r="H266" s="63"/>
    </row>
    <row r="267" spans="1:8" x14ac:dyDescent="0.35">
      <c r="A267" s="63"/>
      <c r="B267" s="63"/>
      <c r="C267" s="63"/>
      <c r="D267" s="63"/>
      <c r="E267" s="63"/>
      <c r="F267" s="63"/>
      <c r="G267" s="63"/>
      <c r="H267" s="63"/>
    </row>
    <row r="268" spans="1:8" x14ac:dyDescent="0.35">
      <c r="A268" s="63"/>
      <c r="B268" s="63"/>
      <c r="C268" s="63"/>
      <c r="D268" s="63"/>
      <c r="E268" s="63"/>
      <c r="F268" s="63"/>
      <c r="G268" s="63"/>
      <c r="H268" s="63"/>
    </row>
    <row r="269" spans="1:8" x14ac:dyDescent="0.35">
      <c r="A269" s="63"/>
      <c r="B269" s="63"/>
      <c r="C269" s="63"/>
      <c r="D269" s="63"/>
      <c r="E269" s="63"/>
      <c r="F269" s="63"/>
      <c r="G269" s="63"/>
      <c r="H269" s="63"/>
    </row>
    <row r="270" spans="1:8" x14ac:dyDescent="0.35">
      <c r="A270" s="63"/>
      <c r="B270" s="63"/>
      <c r="C270" s="63"/>
      <c r="D270" s="63"/>
      <c r="E270" s="63"/>
      <c r="F270" s="63"/>
      <c r="G270" s="63"/>
      <c r="H270" s="63"/>
    </row>
    <row r="271" spans="1:8" x14ac:dyDescent="0.35">
      <c r="A271" s="63"/>
      <c r="B271" s="63"/>
      <c r="C271" s="63"/>
      <c r="D271" s="63"/>
      <c r="E271" s="63"/>
      <c r="F271" s="63"/>
      <c r="G271" s="63"/>
      <c r="H271" s="63"/>
    </row>
    <row r="272" spans="1:8" x14ac:dyDescent="0.35">
      <c r="A272" s="63"/>
      <c r="B272" s="63"/>
      <c r="C272" s="63"/>
      <c r="D272" s="63"/>
      <c r="E272" s="63"/>
      <c r="F272" s="63"/>
      <c r="G272" s="63"/>
      <c r="H272" s="63"/>
    </row>
    <row r="273" spans="1:8" x14ac:dyDescent="0.35">
      <c r="A273" s="63"/>
      <c r="B273" s="63"/>
      <c r="C273" s="63"/>
      <c r="D273" s="63"/>
      <c r="E273" s="63"/>
      <c r="F273" s="63"/>
      <c r="G273" s="63"/>
      <c r="H273" s="63"/>
    </row>
    <row r="274" spans="1:8" x14ac:dyDescent="0.35">
      <c r="A274" s="63"/>
      <c r="B274" s="63"/>
      <c r="C274" s="63"/>
      <c r="D274" s="63"/>
      <c r="E274" s="63"/>
      <c r="F274" s="63"/>
      <c r="G274" s="63"/>
      <c r="H274" s="63"/>
    </row>
    <row r="275" spans="1:8" x14ac:dyDescent="0.35">
      <c r="A275" s="63"/>
      <c r="B275" s="63"/>
      <c r="C275" s="63"/>
      <c r="D275" s="63"/>
      <c r="E275" s="63"/>
      <c r="F275" s="63"/>
      <c r="G275" s="63"/>
      <c r="H275" s="63"/>
    </row>
    <row r="276" spans="1:8" x14ac:dyDescent="0.35">
      <c r="A276" s="63"/>
      <c r="B276" s="63"/>
      <c r="C276" s="63"/>
      <c r="D276" s="63"/>
      <c r="E276" s="63"/>
      <c r="F276" s="63"/>
      <c r="G276" s="63"/>
      <c r="H276" s="63"/>
    </row>
    <row r="277" spans="1:8" x14ac:dyDescent="0.35">
      <c r="A277" s="63"/>
      <c r="B277" s="63"/>
      <c r="C277" s="63"/>
      <c r="D277" s="63"/>
      <c r="E277" s="63"/>
      <c r="F277" s="63"/>
      <c r="G277" s="63"/>
      <c r="H277" s="63"/>
    </row>
    <row r="278" spans="1:8" x14ac:dyDescent="0.35">
      <c r="A278" s="63"/>
      <c r="B278" s="63"/>
      <c r="C278" s="63"/>
      <c r="D278" s="63"/>
      <c r="E278" s="63"/>
      <c r="F278" s="63"/>
      <c r="G278" s="63"/>
      <c r="H278" s="63"/>
    </row>
    <row r="279" spans="1:8" x14ac:dyDescent="0.35">
      <c r="A279" s="63"/>
      <c r="B279" s="63"/>
      <c r="C279" s="63"/>
      <c r="D279" s="63"/>
      <c r="E279" s="63"/>
      <c r="F279" s="63"/>
      <c r="G279" s="63"/>
      <c r="H279" s="63"/>
    </row>
    <row r="280" spans="1:8" x14ac:dyDescent="0.35">
      <c r="A280" s="63"/>
      <c r="B280" s="63"/>
      <c r="C280" s="63"/>
      <c r="D280" s="63"/>
      <c r="E280" s="63"/>
      <c r="F280" s="63"/>
      <c r="G280" s="63"/>
      <c r="H280" s="63"/>
    </row>
    <row r="281" spans="1:8" x14ac:dyDescent="0.35">
      <c r="A281" s="63"/>
      <c r="B281" s="63"/>
      <c r="C281" s="63"/>
      <c r="D281" s="63"/>
      <c r="E281" s="63"/>
      <c r="F281" s="63"/>
      <c r="G281" s="63"/>
      <c r="H281" s="63"/>
    </row>
    <row r="282" spans="1:8" x14ac:dyDescent="0.35">
      <c r="A282" s="63"/>
      <c r="B282" s="63"/>
      <c r="C282" s="63"/>
      <c r="D282" s="63"/>
      <c r="E282" s="63"/>
      <c r="F282" s="63"/>
      <c r="G282" s="63"/>
      <c r="H282" s="63"/>
    </row>
    <row r="283" spans="1:8" x14ac:dyDescent="0.35">
      <c r="A283" s="63"/>
      <c r="B283" s="63"/>
      <c r="C283" s="63"/>
      <c r="D283" s="63"/>
      <c r="E283" s="63"/>
      <c r="F283" s="63"/>
      <c r="G283" s="63"/>
      <c r="H283" s="63"/>
    </row>
    <row r="284" spans="1:8" x14ac:dyDescent="0.35">
      <c r="A284" s="63"/>
      <c r="B284" s="63"/>
      <c r="C284" s="63"/>
      <c r="D284" s="63"/>
      <c r="E284" s="63"/>
      <c r="F284" s="63"/>
      <c r="G284" s="63"/>
      <c r="H284" s="63"/>
    </row>
    <row r="285" spans="1:8" x14ac:dyDescent="0.35">
      <c r="A285" s="63"/>
      <c r="B285" s="63"/>
      <c r="C285" s="63"/>
      <c r="D285" s="63"/>
      <c r="E285" s="63"/>
      <c r="F285" s="63"/>
      <c r="G285" s="63"/>
      <c r="H285" s="63"/>
    </row>
    <row r="286" spans="1:8" x14ac:dyDescent="0.35">
      <c r="A286" s="63"/>
      <c r="B286" s="63"/>
      <c r="C286" s="63"/>
      <c r="D286" s="63"/>
      <c r="E286" s="63"/>
      <c r="F286" s="63"/>
      <c r="G286" s="63"/>
      <c r="H286" s="63"/>
    </row>
    <row r="287" spans="1:8" x14ac:dyDescent="0.35">
      <c r="A287" s="63"/>
      <c r="B287" s="63"/>
      <c r="C287" s="63"/>
      <c r="D287" s="63"/>
      <c r="E287" s="63"/>
      <c r="F287" s="63"/>
      <c r="G287" s="63"/>
      <c r="H287" s="63"/>
    </row>
    <row r="288" spans="1:8" x14ac:dyDescent="0.35">
      <c r="A288" s="63"/>
      <c r="B288" s="63"/>
      <c r="C288" s="63"/>
      <c r="D288" s="63"/>
      <c r="E288" s="63"/>
      <c r="F288" s="63"/>
      <c r="G288" s="63"/>
      <c r="H288" s="63"/>
    </row>
    <row r="289" spans="1:8" x14ac:dyDescent="0.35">
      <c r="A289" s="63"/>
      <c r="B289" s="63"/>
      <c r="C289" s="63"/>
      <c r="D289" s="63"/>
      <c r="E289" s="63"/>
      <c r="F289" s="63"/>
      <c r="G289" s="63"/>
      <c r="H289" s="63"/>
    </row>
    <row r="290" spans="1:8" x14ac:dyDescent="0.35">
      <c r="A290" s="63"/>
      <c r="B290" s="63"/>
      <c r="C290" s="63"/>
      <c r="D290" s="63"/>
      <c r="E290" s="63"/>
      <c r="F290" s="63"/>
      <c r="G290" s="63"/>
      <c r="H290" s="63"/>
    </row>
    <row r="291" spans="1:8" x14ac:dyDescent="0.35">
      <c r="A291" s="63"/>
      <c r="B291" s="63"/>
      <c r="C291" s="63"/>
      <c r="D291" s="63"/>
      <c r="E291" s="63"/>
      <c r="F291" s="63"/>
      <c r="G291" s="63"/>
      <c r="H291" s="63"/>
    </row>
    <row r="292" spans="1:8" x14ac:dyDescent="0.35">
      <c r="A292" s="63"/>
      <c r="B292" s="63"/>
      <c r="C292" s="63"/>
      <c r="D292" s="63"/>
      <c r="E292" s="63"/>
      <c r="F292" s="63"/>
      <c r="G292" s="63"/>
      <c r="H292" s="63"/>
    </row>
    <row r="293" spans="1:8" x14ac:dyDescent="0.35">
      <c r="A293" s="63"/>
      <c r="B293" s="63"/>
      <c r="C293" s="63"/>
      <c r="D293" s="63"/>
      <c r="E293" s="63"/>
      <c r="F293" s="63"/>
      <c r="G293" s="63"/>
      <c r="H293" s="63"/>
    </row>
    <row r="294" spans="1:8" x14ac:dyDescent="0.35">
      <c r="A294" s="63"/>
      <c r="B294" s="63"/>
      <c r="C294" s="63"/>
      <c r="D294" s="63"/>
      <c r="E294" s="63"/>
      <c r="F294" s="63"/>
      <c r="G294" s="63"/>
      <c r="H294" s="63"/>
    </row>
    <row r="295" spans="1:8" x14ac:dyDescent="0.35">
      <c r="A295" s="63"/>
      <c r="B295" s="63"/>
      <c r="C295" s="63"/>
      <c r="D295" s="63"/>
      <c r="E295" s="63"/>
      <c r="F295" s="63"/>
      <c r="G295" s="63"/>
      <c r="H295" s="63"/>
    </row>
    <row r="296" spans="1:8" x14ac:dyDescent="0.35">
      <c r="A296" s="63"/>
      <c r="B296" s="63"/>
      <c r="C296" s="63"/>
      <c r="D296" s="63"/>
      <c r="E296" s="63"/>
      <c r="F296" s="63"/>
      <c r="G296" s="63"/>
      <c r="H296" s="63"/>
    </row>
    <row r="297" spans="1:8" x14ac:dyDescent="0.35">
      <c r="A297" s="63"/>
      <c r="B297" s="63"/>
      <c r="C297" s="63"/>
      <c r="D297" s="63"/>
      <c r="E297" s="63"/>
      <c r="F297" s="63"/>
      <c r="G297" s="63"/>
      <c r="H297" s="63"/>
    </row>
    <row r="298" spans="1:8" x14ac:dyDescent="0.35">
      <c r="A298" s="63"/>
      <c r="B298" s="63"/>
      <c r="C298" s="63"/>
      <c r="D298" s="63"/>
      <c r="E298" s="63"/>
      <c r="F298" s="63"/>
      <c r="G298" s="63"/>
      <c r="H298" s="63"/>
    </row>
    <row r="299" spans="1:8" x14ac:dyDescent="0.35">
      <c r="A299" s="63"/>
      <c r="B299" s="63"/>
      <c r="C299" s="63"/>
      <c r="D299" s="63"/>
      <c r="E299" s="63"/>
      <c r="F299" s="63"/>
      <c r="G299" s="63"/>
      <c r="H299" s="63"/>
    </row>
    <row r="300" spans="1:8" x14ac:dyDescent="0.35">
      <c r="A300" s="63"/>
      <c r="B300" s="63"/>
      <c r="C300" s="63"/>
      <c r="D300" s="63"/>
      <c r="E300" s="63"/>
      <c r="F300" s="63"/>
      <c r="G300" s="63"/>
      <c r="H300" s="63"/>
    </row>
    <row r="301" spans="1:8" x14ac:dyDescent="0.35">
      <c r="A301" s="63"/>
      <c r="B301" s="63"/>
      <c r="C301" s="63"/>
      <c r="D301" s="63"/>
      <c r="E301" s="63"/>
      <c r="F301" s="63"/>
      <c r="G301" s="63"/>
      <c r="H301" s="63"/>
    </row>
    <row r="302" spans="1:8" x14ac:dyDescent="0.35">
      <c r="A302" s="63"/>
      <c r="B302" s="63"/>
      <c r="C302" s="63"/>
      <c r="D302" s="63"/>
      <c r="E302" s="63"/>
      <c r="F302" s="63"/>
      <c r="G302" s="63"/>
      <c r="H302" s="63"/>
    </row>
    <row r="303" spans="1:8" x14ac:dyDescent="0.35">
      <c r="A303" s="63"/>
      <c r="B303" s="63"/>
      <c r="C303" s="63"/>
      <c r="D303" s="63"/>
      <c r="E303" s="63"/>
      <c r="F303" s="63"/>
      <c r="G303" s="63"/>
      <c r="H303" s="63"/>
    </row>
    <row r="304" spans="1:8" x14ac:dyDescent="0.35">
      <c r="A304" s="63"/>
      <c r="B304" s="63"/>
      <c r="C304" s="63"/>
      <c r="D304" s="63"/>
      <c r="E304" s="63"/>
      <c r="F304" s="63"/>
      <c r="G304" s="63"/>
      <c r="H304" s="63"/>
    </row>
    <row r="305" spans="1:8" x14ac:dyDescent="0.35">
      <c r="A305" s="63"/>
      <c r="B305" s="63"/>
      <c r="C305" s="63"/>
      <c r="D305" s="63"/>
      <c r="E305" s="63"/>
      <c r="F305" s="63"/>
      <c r="G305" s="63"/>
      <c r="H305" s="63"/>
    </row>
    <row r="306" spans="1:8" x14ac:dyDescent="0.35">
      <c r="A306" s="63"/>
      <c r="B306" s="63"/>
      <c r="C306" s="63"/>
      <c r="D306" s="63"/>
      <c r="E306" s="63"/>
      <c r="F306" s="63"/>
      <c r="G306" s="63"/>
      <c r="H306" s="63"/>
    </row>
    <row r="307" spans="1:8" x14ac:dyDescent="0.35">
      <c r="A307" s="64" t="s">
        <v>64</v>
      </c>
      <c r="B307" s="63"/>
      <c r="C307" s="63"/>
      <c r="D307" s="63"/>
      <c r="E307" s="63"/>
      <c r="F307" s="63"/>
      <c r="G307" s="63"/>
      <c r="H307" s="63"/>
    </row>
    <row r="308" spans="1:8" x14ac:dyDescent="0.35">
      <c r="A308" s="63"/>
      <c r="B308" s="63"/>
      <c r="C308" s="63"/>
      <c r="D308" s="63"/>
      <c r="E308" s="63"/>
      <c r="F308" s="63"/>
      <c r="G308" s="63"/>
      <c r="H308" s="63"/>
    </row>
    <row r="309" spans="1:8" x14ac:dyDescent="0.35">
      <c r="A309" s="63"/>
      <c r="B309" s="63"/>
      <c r="C309" s="63"/>
      <c r="D309" s="63"/>
      <c r="E309" s="63"/>
      <c r="F309" s="63"/>
      <c r="G309" s="63"/>
      <c r="H309" s="63"/>
    </row>
    <row r="310" spans="1:8" x14ac:dyDescent="0.35">
      <c r="A310" s="63"/>
      <c r="B310" s="63"/>
      <c r="C310" s="63"/>
      <c r="D310" s="63"/>
      <c r="E310" s="63"/>
      <c r="F310" s="63"/>
      <c r="G310" s="63"/>
      <c r="H310" s="63"/>
    </row>
    <row r="311" spans="1:8" x14ac:dyDescent="0.35">
      <c r="A311" s="63"/>
      <c r="B311" s="63"/>
      <c r="C311" s="63"/>
      <c r="D311" s="63"/>
      <c r="E311" s="63"/>
      <c r="F311" s="63"/>
      <c r="G311" s="63"/>
      <c r="H311" s="63"/>
    </row>
    <row r="312" spans="1:8" x14ac:dyDescent="0.35">
      <c r="A312" s="63"/>
      <c r="B312" s="63"/>
      <c r="C312" s="63"/>
      <c r="D312" s="63"/>
      <c r="E312" s="63"/>
      <c r="F312" s="63"/>
      <c r="G312" s="63"/>
      <c r="H312" s="63"/>
    </row>
    <row r="313" spans="1:8" x14ac:dyDescent="0.35">
      <c r="A313" s="63"/>
      <c r="B313" s="63"/>
      <c r="C313" s="63"/>
      <c r="D313" s="63"/>
      <c r="E313" s="63"/>
      <c r="F313" s="63"/>
      <c r="G313" s="63"/>
      <c r="H313" s="63"/>
    </row>
    <row r="314" spans="1:8" x14ac:dyDescent="0.35">
      <c r="A314" s="63"/>
      <c r="B314" s="63"/>
      <c r="C314" s="63"/>
      <c r="D314" s="63"/>
      <c r="E314" s="63"/>
      <c r="F314" s="63"/>
      <c r="G314" s="63"/>
      <c r="H314" s="63"/>
    </row>
    <row r="315" spans="1:8" x14ac:dyDescent="0.35">
      <c r="A315" s="63"/>
      <c r="B315" s="63"/>
      <c r="C315" s="63"/>
      <c r="D315" s="63"/>
      <c r="E315" s="63"/>
      <c r="F315" s="63"/>
      <c r="G315" s="63"/>
      <c r="H315" s="63"/>
    </row>
    <row r="316" spans="1:8" x14ac:dyDescent="0.35">
      <c r="A316" s="63"/>
      <c r="B316" s="63"/>
      <c r="C316" s="63"/>
      <c r="D316" s="63"/>
      <c r="E316" s="63"/>
      <c r="F316" s="63"/>
      <c r="G316" s="63"/>
      <c r="H316" s="63"/>
    </row>
    <row r="317" spans="1:8" x14ac:dyDescent="0.35">
      <c r="A317" s="63"/>
      <c r="B317" s="63"/>
      <c r="C317" s="63"/>
      <c r="D317" s="63"/>
      <c r="E317" s="63"/>
      <c r="F317" s="63"/>
      <c r="G317" s="63"/>
      <c r="H317" s="63"/>
    </row>
    <row r="318" spans="1:8" x14ac:dyDescent="0.35">
      <c r="A318" s="63"/>
      <c r="B318" s="63"/>
      <c r="C318" s="63"/>
      <c r="D318" s="63"/>
      <c r="E318" s="63"/>
      <c r="F318" s="63"/>
      <c r="G318" s="63"/>
      <c r="H318" s="63"/>
    </row>
    <row r="319" spans="1:8" x14ac:dyDescent="0.35">
      <c r="A319" s="63"/>
      <c r="B319" s="63"/>
      <c r="C319" s="63"/>
      <c r="D319" s="63"/>
      <c r="E319" s="63"/>
      <c r="F319" s="63"/>
      <c r="G319" s="63"/>
      <c r="H319" s="63"/>
    </row>
    <row r="320" spans="1:8" x14ac:dyDescent="0.35">
      <c r="A320" s="63"/>
      <c r="B320" s="63"/>
      <c r="C320" s="63"/>
      <c r="D320" s="63"/>
      <c r="E320" s="63"/>
      <c r="F320" s="63"/>
      <c r="G320" s="63"/>
      <c r="H320" s="63"/>
    </row>
    <row r="321" spans="1:8" x14ac:dyDescent="0.35">
      <c r="A321" s="63"/>
      <c r="B321" s="63"/>
      <c r="C321" s="63"/>
      <c r="D321" s="63"/>
      <c r="E321" s="63"/>
      <c r="F321" s="63"/>
      <c r="G321" s="63"/>
      <c r="H321" s="63"/>
    </row>
    <row r="322" spans="1:8" x14ac:dyDescent="0.35">
      <c r="A322" s="63"/>
      <c r="B322" s="63"/>
      <c r="C322" s="63"/>
      <c r="D322" s="63"/>
      <c r="E322" s="63"/>
      <c r="F322" s="63"/>
      <c r="G322" s="63"/>
      <c r="H322" s="63"/>
    </row>
    <row r="323" spans="1:8" x14ac:dyDescent="0.35">
      <c r="A323" s="63"/>
      <c r="B323" s="63"/>
      <c r="C323" s="63"/>
      <c r="D323" s="63"/>
      <c r="E323" s="63"/>
      <c r="F323" s="63"/>
      <c r="G323" s="63"/>
      <c r="H323" s="63"/>
    </row>
    <row r="324" spans="1:8" x14ac:dyDescent="0.35">
      <c r="A324" s="63"/>
      <c r="B324" s="63"/>
      <c r="C324" s="63"/>
      <c r="D324" s="63"/>
      <c r="E324" s="63"/>
      <c r="F324" s="63"/>
      <c r="G324" s="63"/>
      <c r="H324" s="63"/>
    </row>
    <row r="325" spans="1:8" x14ac:dyDescent="0.35">
      <c r="A325" s="63"/>
      <c r="B325" s="63"/>
      <c r="C325" s="63"/>
      <c r="D325" s="63"/>
      <c r="E325" s="63"/>
      <c r="F325" s="63"/>
      <c r="G325" s="63"/>
      <c r="H325" s="63"/>
    </row>
    <row r="326" spans="1:8" x14ac:dyDescent="0.35">
      <c r="A326" s="63"/>
      <c r="B326" s="63"/>
      <c r="C326" s="63"/>
      <c r="D326" s="63"/>
      <c r="E326" s="63"/>
      <c r="F326" s="63"/>
      <c r="G326" s="63"/>
      <c r="H326" s="63"/>
    </row>
    <row r="327" spans="1:8" x14ac:dyDescent="0.35">
      <c r="A327" s="63"/>
      <c r="B327" s="63"/>
      <c r="C327" s="63"/>
      <c r="D327" s="63"/>
      <c r="E327" s="63"/>
      <c r="F327" s="63"/>
      <c r="G327" s="63"/>
      <c r="H327" s="63"/>
    </row>
    <row r="328" spans="1:8" x14ac:dyDescent="0.35">
      <c r="A328" s="63"/>
      <c r="B328" s="63"/>
      <c r="C328" s="63"/>
      <c r="D328" s="63"/>
      <c r="E328" s="63"/>
      <c r="F328" s="63"/>
      <c r="G328" s="63"/>
      <c r="H328" s="63"/>
    </row>
    <row r="329" spans="1:8" x14ac:dyDescent="0.35">
      <c r="A329" s="63"/>
      <c r="B329" s="63"/>
      <c r="C329" s="63"/>
      <c r="D329" s="63"/>
      <c r="E329" s="63"/>
      <c r="F329" s="63"/>
      <c r="G329" s="63"/>
      <c r="H329" s="63"/>
    </row>
    <row r="330" spans="1:8" x14ac:dyDescent="0.35">
      <c r="A330" s="63"/>
      <c r="B330" s="63"/>
      <c r="C330" s="63"/>
      <c r="D330" s="63"/>
      <c r="E330" s="63"/>
      <c r="F330" s="63"/>
      <c r="G330" s="63"/>
      <c r="H330" s="63"/>
    </row>
    <row r="331" spans="1:8" x14ac:dyDescent="0.35">
      <c r="A331" s="63"/>
      <c r="B331" s="63"/>
      <c r="C331" s="63"/>
      <c r="D331" s="63"/>
      <c r="E331" s="63"/>
      <c r="F331" s="63"/>
      <c r="G331" s="63"/>
      <c r="H331" s="63"/>
    </row>
    <row r="332" spans="1:8" x14ac:dyDescent="0.35">
      <c r="A332" s="63"/>
      <c r="B332" s="63"/>
      <c r="C332" s="63"/>
      <c r="D332" s="63"/>
      <c r="E332" s="63"/>
      <c r="F332" s="63"/>
      <c r="G332" s="63"/>
      <c r="H332" s="63"/>
    </row>
    <row r="333" spans="1:8" x14ac:dyDescent="0.35">
      <c r="A333" s="63"/>
      <c r="B333" s="63"/>
      <c r="C333" s="63"/>
      <c r="D333" s="63"/>
      <c r="E333" s="63"/>
      <c r="F333" s="63"/>
      <c r="G333" s="63"/>
      <c r="H333" s="63"/>
    </row>
    <row r="334" spans="1:8" x14ac:dyDescent="0.35">
      <c r="A334" s="63"/>
      <c r="B334" s="63"/>
      <c r="C334" s="63"/>
      <c r="D334" s="63"/>
      <c r="E334" s="63"/>
      <c r="F334" s="63"/>
      <c r="G334" s="63"/>
      <c r="H334" s="63"/>
    </row>
    <row r="335" spans="1:8" x14ac:dyDescent="0.35">
      <c r="A335" s="63"/>
      <c r="B335" s="63"/>
      <c r="C335" s="63"/>
      <c r="D335" s="63"/>
      <c r="E335" s="63"/>
      <c r="F335" s="63"/>
      <c r="G335" s="63"/>
      <c r="H335" s="63"/>
    </row>
    <row r="336" spans="1:8" x14ac:dyDescent="0.35">
      <c r="A336" s="63"/>
      <c r="B336" s="63"/>
      <c r="C336" s="63"/>
      <c r="D336" s="63"/>
      <c r="E336" s="63"/>
      <c r="F336" s="63"/>
      <c r="G336" s="63"/>
      <c r="H336" s="63"/>
    </row>
    <row r="337" spans="1:8" x14ac:dyDescent="0.35">
      <c r="A337" s="63"/>
      <c r="B337" s="63"/>
      <c r="C337" s="63"/>
      <c r="D337" s="63"/>
      <c r="E337" s="63"/>
      <c r="F337" s="63"/>
      <c r="G337" s="63"/>
      <c r="H337" s="63"/>
    </row>
    <row r="338" spans="1:8" x14ac:dyDescent="0.35">
      <c r="A338" s="63"/>
      <c r="B338" s="63"/>
      <c r="C338" s="63"/>
      <c r="D338" s="63"/>
      <c r="E338" s="63"/>
      <c r="F338" s="63"/>
      <c r="G338" s="63"/>
      <c r="H338" s="63"/>
    </row>
    <row r="339" spans="1:8" x14ac:dyDescent="0.35">
      <c r="A339" s="63"/>
      <c r="B339" s="63"/>
      <c r="C339" s="63"/>
      <c r="D339" s="63"/>
      <c r="E339" s="63"/>
      <c r="F339" s="63"/>
      <c r="G339" s="63"/>
      <c r="H339" s="63"/>
    </row>
    <row r="340" spans="1:8" x14ac:dyDescent="0.35">
      <c r="A340" s="63"/>
      <c r="B340" s="63"/>
      <c r="C340" s="63"/>
      <c r="D340" s="63"/>
      <c r="E340" s="63"/>
      <c r="F340" s="63"/>
      <c r="G340" s="63"/>
      <c r="H340" s="63"/>
    </row>
    <row r="341" spans="1:8" x14ac:dyDescent="0.35">
      <c r="A341" s="63"/>
      <c r="B341" s="63"/>
      <c r="C341" s="63"/>
      <c r="D341" s="63"/>
      <c r="E341" s="63"/>
      <c r="F341" s="63"/>
      <c r="G341" s="63"/>
      <c r="H341" s="63"/>
    </row>
    <row r="342" spans="1:8" x14ac:dyDescent="0.35">
      <c r="A342" s="63"/>
      <c r="B342" s="63"/>
      <c r="C342" s="63"/>
      <c r="D342" s="63"/>
      <c r="E342" s="63"/>
      <c r="F342" s="63"/>
      <c r="G342" s="63"/>
      <c r="H342" s="63"/>
    </row>
    <row r="343" spans="1:8" x14ac:dyDescent="0.35">
      <c r="A343" s="63"/>
      <c r="B343" s="63"/>
      <c r="C343" s="63"/>
      <c r="D343" s="63"/>
      <c r="E343" s="63"/>
      <c r="F343" s="63"/>
      <c r="G343" s="63"/>
      <c r="H343" s="63"/>
    </row>
    <row r="344" spans="1:8" x14ac:dyDescent="0.35">
      <c r="A344" s="63"/>
      <c r="B344" s="63"/>
      <c r="C344" s="63"/>
      <c r="D344" s="63"/>
      <c r="E344" s="63"/>
      <c r="F344" s="63"/>
      <c r="G344" s="63"/>
      <c r="H344" s="63"/>
    </row>
    <row r="345" spans="1:8" x14ac:dyDescent="0.35">
      <c r="A345" s="63"/>
      <c r="B345" s="63"/>
      <c r="C345" s="63"/>
      <c r="D345" s="63"/>
      <c r="E345" s="63"/>
      <c r="F345" s="63"/>
      <c r="G345" s="63"/>
      <c r="H345" s="63"/>
    </row>
    <row r="346" spans="1:8" x14ac:dyDescent="0.35">
      <c r="A346" s="63"/>
      <c r="B346" s="63"/>
      <c r="C346" s="63"/>
      <c r="D346" s="63"/>
      <c r="E346" s="63"/>
      <c r="F346" s="63"/>
      <c r="G346" s="63"/>
      <c r="H346" s="63"/>
    </row>
    <row r="347" spans="1:8" x14ac:dyDescent="0.35">
      <c r="A347" s="63"/>
      <c r="B347" s="63"/>
      <c r="C347" s="63"/>
      <c r="D347" s="63"/>
      <c r="E347" s="63"/>
      <c r="F347" s="63"/>
      <c r="G347" s="63"/>
      <c r="H347" s="63"/>
    </row>
    <row r="348" spans="1:8" x14ac:dyDescent="0.35">
      <c r="A348" s="63"/>
      <c r="B348" s="63"/>
      <c r="C348" s="63"/>
      <c r="D348" s="63"/>
      <c r="E348" s="63"/>
      <c r="F348" s="63"/>
      <c r="G348" s="63"/>
      <c r="H348" s="63"/>
    </row>
    <row r="349" spans="1:8" x14ac:dyDescent="0.35">
      <c r="A349" s="63"/>
      <c r="B349" s="63"/>
      <c r="C349" s="63"/>
      <c r="D349" s="63"/>
      <c r="E349" s="63"/>
      <c r="F349" s="63"/>
      <c r="G349" s="63"/>
      <c r="H349" s="63"/>
    </row>
  </sheetData>
  <mergeCells count="405">
    <mergeCell ref="L145:M145"/>
    <mergeCell ref="L139:M139"/>
    <mergeCell ref="B208:H208"/>
    <mergeCell ref="L140:M140"/>
    <mergeCell ref="A141:B141"/>
    <mergeCell ref="L141:M141"/>
    <mergeCell ref="L142:M142"/>
    <mergeCell ref="A143:B143"/>
    <mergeCell ref="L143:M143"/>
    <mergeCell ref="I197:L197"/>
    <mergeCell ref="L172:M172"/>
    <mergeCell ref="A177:B177"/>
    <mergeCell ref="A174:B174"/>
    <mergeCell ref="A175:B175"/>
    <mergeCell ref="A185:B185"/>
    <mergeCell ref="L170:M170"/>
    <mergeCell ref="A146:H146"/>
    <mergeCell ref="A147:H147"/>
    <mergeCell ref="L171:M171"/>
    <mergeCell ref="L168:M168"/>
    <mergeCell ref="A169:B169"/>
    <mergeCell ref="L169:M169"/>
    <mergeCell ref="A144:B144"/>
    <mergeCell ref="L144:M144"/>
    <mergeCell ref="A133:B133"/>
    <mergeCell ref="L133:M133"/>
    <mergeCell ref="A134:B134"/>
    <mergeCell ref="L134:M134"/>
    <mergeCell ref="A135:B135"/>
    <mergeCell ref="L135:M135"/>
    <mergeCell ref="L136:M136"/>
    <mergeCell ref="A137:H137"/>
    <mergeCell ref="A138:B138"/>
    <mergeCell ref="L138:M138"/>
    <mergeCell ref="L126:M126"/>
    <mergeCell ref="A128:H128"/>
    <mergeCell ref="A129:B129"/>
    <mergeCell ref="L129:M129"/>
    <mergeCell ref="A130:B130"/>
    <mergeCell ref="L130:M130"/>
    <mergeCell ref="A131:B131"/>
    <mergeCell ref="L131:M131"/>
    <mergeCell ref="A132:B132"/>
    <mergeCell ref="L132:M132"/>
    <mergeCell ref="L122:M122"/>
    <mergeCell ref="A123:B123"/>
    <mergeCell ref="L123:M123"/>
    <mergeCell ref="A124:B124"/>
    <mergeCell ref="L124:M124"/>
    <mergeCell ref="C122:H122"/>
    <mergeCell ref="C123:H123"/>
    <mergeCell ref="A125:B125"/>
    <mergeCell ref="L125:M125"/>
    <mergeCell ref="A193:B193"/>
    <mergeCell ref="A190:H190"/>
    <mergeCell ref="A191:B191"/>
    <mergeCell ref="C164:C165"/>
    <mergeCell ref="G164:G165"/>
    <mergeCell ref="B203:H203"/>
    <mergeCell ref="A148:B148"/>
    <mergeCell ref="A166:H166"/>
    <mergeCell ref="A139:B139"/>
    <mergeCell ref="A145:B145"/>
    <mergeCell ref="A140:B140"/>
    <mergeCell ref="D69:H69"/>
    <mergeCell ref="A72:C72"/>
    <mergeCell ref="D72:H72"/>
    <mergeCell ref="G50:H50"/>
    <mergeCell ref="G52:H52"/>
    <mergeCell ref="A51:B51"/>
    <mergeCell ref="A61:H61"/>
    <mergeCell ref="A62:C62"/>
    <mergeCell ref="A63:C63"/>
    <mergeCell ref="A40:B40"/>
    <mergeCell ref="E111:F111"/>
    <mergeCell ref="C40:H40"/>
    <mergeCell ref="F114:F115"/>
    <mergeCell ref="A83:B83"/>
    <mergeCell ref="C107:D107"/>
    <mergeCell ref="A155:H155"/>
    <mergeCell ref="A160:B160"/>
    <mergeCell ref="A45:D45"/>
    <mergeCell ref="A75:B75"/>
    <mergeCell ref="A73:B73"/>
    <mergeCell ref="C73:H73"/>
    <mergeCell ref="A81:B81"/>
    <mergeCell ref="A68:C68"/>
    <mergeCell ref="D68:H68"/>
    <mergeCell ref="C75:H75"/>
    <mergeCell ref="A78:B78"/>
    <mergeCell ref="A80:B80"/>
    <mergeCell ref="E76:F76"/>
    <mergeCell ref="A69:C69"/>
    <mergeCell ref="A49:B49"/>
    <mergeCell ref="C49:H49"/>
    <mergeCell ref="A79:B79"/>
    <mergeCell ref="A76:B76"/>
    <mergeCell ref="L120:M120"/>
    <mergeCell ref="L119:M119"/>
    <mergeCell ref="A84:B84"/>
    <mergeCell ref="C108:D108"/>
    <mergeCell ref="E108:F108"/>
    <mergeCell ref="G108:H108"/>
    <mergeCell ref="A88:E88"/>
    <mergeCell ref="A118:H118"/>
    <mergeCell ref="E114:E115"/>
    <mergeCell ref="F89:H89"/>
    <mergeCell ref="A89:E89"/>
    <mergeCell ref="D114:D115"/>
    <mergeCell ref="A91:E91"/>
    <mergeCell ref="A90:E90"/>
    <mergeCell ref="A87:E87"/>
    <mergeCell ref="F91:H91"/>
    <mergeCell ref="A117:H117"/>
    <mergeCell ref="A116:H116"/>
    <mergeCell ref="A105:B105"/>
    <mergeCell ref="C105:D105"/>
    <mergeCell ref="E105:F10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17:H220"/>
    <mergeCell ref="A216:B216"/>
    <mergeCell ref="E216:F216"/>
    <mergeCell ref="C216:D216"/>
    <mergeCell ref="G216:H216"/>
    <mergeCell ref="A100:H100"/>
    <mergeCell ref="A98:E98"/>
    <mergeCell ref="F98:H98"/>
    <mergeCell ref="A99:E99"/>
    <mergeCell ref="F99:H99"/>
    <mergeCell ref="A172:H172"/>
    <mergeCell ref="A108:B108"/>
    <mergeCell ref="A181:B181"/>
    <mergeCell ref="A102:B102"/>
    <mergeCell ref="A212:H212"/>
    <mergeCell ref="A106:H106"/>
    <mergeCell ref="A215:H215"/>
    <mergeCell ref="A170:B170"/>
    <mergeCell ref="B207:H207"/>
    <mergeCell ref="A110:B110"/>
    <mergeCell ref="E110:F110"/>
    <mergeCell ref="G110:H110"/>
    <mergeCell ref="C103:D103"/>
    <mergeCell ref="E103:F103"/>
    <mergeCell ref="A70:C70"/>
    <mergeCell ref="D71:H71"/>
    <mergeCell ref="A77:B77"/>
    <mergeCell ref="G76:H76"/>
    <mergeCell ref="A97:E97"/>
    <mergeCell ref="A93:E93"/>
    <mergeCell ref="F93:H93"/>
    <mergeCell ref="A95:E95"/>
    <mergeCell ref="F90:H90"/>
    <mergeCell ref="A94:E94"/>
    <mergeCell ref="E77:F86"/>
    <mergeCell ref="G77:H86"/>
    <mergeCell ref="A85:B85"/>
    <mergeCell ref="A86:B86"/>
    <mergeCell ref="A213:H213"/>
    <mergeCell ref="A209:H209"/>
    <mergeCell ref="G107:H107"/>
    <mergeCell ref="A183:B183"/>
    <mergeCell ref="C114:C115"/>
    <mergeCell ref="B164:B165"/>
    <mergeCell ref="A210:H210"/>
    <mergeCell ref="F87:H87"/>
    <mergeCell ref="F92:H92"/>
    <mergeCell ref="A168:B168"/>
    <mergeCell ref="A122:B122"/>
    <mergeCell ref="A163:H163"/>
    <mergeCell ref="E107:F107"/>
    <mergeCell ref="A112:H112"/>
    <mergeCell ref="A164:A165"/>
    <mergeCell ref="F164:F165"/>
    <mergeCell ref="A179:B179"/>
    <mergeCell ref="G114:G115"/>
    <mergeCell ref="A186:B186"/>
    <mergeCell ref="A92:E92"/>
    <mergeCell ref="A136:B136"/>
    <mergeCell ref="B202:H202"/>
    <mergeCell ref="B204:H204"/>
    <mergeCell ref="A187:B187"/>
    <mergeCell ref="A214:H214"/>
    <mergeCell ref="A211:H211"/>
    <mergeCell ref="A173:B173"/>
    <mergeCell ref="A107:B107"/>
    <mergeCell ref="D164:D165"/>
    <mergeCell ref="E164:E165"/>
    <mergeCell ref="B200:H200"/>
    <mergeCell ref="B201:H201"/>
    <mergeCell ref="A196:H196"/>
    <mergeCell ref="A188:B188"/>
    <mergeCell ref="A189:B189"/>
    <mergeCell ref="A184:H184"/>
    <mergeCell ref="A119:B119"/>
    <mergeCell ref="B206:H206"/>
    <mergeCell ref="A111:B111"/>
    <mergeCell ref="C111:D111"/>
    <mergeCell ref="A178:H178"/>
    <mergeCell ref="B205:H205"/>
    <mergeCell ref="B199:H199"/>
    <mergeCell ref="A192:B192"/>
    <mergeCell ref="A195:B195"/>
    <mergeCell ref="A194:B194"/>
    <mergeCell ref="B197:H197"/>
    <mergeCell ref="B198:H198"/>
    <mergeCell ref="C101:D101"/>
    <mergeCell ref="C110:D110"/>
    <mergeCell ref="A167:H167"/>
    <mergeCell ref="A182:B182"/>
    <mergeCell ref="A149:B149"/>
    <mergeCell ref="G101:H101"/>
    <mergeCell ref="A120:B120"/>
    <mergeCell ref="E101:F101"/>
    <mergeCell ref="A101:B101"/>
    <mergeCell ref="A127:H127"/>
    <mergeCell ref="A180:B180"/>
    <mergeCell ref="A113:H113"/>
    <mergeCell ref="G105:H105"/>
    <mergeCell ref="A109:B109"/>
    <mergeCell ref="C109:D109"/>
    <mergeCell ref="E109:F109"/>
    <mergeCell ref="G109:H109"/>
    <mergeCell ref="A142:B142"/>
    <mergeCell ref="G111:H111"/>
    <mergeCell ref="G103:H103"/>
    <mergeCell ref="A171:B171"/>
    <mergeCell ref="A176:B176"/>
    <mergeCell ref="A121:H121"/>
    <mergeCell ref="A126:B126"/>
    <mergeCell ref="I15:P15"/>
    <mergeCell ref="F97:H97"/>
    <mergeCell ref="F95:H95"/>
    <mergeCell ref="A96:E96"/>
    <mergeCell ref="A60:B60"/>
    <mergeCell ref="C60:E60"/>
    <mergeCell ref="D62:H62"/>
    <mergeCell ref="F96:H96"/>
    <mergeCell ref="D70:H70"/>
    <mergeCell ref="A71:C71"/>
    <mergeCell ref="E43:H43"/>
    <mergeCell ref="A43:D43"/>
    <mergeCell ref="A82:B82"/>
    <mergeCell ref="A50:B50"/>
    <mergeCell ref="C50:E50"/>
    <mergeCell ref="D63:H63"/>
    <mergeCell ref="G60:H60"/>
    <mergeCell ref="A54:B55"/>
    <mergeCell ref="C54:E54"/>
    <mergeCell ref="G54:H54"/>
    <mergeCell ref="A56:B57"/>
    <mergeCell ref="C56:E56"/>
    <mergeCell ref="F88:H88"/>
    <mergeCell ref="F94:H94"/>
    <mergeCell ref="L149:M149"/>
    <mergeCell ref="A150:B150"/>
    <mergeCell ref="L150:M150"/>
    <mergeCell ref="A151:B151"/>
    <mergeCell ref="L151:M151"/>
    <mergeCell ref="A152:B152"/>
    <mergeCell ref="L152:M152"/>
    <mergeCell ref="G51:H51"/>
    <mergeCell ref="A52:B53"/>
    <mergeCell ref="C53:H53"/>
    <mergeCell ref="C51:E51"/>
    <mergeCell ref="C52:E52"/>
    <mergeCell ref="C55:H55"/>
    <mergeCell ref="G56:H56"/>
    <mergeCell ref="A58:B59"/>
    <mergeCell ref="C58:E58"/>
    <mergeCell ref="G58:H58"/>
    <mergeCell ref="C102:D102"/>
    <mergeCell ref="E102:F102"/>
    <mergeCell ref="B114:B115"/>
    <mergeCell ref="A114:A115"/>
    <mergeCell ref="A65:C65"/>
    <mergeCell ref="D65:H65"/>
    <mergeCell ref="G102:H102"/>
    <mergeCell ref="L160:M160"/>
    <mergeCell ref="A161:B161"/>
    <mergeCell ref="L161:M161"/>
    <mergeCell ref="A162:B162"/>
    <mergeCell ref="L162:M162"/>
    <mergeCell ref="C125:H125"/>
    <mergeCell ref="C126:H126"/>
    <mergeCell ref="C104:D104"/>
    <mergeCell ref="E104:F104"/>
    <mergeCell ref="G104:H104"/>
    <mergeCell ref="A103:A104"/>
    <mergeCell ref="A156:B156"/>
    <mergeCell ref="L156:M156"/>
    <mergeCell ref="A157:B157"/>
    <mergeCell ref="L157:M157"/>
    <mergeCell ref="A158:B158"/>
    <mergeCell ref="L158:M158"/>
    <mergeCell ref="A159:B159"/>
    <mergeCell ref="L159:M159"/>
    <mergeCell ref="A153:B153"/>
    <mergeCell ref="L153:M153"/>
    <mergeCell ref="A154:B154"/>
    <mergeCell ref="L154:M154"/>
    <mergeCell ref="L148:M148"/>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4:E115">
      <formula1>"Attached Loft area,Attached Otla area,Attached Mezzanine area"</formula1>
    </dataValidation>
    <dataValidation type="list" allowBlank="1" showInputMessage="1" showErrorMessage="1" sqref="G216:H216">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4:B115">
      <formula1>"Shop No. (Sale Plan),Sale / Rehab,Sale / Mhada"</formula1>
    </dataValidation>
    <dataValidation type="list" allowBlank="1" showInputMessage="1" showErrorMessage="1" sqref="B164:B165">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64:E165">
      <formula1>"Fungible area,Balcony Area,Chajja Area,Cornice Area,AP Area,WS Area"</formula1>
    </dataValidation>
    <dataValidation type="list" allowBlank="1" showInputMessage="1" showErrorMessage="1" sqref="H115 H165">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14 H164">
      <formula1>"Saleable area Loading :,Builder Saleable Area"</formula1>
    </dataValidation>
    <dataValidation type="list" allowBlank="1" showInputMessage="1" showErrorMessage="1" sqref="D114:D115 D164:D165">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16383" man="1"/>
    <brk id="195" max="16383" man="1"/>
    <brk id="220" max="16383" man="1"/>
    <brk id="263" max="16383" man="1"/>
    <brk id="30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95" t="s">
        <v>105</v>
      </c>
      <c r="C3" s="195"/>
      <c r="D3" s="195"/>
      <c r="E3" s="195"/>
      <c r="F3" s="195"/>
      <c r="G3" s="195"/>
      <c r="H3" s="195"/>
    </row>
    <row r="4" spans="1:9" x14ac:dyDescent="0.35">
      <c r="A4" s="2"/>
      <c r="B4" s="3" t="s">
        <v>106</v>
      </c>
      <c r="C4" s="3" t="s">
        <v>107</v>
      </c>
      <c r="D4" s="3" t="s">
        <v>66</v>
      </c>
      <c r="E4" s="3" t="s">
        <v>108</v>
      </c>
      <c r="F4" s="3" t="s">
        <v>114</v>
      </c>
      <c r="G4" s="3" t="s">
        <v>115</v>
      </c>
      <c r="H4" s="3" t="s">
        <v>109</v>
      </c>
    </row>
    <row r="5" spans="1:9" ht="15" customHeight="1" x14ac:dyDescent="0.35">
      <c r="A5" s="2"/>
      <c r="B5" s="5" t="s">
        <v>110</v>
      </c>
      <c r="C5" s="6"/>
      <c r="D5" s="5"/>
      <c r="E5" s="5"/>
      <c r="F5" s="7">
        <f>E5*1.6</f>
        <v>0</v>
      </c>
      <c r="G5" s="7" t="e">
        <f>H5/F5</f>
        <v>#DIV/0!</v>
      </c>
      <c r="H5" s="8"/>
    </row>
    <row r="6" spans="1:9" x14ac:dyDescent="0.35">
      <c r="A6" s="2"/>
      <c r="B6" s="5" t="s">
        <v>110</v>
      </c>
      <c r="C6" s="9"/>
      <c r="D6" s="5"/>
      <c r="E6" s="5"/>
      <c r="F6" s="7">
        <f t="shared" ref="F6:F11" si="0">E6*1.6</f>
        <v>0</v>
      </c>
      <c r="G6" s="7" t="e">
        <f t="shared" ref="G6:G11" si="1">H6/F6</f>
        <v>#DIV/0!</v>
      </c>
      <c r="H6" s="8"/>
    </row>
    <row r="7" spans="1:9" ht="15" customHeight="1" x14ac:dyDescent="0.35">
      <c r="A7" s="2"/>
      <c r="B7" s="5" t="s">
        <v>110</v>
      </c>
      <c r="C7" s="6"/>
      <c r="D7" s="5"/>
      <c r="E7" s="5"/>
      <c r="F7" s="7">
        <f t="shared" si="0"/>
        <v>0</v>
      </c>
      <c r="G7" s="7" t="e">
        <f t="shared" si="1"/>
        <v>#DIV/0!</v>
      </c>
      <c r="H7" s="8"/>
    </row>
    <row r="8" spans="1:9" x14ac:dyDescent="0.35">
      <c r="A8" s="2"/>
      <c r="B8" s="5" t="s">
        <v>110</v>
      </c>
      <c r="C8" s="9"/>
      <c r="D8" s="5"/>
      <c r="E8" s="5"/>
      <c r="F8" s="7">
        <f t="shared" si="0"/>
        <v>0</v>
      </c>
      <c r="G8" s="7" t="e">
        <f t="shared" si="1"/>
        <v>#DIV/0!</v>
      </c>
      <c r="H8" s="8"/>
    </row>
    <row r="9" spans="1:9" ht="15" customHeight="1" x14ac:dyDescent="0.35">
      <c r="A9" s="2"/>
      <c r="B9" s="5" t="s">
        <v>110</v>
      </c>
      <c r="C9" s="9"/>
      <c r="D9" s="5"/>
      <c r="E9" s="5"/>
      <c r="F9" s="7">
        <f t="shared" si="0"/>
        <v>0</v>
      </c>
      <c r="G9" s="7" t="e">
        <f t="shared" si="1"/>
        <v>#DIV/0!</v>
      </c>
      <c r="H9" s="8"/>
    </row>
    <row r="10" spans="1:9" ht="15" customHeight="1" x14ac:dyDescent="0.35">
      <c r="A10" s="2"/>
      <c r="B10" s="5" t="s">
        <v>111</v>
      </c>
      <c r="C10" s="6"/>
      <c r="D10" s="5"/>
      <c r="E10" s="5"/>
      <c r="F10" s="7">
        <f t="shared" si="0"/>
        <v>0</v>
      </c>
      <c r="G10" s="7" t="e">
        <f t="shared" si="1"/>
        <v>#DIV/0!</v>
      </c>
      <c r="H10" s="8"/>
    </row>
    <row r="11" spans="1:9" ht="15" customHeight="1" x14ac:dyDescent="0.35">
      <c r="A11" s="2"/>
      <c r="B11" s="5" t="s">
        <v>111</v>
      </c>
      <c r="C11" s="6"/>
      <c r="D11" s="5"/>
      <c r="E11" s="5"/>
      <c r="F11" s="7">
        <f t="shared" si="0"/>
        <v>0</v>
      </c>
      <c r="G11" s="7" t="e">
        <f t="shared" si="1"/>
        <v>#DIV/0!</v>
      </c>
      <c r="H11" s="8"/>
    </row>
    <row r="12" spans="1:9" ht="15" customHeight="1" x14ac:dyDescent="0.35">
      <c r="A12" s="2"/>
      <c r="B12" s="10" t="s">
        <v>112</v>
      </c>
      <c r="C12" s="5"/>
      <c r="D12" s="5"/>
      <c r="E12" s="5"/>
      <c r="F12" s="5"/>
      <c r="G12" s="11" t="e">
        <f>AVERAGE(G5:G11)</f>
        <v>#DIV/0!</v>
      </c>
      <c r="H12" s="5"/>
    </row>
    <row r="13" spans="1:9" ht="15" customHeight="1" x14ac:dyDescent="0.35">
      <c r="B13" s="10" t="s">
        <v>113</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35"/>
      <c r="C4" s="35" t="s">
        <v>11</v>
      </c>
      <c r="D4" s="36" t="s">
        <v>181</v>
      </c>
      <c r="E4" s="36" t="s">
        <v>191</v>
      </c>
      <c r="F4" s="36" t="s">
        <v>174</v>
      </c>
      <c r="G4" s="36" t="s">
        <v>196</v>
      </c>
      <c r="H4" s="36" t="s">
        <v>214</v>
      </c>
      <c r="J4" t="s">
        <v>196</v>
      </c>
      <c r="K4" t="s">
        <v>212</v>
      </c>
    </row>
    <row r="5" spans="2:11" x14ac:dyDescent="0.35">
      <c r="B5" s="35"/>
      <c r="C5" s="35"/>
      <c r="D5" s="36" t="s">
        <v>182</v>
      </c>
      <c r="E5" s="36" t="s">
        <v>189</v>
      </c>
      <c r="F5" s="36" t="s">
        <v>211</v>
      </c>
      <c r="G5" s="36" t="s">
        <v>197</v>
      </c>
      <c r="H5" s="36" t="s">
        <v>215</v>
      </c>
    </row>
    <row r="6" spans="2:11" x14ac:dyDescent="0.35">
      <c r="B6" s="35"/>
      <c r="C6" s="35"/>
      <c r="D6" s="36" t="s">
        <v>183</v>
      </c>
      <c r="E6" s="36" t="s">
        <v>190</v>
      </c>
      <c r="F6" s="36" t="s">
        <v>212</v>
      </c>
      <c r="G6" s="36" t="s">
        <v>198</v>
      </c>
      <c r="H6" s="36" t="s">
        <v>228</v>
      </c>
    </row>
    <row r="7" spans="2:11" x14ac:dyDescent="0.35">
      <c r="B7" s="35"/>
      <c r="C7" s="35"/>
      <c r="D7" s="36" t="s">
        <v>184</v>
      </c>
      <c r="E7" s="36" t="s">
        <v>192</v>
      </c>
      <c r="F7" s="36" t="s">
        <v>213</v>
      </c>
      <c r="G7" s="36" t="s">
        <v>199</v>
      </c>
      <c r="H7" s="36" t="s">
        <v>216</v>
      </c>
    </row>
    <row r="8" spans="2:11" x14ac:dyDescent="0.35">
      <c r="B8" s="35"/>
      <c r="C8" s="35"/>
      <c r="D8" s="36" t="s">
        <v>185</v>
      </c>
      <c r="E8" s="36" t="s">
        <v>193</v>
      </c>
      <c r="F8" s="36"/>
      <c r="G8" s="36" t="s">
        <v>200</v>
      </c>
      <c r="H8" s="36" t="s">
        <v>217</v>
      </c>
    </row>
    <row r="9" spans="2:11" x14ac:dyDescent="0.35">
      <c r="B9" s="35"/>
      <c r="C9" s="35"/>
      <c r="D9" s="36" t="s">
        <v>186</v>
      </c>
      <c r="E9" s="36" t="s">
        <v>191</v>
      </c>
      <c r="F9" s="36"/>
      <c r="G9" s="36" t="s">
        <v>201</v>
      </c>
      <c r="H9" s="36" t="s">
        <v>218</v>
      </c>
    </row>
    <row r="10" spans="2:11" x14ac:dyDescent="0.35">
      <c r="B10" s="35"/>
      <c r="C10" s="35"/>
      <c r="D10" s="36" t="s">
        <v>187</v>
      </c>
      <c r="E10" s="36" t="s">
        <v>194</v>
      </c>
      <c r="F10" s="36"/>
      <c r="G10" s="36" t="s">
        <v>202</v>
      </c>
      <c r="H10" s="36" t="s">
        <v>219</v>
      </c>
    </row>
    <row r="11" spans="2:11" x14ac:dyDescent="0.35">
      <c r="B11" s="35"/>
      <c r="C11" s="35"/>
      <c r="D11" s="36" t="s">
        <v>188</v>
      </c>
      <c r="E11" s="36" t="s">
        <v>195</v>
      </c>
      <c r="F11" s="36"/>
      <c r="G11" s="36" t="s">
        <v>203</v>
      </c>
      <c r="H11" s="36" t="s">
        <v>220</v>
      </c>
    </row>
    <row r="12" spans="2:11" x14ac:dyDescent="0.35">
      <c r="B12" s="35"/>
      <c r="C12" s="35"/>
      <c r="D12" s="36"/>
      <c r="E12" s="36"/>
      <c r="F12" s="36"/>
      <c r="G12" s="36" t="s">
        <v>204</v>
      </c>
      <c r="H12" s="36" t="s">
        <v>221</v>
      </c>
    </row>
    <row r="13" spans="2:11" x14ac:dyDescent="0.35">
      <c r="B13" s="35"/>
      <c r="C13" s="35"/>
      <c r="D13" s="36"/>
      <c r="E13" s="36"/>
      <c r="F13" s="36"/>
      <c r="G13" s="36" t="s">
        <v>205</v>
      </c>
      <c r="H13" s="36" t="s">
        <v>222</v>
      </c>
    </row>
    <row r="14" spans="2:11" x14ac:dyDescent="0.35">
      <c r="B14" s="35"/>
      <c r="C14" s="35"/>
      <c r="D14" s="36"/>
      <c r="E14" s="36"/>
      <c r="F14" s="36"/>
      <c r="G14" s="36" t="s">
        <v>206</v>
      </c>
      <c r="H14" s="36" t="s">
        <v>223</v>
      </c>
    </row>
    <row r="15" spans="2:11" x14ac:dyDescent="0.35">
      <c r="B15" s="35"/>
      <c r="C15" s="35"/>
      <c r="D15" s="36"/>
      <c r="E15" s="36"/>
      <c r="F15" s="36"/>
      <c r="G15" s="36" t="s">
        <v>207</v>
      </c>
      <c r="H15" s="36" t="s">
        <v>224</v>
      </c>
    </row>
    <row r="16" spans="2:11" x14ac:dyDescent="0.35">
      <c r="B16" s="35"/>
      <c r="C16" s="35"/>
      <c r="D16" s="36"/>
      <c r="E16" s="36"/>
      <c r="F16" s="36"/>
      <c r="G16" s="36" t="s">
        <v>208</v>
      </c>
      <c r="H16" s="36" t="s">
        <v>225</v>
      </c>
    </row>
    <row r="17" spans="2:8" x14ac:dyDescent="0.35">
      <c r="B17" s="35"/>
      <c r="C17" s="35"/>
      <c r="D17" s="36"/>
      <c r="E17" s="36"/>
      <c r="F17" s="36"/>
      <c r="G17" s="36" t="s">
        <v>209</v>
      </c>
      <c r="H17" s="36" t="s">
        <v>226</v>
      </c>
    </row>
    <row r="18" spans="2:8" x14ac:dyDescent="0.35">
      <c r="B18" s="35"/>
      <c r="C18" s="35"/>
      <c r="D18" s="36"/>
      <c r="E18" s="36"/>
      <c r="F18" s="36"/>
      <c r="G18" s="36" t="s">
        <v>210</v>
      </c>
      <c r="H18" s="36" t="s">
        <v>227</v>
      </c>
    </row>
    <row r="24" spans="2:8" x14ac:dyDescent="0.35">
      <c r="C24" t="s">
        <v>171</v>
      </c>
    </row>
    <row r="25" spans="2:8" x14ac:dyDescent="0.35">
      <c r="C25" t="s">
        <v>229</v>
      </c>
    </row>
    <row r="26" spans="2:8" x14ac:dyDescent="0.35">
      <c r="C26" t="s">
        <v>230</v>
      </c>
    </row>
    <row r="27" spans="2:8" x14ac:dyDescent="0.35">
      <c r="C27" t="s">
        <v>231</v>
      </c>
    </row>
    <row r="28" spans="2:8" x14ac:dyDescent="0.35">
      <c r="C28" t="s">
        <v>232</v>
      </c>
    </row>
    <row r="29" spans="2:8" x14ac:dyDescent="0.35">
      <c r="C29" t="s">
        <v>233</v>
      </c>
    </row>
    <row r="30" spans="2:8" x14ac:dyDescent="0.35">
      <c r="C30" t="s">
        <v>171</v>
      </c>
    </row>
    <row r="33" spans="3:11" x14ac:dyDescent="0.35">
      <c r="J33">
        <v>1</v>
      </c>
      <c r="K33">
        <v>2</v>
      </c>
    </row>
    <row r="34" spans="3:11" x14ac:dyDescent="0.35">
      <c r="C34" s="37" t="s">
        <v>240</v>
      </c>
      <c r="D34" s="36" t="s">
        <v>238</v>
      </c>
      <c r="E34" s="36" t="s">
        <v>243</v>
      </c>
      <c r="F34" s="36" t="s">
        <v>241</v>
      </c>
      <c r="G34" s="36" t="s">
        <v>242</v>
      </c>
      <c r="H34" s="36" t="s">
        <v>244</v>
      </c>
      <c r="J34" t="s">
        <v>196</v>
      </c>
      <c r="K34" t="s">
        <v>212</v>
      </c>
    </row>
    <row r="35" spans="3:11" x14ac:dyDescent="0.35">
      <c r="C35" s="35" t="s">
        <v>239</v>
      </c>
      <c r="D35" s="36" t="s">
        <v>172</v>
      </c>
      <c r="E35" s="36" t="s">
        <v>248</v>
      </c>
      <c r="F35" s="36" t="s">
        <v>250</v>
      </c>
      <c r="G35" s="36" t="s">
        <v>252</v>
      </c>
      <c r="H35" s="36"/>
    </row>
    <row r="36" spans="3:11" x14ac:dyDescent="0.35">
      <c r="C36" s="35"/>
      <c r="D36" s="36" t="s">
        <v>245</v>
      </c>
      <c r="E36" s="36" t="s">
        <v>249</v>
      </c>
      <c r="F36" s="36" t="s">
        <v>251</v>
      </c>
      <c r="G36" s="36" t="s">
        <v>253</v>
      </c>
      <c r="H36" s="36"/>
    </row>
    <row r="37" spans="3:11" x14ac:dyDescent="0.35">
      <c r="C37" s="35"/>
      <c r="D37" s="36" t="s">
        <v>246</v>
      </c>
      <c r="E37" s="36"/>
      <c r="F37" s="36"/>
      <c r="G37" s="36" t="s">
        <v>254</v>
      </c>
      <c r="H37" s="36"/>
    </row>
    <row r="38" spans="3:11" x14ac:dyDescent="0.35">
      <c r="C38" s="35"/>
      <c r="D38" s="36" t="s">
        <v>247</v>
      </c>
      <c r="E38" s="36"/>
      <c r="F38" s="36"/>
      <c r="G38" s="36" t="s">
        <v>254</v>
      </c>
      <c r="H38" s="36"/>
    </row>
    <row r="39" spans="3:11" x14ac:dyDescent="0.35">
      <c r="C39" s="35"/>
      <c r="D39" s="36"/>
      <c r="E39" s="36"/>
      <c r="F39" s="36"/>
      <c r="G39" s="36" t="s">
        <v>255</v>
      </c>
      <c r="H39" s="36"/>
    </row>
    <row r="40" spans="3:11" x14ac:dyDescent="0.35">
      <c r="C40" s="35"/>
      <c r="D40" s="36"/>
      <c r="E40" s="36"/>
      <c r="F40" s="36"/>
      <c r="G40" s="36" t="s">
        <v>256</v>
      </c>
      <c r="H40" s="36"/>
    </row>
    <row r="41" spans="3:11" x14ac:dyDescent="0.35">
      <c r="C41" s="35"/>
      <c r="D41" s="36"/>
      <c r="E41" s="36"/>
      <c r="F41" s="36"/>
      <c r="G41" s="36"/>
      <c r="H41" s="36"/>
    </row>
    <row r="43" spans="3:11" x14ac:dyDescent="0.35">
      <c r="C43" t="s">
        <v>257</v>
      </c>
    </row>
    <row r="44" spans="3:11" x14ac:dyDescent="0.35">
      <c r="C44" t="s">
        <v>174</v>
      </c>
      <c r="D44" t="s">
        <v>258</v>
      </c>
    </row>
    <row r="45" spans="3:11" x14ac:dyDescent="0.35">
      <c r="D45" t="s">
        <v>259</v>
      </c>
    </row>
    <row r="46" spans="3:11" x14ac:dyDescent="0.35">
      <c r="D46" t="s">
        <v>260</v>
      </c>
    </row>
    <row r="47" spans="3:11" x14ac:dyDescent="0.35">
      <c r="D47" t="s">
        <v>261</v>
      </c>
    </row>
    <row r="48" spans="3:11" x14ac:dyDescent="0.35">
      <c r="D48" t="s">
        <v>262</v>
      </c>
    </row>
    <row r="49" spans="3:4" x14ac:dyDescent="0.35">
      <c r="C49" t="s">
        <v>181</v>
      </c>
      <c r="D49" t="s">
        <v>263</v>
      </c>
    </row>
    <row r="50" spans="3:4" x14ac:dyDescent="0.35">
      <c r="D50" t="s">
        <v>264</v>
      </c>
    </row>
    <row r="51" spans="3:4" x14ac:dyDescent="0.35">
      <c r="D51" t="s">
        <v>265</v>
      </c>
    </row>
    <row r="52" spans="3:4" x14ac:dyDescent="0.35">
      <c r="D52" t="s">
        <v>268</v>
      </c>
    </row>
    <row r="53" spans="3:4" x14ac:dyDescent="0.35">
      <c r="D53" t="s">
        <v>266</v>
      </c>
    </row>
    <row r="54" spans="3:4" x14ac:dyDescent="0.35">
      <c r="D54" t="s">
        <v>267</v>
      </c>
    </row>
    <row r="55" spans="3:4" x14ac:dyDescent="0.35">
      <c r="D55" t="s">
        <v>269</v>
      </c>
    </row>
    <row r="56" spans="3:4" x14ac:dyDescent="0.35">
      <c r="D56" t="s">
        <v>270</v>
      </c>
    </row>
    <row r="57" spans="3:4" x14ac:dyDescent="0.35">
      <c r="D57" t="s">
        <v>271</v>
      </c>
    </row>
    <row r="58" spans="3:4" x14ac:dyDescent="0.35">
      <c r="D58" t="s">
        <v>273</v>
      </c>
    </row>
    <row r="59" spans="3:4" x14ac:dyDescent="0.35">
      <c r="D59" t="s">
        <v>282</v>
      </c>
    </row>
    <row r="60" spans="3:4" x14ac:dyDescent="0.35">
      <c r="C60" t="s">
        <v>196</v>
      </c>
      <c r="D60" t="s">
        <v>274</v>
      </c>
    </row>
    <row r="61" spans="3:4" x14ac:dyDescent="0.35">
      <c r="D61" t="s">
        <v>272</v>
      </c>
    </row>
    <row r="62" spans="3:4" x14ac:dyDescent="0.35">
      <c r="D62" t="s">
        <v>262</v>
      </c>
    </row>
    <row r="63" spans="3:4" x14ac:dyDescent="0.35">
      <c r="D63" t="s">
        <v>275</v>
      </c>
    </row>
    <row r="64" spans="3:4" x14ac:dyDescent="0.35">
      <c r="D64" t="s">
        <v>276</v>
      </c>
    </row>
    <row r="65" spans="3:4" x14ac:dyDescent="0.35">
      <c r="D65" t="s">
        <v>277</v>
      </c>
    </row>
    <row r="66" spans="3:4" x14ac:dyDescent="0.35">
      <c r="D66" t="s">
        <v>278</v>
      </c>
    </row>
    <row r="67" spans="3:4" x14ac:dyDescent="0.35">
      <c r="C67" t="s">
        <v>191</v>
      </c>
      <c r="D67" t="s">
        <v>279</v>
      </c>
    </row>
    <row r="68" spans="3:4" x14ac:dyDescent="0.35">
      <c r="D68" t="s">
        <v>280</v>
      </c>
    </row>
    <row r="69" spans="3:4" x14ac:dyDescent="0.35">
      <c r="D69" t="s">
        <v>281</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9" workbookViewId="0">
      <selection activeCell="D22" sqref="D22"/>
    </sheetView>
  </sheetViews>
  <sheetFormatPr defaultRowHeight="14.5" x14ac:dyDescent="0.35"/>
  <cols>
    <col min="2" max="2" width="3" bestFit="1" customWidth="1"/>
    <col min="3" max="3" width="130" customWidth="1"/>
  </cols>
  <sheetData>
    <row r="2" spans="2:3" ht="15" customHeight="1" x14ac:dyDescent="0.35">
      <c r="B2" s="38">
        <v>1</v>
      </c>
      <c r="C2" s="41" t="s">
        <v>288</v>
      </c>
    </row>
    <row r="3" spans="2:3" x14ac:dyDescent="0.35">
      <c r="B3" s="38">
        <v>2</v>
      </c>
      <c r="C3" s="39" t="s">
        <v>289</v>
      </c>
    </row>
    <row r="4" spans="2:3" x14ac:dyDescent="0.35">
      <c r="B4" s="38">
        <v>3</v>
      </c>
      <c r="C4" s="40" t="s">
        <v>290</v>
      </c>
    </row>
    <row r="5" spans="2:3" x14ac:dyDescent="0.35">
      <c r="B5" s="38">
        <v>4</v>
      </c>
      <c r="C5" s="39" t="s">
        <v>291</v>
      </c>
    </row>
    <row r="6" spans="2:3" x14ac:dyDescent="0.35">
      <c r="B6" s="38">
        <v>5</v>
      </c>
      <c r="C6" s="40" t="s">
        <v>292</v>
      </c>
    </row>
    <row r="7" spans="2:3" ht="29" x14ac:dyDescent="0.35">
      <c r="B7" s="38">
        <v>6</v>
      </c>
      <c r="C7" s="39" t="s">
        <v>293</v>
      </c>
    </row>
    <row r="8" spans="2:3" ht="72.5" x14ac:dyDescent="0.35">
      <c r="B8" s="38">
        <v>7</v>
      </c>
      <c r="C8" s="39" t="s">
        <v>294</v>
      </c>
    </row>
    <row r="9" spans="2:3" x14ac:dyDescent="0.35">
      <c r="B9" s="38">
        <v>8</v>
      </c>
      <c r="C9" s="40" t="s">
        <v>295</v>
      </c>
    </row>
    <row r="10" spans="2:3" x14ac:dyDescent="0.35">
      <c r="B10" s="38">
        <v>9</v>
      </c>
      <c r="C10" s="40" t="s">
        <v>296</v>
      </c>
    </row>
    <row r="11" spans="2:3" x14ac:dyDescent="0.35">
      <c r="B11" s="38">
        <v>10</v>
      </c>
      <c r="C11" s="40" t="s">
        <v>297</v>
      </c>
    </row>
    <row r="12" spans="2:3" x14ac:dyDescent="0.35">
      <c r="B12" s="38">
        <v>11</v>
      </c>
      <c r="C12" s="40" t="s">
        <v>298</v>
      </c>
    </row>
    <row r="13" spans="2:3" x14ac:dyDescent="0.35">
      <c r="B13" s="38">
        <v>12</v>
      </c>
      <c r="C13" s="40" t="s">
        <v>299</v>
      </c>
    </row>
    <row r="14" spans="2:3" x14ac:dyDescent="0.35">
      <c r="B14" s="38">
        <v>13</v>
      </c>
      <c r="C14" s="40" t="s">
        <v>300</v>
      </c>
    </row>
    <row r="15" spans="2:3" x14ac:dyDescent="0.35">
      <c r="B15" s="38">
        <v>14</v>
      </c>
      <c r="C15" s="40" t="s">
        <v>290</v>
      </c>
    </row>
    <row r="16" spans="2:3" x14ac:dyDescent="0.35">
      <c r="B16" s="38">
        <v>15</v>
      </c>
      <c r="C16" s="40" t="s">
        <v>302</v>
      </c>
    </row>
    <row r="17" spans="2:3" ht="31.5" customHeight="1" x14ac:dyDescent="0.35">
      <c r="B17" s="43">
        <v>16</v>
      </c>
      <c r="C17" s="45" t="s">
        <v>303</v>
      </c>
    </row>
    <row r="18" spans="2:3" x14ac:dyDescent="0.35">
      <c r="B18" s="44">
        <v>17</v>
      </c>
      <c r="C18" s="45" t="s">
        <v>304</v>
      </c>
    </row>
    <row r="19" spans="2:3" x14ac:dyDescent="0.35">
      <c r="B19" s="43">
        <v>18</v>
      </c>
      <c r="C19" s="38" t="s">
        <v>305</v>
      </c>
    </row>
    <row r="20" spans="2:3" x14ac:dyDescent="0.35">
      <c r="B20" s="44">
        <v>19</v>
      </c>
      <c r="C20" s="38"/>
    </row>
    <row r="21" spans="2:3" x14ac:dyDescent="0.35">
      <c r="B21" s="46">
        <v>20</v>
      </c>
      <c r="C21" s="38"/>
    </row>
    <row r="22" spans="2:3" x14ac:dyDescent="0.35">
      <c r="B22" s="38"/>
      <c r="C22" s="38"/>
    </row>
    <row r="23" spans="2:3" x14ac:dyDescent="0.35">
      <c r="B23" s="38"/>
      <c r="C23" s="38"/>
    </row>
    <row r="24" spans="2:3" x14ac:dyDescent="0.35">
      <c r="B24" s="38"/>
      <c r="C24" s="38"/>
    </row>
    <row r="25" spans="2:3" x14ac:dyDescent="0.35">
      <c r="B25" s="38"/>
      <c r="C25" s="38"/>
    </row>
    <row r="26" spans="2:3" x14ac:dyDescent="0.35">
      <c r="B26" s="38"/>
      <c r="C26" s="38"/>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2025-03-06T06:38:00Z</cp:lastPrinted>
  <dcterms:created xsi:type="dcterms:W3CDTF">2019-07-16T09:29:46Z</dcterms:created>
  <dcterms:modified xsi:type="dcterms:W3CDTF">2025-08-05T10:52:36Z</dcterms:modified>
</cp:coreProperties>
</file>