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5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J89" i="1" l="1"/>
  <c r="J88" i="1"/>
  <c r="J87" i="1"/>
  <c r="J86" i="1"/>
  <c r="H79" i="1"/>
  <c r="J83" i="1" l="1"/>
  <c r="C82" i="1" s="1"/>
  <c r="G82" i="1" s="1"/>
  <c r="J82" i="1"/>
  <c r="D90" i="1"/>
  <c r="E82" i="1"/>
  <c r="D85" i="1"/>
  <c r="D88" i="1"/>
  <c r="D91" i="1"/>
  <c r="D87" i="1"/>
  <c r="D83" i="1"/>
  <c r="D86" i="1"/>
  <c r="D84" i="1"/>
  <c r="J81" i="1"/>
  <c r="D89" i="1"/>
  <c r="J84" i="1"/>
  <c r="J85" i="1" s="1"/>
  <c r="J90" i="1" s="1"/>
  <c r="J91" i="1" s="1"/>
  <c r="J131" i="1"/>
  <c r="J130" i="1"/>
  <c r="J129" i="1"/>
  <c r="J128" i="1"/>
  <c r="J117" i="1"/>
  <c r="J116" i="1"/>
  <c r="J115" i="1"/>
  <c r="J114" i="1"/>
  <c r="H107" i="1"/>
  <c r="H121" i="1"/>
  <c r="D82" i="1" l="1"/>
  <c r="I78" i="1" s="1"/>
  <c r="C80" i="1" s="1"/>
  <c r="J126" i="1"/>
  <c r="J127" i="1" s="1"/>
  <c r="J132" i="1" s="1"/>
  <c r="J133" i="1" s="1"/>
  <c r="J124" i="1"/>
  <c r="D132" i="1"/>
  <c r="D130" i="1"/>
  <c r="D128" i="1"/>
  <c r="D126" i="1"/>
  <c r="J123" i="1"/>
  <c r="J125" i="1"/>
  <c r="C124" i="1" s="1"/>
  <c r="G124" i="1" s="1"/>
  <c r="E124" i="1"/>
  <c r="D133" i="1"/>
  <c r="D131" i="1"/>
  <c r="D129" i="1"/>
  <c r="D127" i="1"/>
  <c r="D125" i="1"/>
  <c r="J111" i="1"/>
  <c r="C110" i="1" s="1"/>
  <c r="G110" i="1" s="1"/>
  <c r="E110" i="1"/>
  <c r="J112" i="1"/>
  <c r="J113" i="1" s="1"/>
  <c r="J118" i="1" s="1"/>
  <c r="J119" i="1" s="1"/>
  <c r="J110" i="1"/>
  <c r="D118" i="1"/>
  <c r="D116" i="1"/>
  <c r="D114" i="1"/>
  <c r="D112" i="1"/>
  <c r="J109" i="1"/>
  <c r="D119" i="1"/>
  <c r="D117" i="1"/>
  <c r="D115" i="1"/>
  <c r="D113" i="1"/>
  <c r="D111" i="1"/>
  <c r="E3" i="1"/>
  <c r="J145" i="1"/>
  <c r="J144" i="1"/>
  <c r="J143" i="1"/>
  <c r="J142" i="1"/>
  <c r="J103" i="1"/>
  <c r="J102" i="1"/>
  <c r="J101" i="1"/>
  <c r="J100" i="1"/>
  <c r="J75" i="1"/>
  <c r="J74" i="1"/>
  <c r="J73" i="1"/>
  <c r="J72" i="1"/>
  <c r="D291" i="1"/>
  <c r="F291" i="1" s="1"/>
  <c r="I291" i="1" s="1"/>
  <c r="D290" i="1"/>
  <c r="F290" i="1" s="1"/>
  <c r="D289" i="1"/>
  <c r="F289" i="1" s="1"/>
  <c r="D288" i="1"/>
  <c r="F288" i="1" s="1"/>
  <c r="D287" i="1"/>
  <c r="F287" i="1" s="1"/>
  <c r="D286" i="1"/>
  <c r="F286" i="1" s="1"/>
  <c r="A287" i="1"/>
  <c r="A288" i="1" s="1"/>
  <c r="A289" i="1" s="1"/>
  <c r="A290" i="1" s="1"/>
  <c r="A291" i="1" s="1"/>
  <c r="G286" i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I279" i="1"/>
  <c r="G279" i="1"/>
  <c r="D226" i="1"/>
  <c r="F226" i="1" s="1"/>
  <c r="D225" i="1"/>
  <c r="F225" i="1" s="1"/>
  <c r="D223" i="1"/>
  <c r="F223" i="1" s="1"/>
  <c r="D224" i="1"/>
  <c r="F224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A218" i="1"/>
  <c r="A219" i="1" s="1"/>
  <c r="A220" i="1" s="1"/>
  <c r="A221" i="1" s="1"/>
  <c r="A222" i="1" s="1"/>
  <c r="A223" i="1" s="1"/>
  <c r="A224" i="1" s="1"/>
  <c r="A225" i="1" s="1"/>
  <c r="A226" i="1" s="1"/>
  <c r="G217" i="1"/>
  <c r="D276" i="1"/>
  <c r="F276" i="1" s="1"/>
  <c r="D275" i="1"/>
  <c r="F275" i="1" s="1"/>
  <c r="D274" i="1"/>
  <c r="F274" i="1" s="1"/>
  <c r="D273" i="1"/>
  <c r="F273" i="1" s="1"/>
  <c r="I273" i="1"/>
  <c r="G273" i="1"/>
  <c r="G271" i="1"/>
  <c r="D271" i="1"/>
  <c r="F271" i="1" s="1"/>
  <c r="D214" i="1"/>
  <c r="F214" i="1" s="1"/>
  <c r="D213" i="1"/>
  <c r="F213" i="1" s="1"/>
  <c r="D212" i="1"/>
  <c r="F212" i="1" s="1"/>
  <c r="D211" i="1"/>
  <c r="F211" i="1" s="1"/>
  <c r="D210" i="1"/>
  <c r="F210" i="1" s="1"/>
  <c r="A211" i="1"/>
  <c r="A212" i="1" s="1"/>
  <c r="A213" i="1" s="1"/>
  <c r="A214" i="1" s="1"/>
  <c r="G210" i="1"/>
  <c r="D268" i="1"/>
  <c r="F268" i="1" s="1"/>
  <c r="D267" i="1"/>
  <c r="F267" i="1" s="1"/>
  <c r="D266" i="1"/>
  <c r="F266" i="1" s="1"/>
  <c r="D265" i="1"/>
  <c r="F265" i="1" s="1"/>
  <c r="I265" i="1"/>
  <c r="G265" i="1"/>
  <c r="D263" i="1"/>
  <c r="F263" i="1" s="1"/>
  <c r="G263" i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A203" i="1"/>
  <c r="A204" i="1" s="1"/>
  <c r="A205" i="1" s="1"/>
  <c r="A206" i="1" s="1"/>
  <c r="A207" i="1" s="1"/>
  <c r="G202" i="1"/>
  <c r="I257" i="1"/>
  <c r="D260" i="1"/>
  <c r="F260" i="1" s="1"/>
  <c r="D259" i="1"/>
  <c r="F259" i="1" s="1"/>
  <c r="D258" i="1"/>
  <c r="F258" i="1" s="1"/>
  <c r="D257" i="1"/>
  <c r="F257" i="1" s="1"/>
  <c r="G257" i="1"/>
  <c r="D199" i="1"/>
  <c r="F199" i="1" s="1"/>
  <c r="D198" i="1"/>
  <c r="F198" i="1" s="1"/>
  <c r="D197" i="1"/>
  <c r="F197" i="1" s="1"/>
  <c r="D196" i="1"/>
  <c r="F196" i="1" s="1"/>
  <c r="D195" i="1"/>
  <c r="D254" i="1"/>
  <c r="F254" i="1" s="1"/>
  <c r="D253" i="1"/>
  <c r="F253" i="1" s="1"/>
  <c r="D252" i="1"/>
  <c r="F252" i="1" s="1"/>
  <c r="D251" i="1"/>
  <c r="F251" i="1" s="1"/>
  <c r="D247" i="1"/>
  <c r="F247" i="1" s="1"/>
  <c r="D248" i="1"/>
  <c r="F248" i="1" s="1"/>
  <c r="D249" i="1"/>
  <c r="F249" i="1" s="1"/>
  <c r="D246" i="1"/>
  <c r="F246" i="1" s="1"/>
  <c r="G251" i="1"/>
  <c r="A247" i="1"/>
  <c r="A248" i="1" s="1"/>
  <c r="A249" i="1" s="1"/>
  <c r="G246" i="1"/>
  <c r="D243" i="1"/>
  <c r="F243" i="1" s="1"/>
  <c r="D242" i="1"/>
  <c r="F242" i="1" s="1"/>
  <c r="D241" i="1"/>
  <c r="F241" i="1" s="1"/>
  <c r="D240" i="1"/>
  <c r="F240" i="1" s="1"/>
  <c r="D239" i="1"/>
  <c r="F239" i="1" s="1"/>
  <c r="I239" i="1" s="1"/>
  <c r="D238" i="1"/>
  <c r="F238" i="1" s="1"/>
  <c r="G238" i="1"/>
  <c r="D236" i="1"/>
  <c r="D235" i="1"/>
  <c r="D234" i="1"/>
  <c r="D233" i="1"/>
  <c r="D232" i="1"/>
  <c r="A196" i="1"/>
  <c r="A197" i="1" s="1"/>
  <c r="A198" i="1" s="1"/>
  <c r="A199" i="1" s="1"/>
  <c r="H65" i="1"/>
  <c r="H93" i="1"/>
  <c r="H135" i="1"/>
  <c r="D124" i="1" l="1"/>
  <c r="I120" i="1" s="1"/>
  <c r="C122" i="1" s="1"/>
  <c r="D110" i="1"/>
  <c r="I106" i="1" s="1"/>
  <c r="C108" i="1" s="1"/>
  <c r="J139" i="1"/>
  <c r="C138" i="1" s="1"/>
  <c r="D138" i="1" s="1"/>
  <c r="J137" i="1"/>
  <c r="D146" i="1"/>
  <c r="J138" i="1"/>
  <c r="D147" i="1"/>
  <c r="D145" i="1"/>
  <c r="D143" i="1"/>
  <c r="D141" i="1"/>
  <c r="D144" i="1"/>
  <c r="D140" i="1"/>
  <c r="J140" i="1"/>
  <c r="J141" i="1" s="1"/>
  <c r="J146" i="1" s="1"/>
  <c r="D142" i="1"/>
  <c r="J97" i="1"/>
  <c r="C96" i="1" s="1"/>
  <c r="G96" i="1" s="1"/>
  <c r="E96" i="1"/>
  <c r="D102" i="1"/>
  <c r="D105" i="1"/>
  <c r="D103" i="1"/>
  <c r="D101" i="1"/>
  <c r="D99" i="1"/>
  <c r="D97" i="1"/>
  <c r="D100" i="1"/>
  <c r="J98" i="1"/>
  <c r="J99" i="1" s="1"/>
  <c r="J104" i="1" s="1"/>
  <c r="J105" i="1" s="1"/>
  <c r="J96" i="1"/>
  <c r="D104" i="1"/>
  <c r="D98" i="1"/>
  <c r="J95" i="1"/>
  <c r="D77" i="1"/>
  <c r="D75" i="1"/>
  <c r="D73" i="1"/>
  <c r="D71" i="1"/>
  <c r="J69" i="1"/>
  <c r="C68" i="1" s="1"/>
  <c r="D68" i="1" s="1"/>
  <c r="J67" i="1"/>
  <c r="J70" i="1"/>
  <c r="J71" i="1" s="1"/>
  <c r="J76" i="1" s="1"/>
  <c r="D76" i="1"/>
  <c r="D74" i="1"/>
  <c r="D72" i="1"/>
  <c r="D70" i="1"/>
  <c r="J68" i="1"/>
  <c r="C173" i="1"/>
  <c r="C176" i="1"/>
  <c r="F195" i="1"/>
  <c r="G173" i="1" s="1"/>
  <c r="G181" i="1"/>
  <c r="E180" i="1"/>
  <c r="G184" i="1"/>
  <c r="G187" i="1"/>
  <c r="G185" i="1"/>
  <c r="G186" i="1"/>
  <c r="F217" i="1"/>
  <c r="G176" i="1" s="1"/>
  <c r="C180" i="1"/>
  <c r="G183" i="1"/>
  <c r="C182" i="1"/>
  <c r="C184" i="1"/>
  <c r="C186" i="1"/>
  <c r="E175" i="1"/>
  <c r="C175" i="1"/>
  <c r="C181" i="1"/>
  <c r="E182" i="1"/>
  <c r="C183" i="1"/>
  <c r="E185" i="1"/>
  <c r="E187" i="1"/>
  <c r="E176" i="1"/>
  <c r="E181" i="1"/>
  <c r="G182" i="1"/>
  <c r="E184" i="1"/>
  <c r="C185" i="1"/>
  <c r="E173" i="1"/>
  <c r="E183" i="1"/>
  <c r="E186" i="1"/>
  <c r="C187" i="1"/>
  <c r="E174" i="1"/>
  <c r="C174" i="1"/>
  <c r="G174" i="1"/>
  <c r="G175" i="1"/>
  <c r="G170" i="1"/>
  <c r="D96" i="1" l="1"/>
  <c r="I92" i="1" s="1"/>
  <c r="C94" i="1" s="1"/>
  <c r="G138" i="1"/>
  <c r="J147" i="1"/>
  <c r="E68" i="1"/>
  <c r="D62" i="1" s="1"/>
  <c r="D63" i="1" s="1"/>
  <c r="J77" i="1"/>
  <c r="C177" i="1"/>
  <c r="E188" i="1"/>
  <c r="E177" i="1"/>
  <c r="C188" i="1"/>
  <c r="G177" i="1"/>
  <c r="B294" i="1"/>
  <c r="E138" i="1" l="1"/>
  <c r="I134" i="1" s="1"/>
  <c r="C136" i="1" s="1"/>
  <c r="D139" i="1"/>
  <c r="G68" i="1"/>
  <c r="I64" i="1"/>
  <c r="D69" i="1"/>
  <c r="C14" i="1"/>
  <c r="E28" i="1" l="1"/>
  <c r="F236" i="1" l="1"/>
  <c r="F235" i="1"/>
  <c r="F233" i="1"/>
  <c r="F232" i="1"/>
  <c r="F234" i="1"/>
  <c r="G180" i="1" l="1"/>
  <c r="G188" i="1" s="1"/>
  <c r="B29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5" i="1"/>
  <c r="G232" i="1"/>
  <c r="A233" i="1"/>
  <c r="A234" i="1" s="1"/>
  <c r="A235" i="1" s="1"/>
  <c r="A236" i="1" s="1"/>
  <c r="G195" i="1"/>
  <c r="F170" i="1"/>
  <c r="J159" i="1"/>
  <c r="J158" i="1"/>
  <c r="J157" i="1"/>
  <c r="J156" i="1"/>
  <c r="D53" i="1"/>
  <c r="G48" i="1"/>
  <c r="C48" i="1"/>
  <c r="E41" i="1"/>
  <c r="E42" i="1" s="1"/>
  <c r="E25" i="1"/>
  <c r="E23" i="1"/>
  <c r="E7" i="1"/>
  <c r="H149" i="1"/>
  <c r="J152" i="1" l="1"/>
  <c r="D161" i="1"/>
  <c r="D159" i="1"/>
  <c r="D157" i="1"/>
  <c r="D155" i="1"/>
  <c r="J153" i="1"/>
  <c r="C152" i="1" s="1"/>
  <c r="J151" i="1"/>
  <c r="J154" i="1"/>
  <c r="D160" i="1"/>
  <c r="D156" i="1"/>
  <c r="D158" i="1"/>
  <c r="D154" i="1"/>
  <c r="J155" i="1" l="1"/>
  <c r="J160" i="1" s="1"/>
  <c r="D152" i="1"/>
  <c r="J161" i="1" l="1"/>
  <c r="E152" i="1"/>
  <c r="I148" i="1" l="1"/>
  <c r="C150" i="1" s="1"/>
  <c r="G152" i="1"/>
  <c r="D153" i="1"/>
  <c r="F63" i="1" l="1"/>
</calcChain>
</file>

<file path=xl/sharedStrings.xml><?xml version="1.0" encoding="utf-8"?>
<sst xmlns="http://schemas.openxmlformats.org/spreadsheetml/2006/main" count="665" uniqueCount="241">
  <si>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</si>
  <si>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</si>
  <si>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</si>
  <si>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</si>
  <si>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</si>
  <si>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</si>
  <si>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</si>
  <si>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</si>
  <si>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</si>
  <si>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</si>
  <si>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</si>
  <si>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</si>
  <si>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</si>
  <si>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</si>
  <si>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</si>
  <si>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</si>
  <si>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</si>
  <si>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</si>
  <si>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</si>
  <si>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</si>
  <si>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</si>
  <si>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</si>
  <si>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</si>
  <si>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</si>
  <si>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</si>
  <si>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</si>
  <si>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</si>
  <si>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</si>
  <si>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</si>
  <si>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</si>
  <si>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</si>
  <si>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</si>
  <si>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</si>
  <si>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</si>
  <si>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</si>
  <si>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</si>
  <si>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</si>
  <si>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</si>
  <si>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</si>
  <si>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</si>
  <si>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</si>
  <si>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</si>
  <si>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</si>
  <si>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</si>
  <si>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</si>
  <si>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</si>
  <si>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</si>
  <si>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</si>
  <si>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</si>
  <si>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</si>
  <si>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</si>
  <si>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</si>
  <si>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</si>
  <si>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</si>
  <si>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</si>
  <si>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</si>
  <si>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</si>
  <si>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</si>
  <si>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</si>
  <si>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</si>
  <si>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</si>
  <si>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</si>
  <si>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</si>
  <si>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</si>
  <si>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</si>
  <si>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</si>
  <si>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</si>
  <si>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</si>
  <si>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</si>
  <si>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</si>
  <si>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</si>
  <si>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</si>
  <si>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</si>
  <si>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</si>
  <si>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</si>
  <si>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</si>
  <si>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</si>
  <si>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</si>
  <si>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</si>
  <si>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</si>
  <si>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</si>
  <si>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</si>
  <si>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</si>
  <si>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</si>
  <si>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</si>
  <si>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</si>
  <si>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</si>
  <si>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</si>
  <si>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</si>
  <si>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</si>
  <si>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</si>
  <si>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</si>
  <si>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</si>
  <si>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</si>
  <si>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</si>
  <si>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</si>
  <si>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</si>
  <si>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</si>
  <si>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</si>
  <si>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</si>
  <si>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Legal Services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</si>
  <si>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</si>
  <si>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</si>
  <si>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</si>
  <si>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</si>
  <si>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</si>
  <si>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</si>
  <si>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</si>
  <si>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</si>
  <si>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</si>
  <si>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</si>
  <si>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</si>
  <si>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</si>
  <si>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</si>
  <si>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</si>
  <si>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</si>
  <si>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</si>
  <si>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</si>
  <si>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</si>
  <si>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</si>
  <si>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</si>
  <si>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</si>
  <si>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</si>
  <si>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</si>
  <si>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</si>
  <si>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</si>
  <si>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</si>
  <si>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</si>
  <si>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</si>
  <si>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</si>
  <si>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</si>
  <si>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</si>
  <si>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</si>
  <si>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</si>
  <si>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</si>
  <si>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</si>
  <si>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</si>
  <si>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</si>
  <si>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</si>
  <si>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</si>
  <si>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</si>
  <si>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</si>
  <si>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</si>
  <si>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</si>
  <si>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</si>
  <si>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</si>
  <si>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</si>
  <si>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</si>
  <si>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</si>
  <si>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</si>
  <si>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</si>
  <si>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</si>
  <si>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</si>
  <si>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</si>
  <si>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</si>
  <si>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</si>
  <si>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</si>
  <si>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</si>
  <si>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</si>
  <si>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</si>
  <si>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</si>
  <si>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</si>
  <si>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Axis Sanpada</t>
  </si>
  <si>
    <t>M/s. Siteman Home</t>
  </si>
  <si>
    <t>Swapnalok</t>
  </si>
  <si>
    <t>08 Buildings</t>
  </si>
  <si>
    <t xml:space="preserve">P51700032473
</t>
  </si>
  <si>
    <t>Survey No</t>
  </si>
  <si>
    <t>Bhadwad</t>
  </si>
  <si>
    <t>Bhiwandi</t>
  </si>
  <si>
    <t>Thane</t>
  </si>
  <si>
    <t>MHADA</t>
  </si>
  <si>
    <t>Ground Floor for Residential</t>
  </si>
  <si>
    <t>1BHK</t>
  </si>
  <si>
    <t>EWS</t>
  </si>
  <si>
    <t>1st to 7th Floor</t>
  </si>
  <si>
    <t>1st to 6th Floor</t>
  </si>
  <si>
    <t>Building No - 1</t>
  </si>
  <si>
    <t>Building No - 2, 3, 4</t>
  </si>
  <si>
    <t>Building No - 5</t>
  </si>
  <si>
    <t>Shop</t>
  </si>
  <si>
    <t>LIG</t>
  </si>
  <si>
    <t>2BHK</t>
  </si>
  <si>
    <t>Ground Floor for Commercial &amp; Parking</t>
  </si>
  <si>
    <t>Building No - 6</t>
  </si>
  <si>
    <t xml:space="preserve">Ground Floor </t>
  </si>
  <si>
    <t>Building No - 7</t>
  </si>
  <si>
    <t>Building No - 8</t>
  </si>
  <si>
    <t>7th Floor</t>
  </si>
  <si>
    <t>Building No 1</t>
  </si>
  <si>
    <t>Building No 2</t>
  </si>
  <si>
    <t>Building No 3</t>
  </si>
  <si>
    <t>Building No 4</t>
  </si>
  <si>
    <t>Building No 5</t>
  </si>
  <si>
    <t>Building No 6</t>
  </si>
  <si>
    <t>Building No 7</t>
  </si>
  <si>
    <t>Building No 8</t>
  </si>
  <si>
    <t>Flats - 271, Shops - 26</t>
  </si>
  <si>
    <t>Royal Flora Shri Aadinath Realty</t>
  </si>
  <si>
    <t>Sonale-Bapgaon Rd</t>
  </si>
  <si>
    <t>Laabh Pehla Ghar</t>
  </si>
  <si>
    <t>Open Plot</t>
  </si>
  <si>
    <t>5.1 KM from Bhiwandi Railway Station</t>
  </si>
  <si>
    <t>11/2.</t>
  </si>
  <si>
    <t>Approved Plans, CC, Cost Sheet</t>
  </si>
  <si>
    <t>Meter Charges</t>
  </si>
  <si>
    <t>Conv.</t>
  </si>
  <si>
    <t>Building No 1 to 8 = G + 1st to 7th Floor</t>
  </si>
  <si>
    <t>EE/BP/PMAY/A/MHADA/364/2021</t>
  </si>
  <si>
    <t>4000 to 5000</t>
  </si>
  <si>
    <t>Cost sheet</t>
  </si>
  <si>
    <t>Abhishek</t>
  </si>
  <si>
    <t>Development Charges, Meter Charges &amp; Maintenance Charges</t>
  </si>
  <si>
    <t>250000 other charges</t>
  </si>
  <si>
    <t>Building No.1 to 8 = G + 1st to 7th Floor</t>
  </si>
  <si>
    <t xml:space="preserve">1.Vitrified tiles flooring 2. Granite Kitchen Platform  3. Decorative Enternace  etc. 
</t>
  </si>
  <si>
    <t xml:space="preserve">Building No 1 to 8 </t>
  </si>
  <si>
    <t>Location Link</t>
  </si>
  <si>
    <t>https://goo.gl/maps/NnorkK5JbXimo6FC8?coh=178572&amp;entry=tt</t>
  </si>
  <si>
    <t>Building No.5 &amp; 6 = G + 1st to 7th Floor</t>
  </si>
  <si>
    <t xml:space="preserve">Office No. 1031, Wing J, Akshar Business Park, Plot No. 03 Sector 25, Near APMC Market, 
Vashi, Navi Mumbai, Maharashtra 400703 TEL: 022-46090378/79/80                                                                                                                          E mail : vsjcapf@gmail.com. Web site : www.vsjadon.com
</t>
  </si>
  <si>
    <t>Site Meet Person Contact Details ( Name &amp; Contact No.)</t>
  </si>
  <si>
    <t>Chandu 7798735501</t>
  </si>
  <si>
    <t>Building No.8  = G + 1st to 7th Floor</t>
  </si>
  <si>
    <t>Chandu 8208280062</t>
  </si>
  <si>
    <t>Latitude,Longitude</t>
  </si>
  <si>
    <t>19.2878009,73.085131</t>
  </si>
  <si>
    <t>Building No. 2 = G + 1st to 7th Floor</t>
  </si>
  <si>
    <t>Mangesh Bapardekar</t>
  </si>
  <si>
    <t>E.E/BP/PMAY/A/MHADA/53/2022</t>
  </si>
  <si>
    <t xml:space="preserve">Commencement Certificate No.
Valid Up to: </t>
  </si>
  <si>
    <t>This further C.C. is granted under saction 45 of MRTP act 1966 for the 8 Bldg upto Gr. + 7th Floor having height 23.80m, for Bldg 1 to 4 &amp; 23.95m for Bldg No. 5 to 8 comprising 175 EWS + 96 LIG &amp; 26 Conv. Shops as per approved plans issued by this office vide letter No. EE/BP/PMAY/MHADA/364/2021 Dtd. 12/10/2021.</t>
  </si>
  <si>
    <t>We have refered &amp; updated revised approved C.C from RERA (On 18/04/2024).</t>
  </si>
  <si>
    <t>Building No.7 &amp; 8 = G + 1st to 7th Floor</t>
  </si>
  <si>
    <t>Building No. 4  = G + 1st to 7th Floor</t>
  </si>
  <si>
    <t>Building No.3 = G + 1st to 7th Floor</t>
  </si>
  <si>
    <t>We have updated OC (On 04/01/2025).</t>
  </si>
  <si>
    <t>EE/BP/PMAY/A/MHADA/744/2024
Approved upto : 
Building 1 to 8 = Gr + 1st to 7th Floor (271 Tenements &amp; 26 Conv)</t>
  </si>
  <si>
    <t>Completed</t>
  </si>
  <si>
    <t>Pooja</t>
  </si>
  <si>
    <t>60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</si>
</sst>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0" xfId="1" applyFont="1" applyFill="1"/>
    <xf numFmtId="14" fontId="7" fillId="3" borderId="0" xfId="1" applyNumberFormat="1" applyFont="1" applyFill="1"/>
    <xf numFmtId="1" fontId="7" fillId="0" borderId="1" xfId="1" applyNumberFormat="1" applyFont="1" applyBorder="1" applyAlignment="1" applyProtection="1">
      <alignment horizont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4" fillId="0" borderId="1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8" fillId="0" borderId="23" xfId="1" applyFont="1" applyBorder="1" applyAlignment="1" applyProtection="1">
      <alignment horizontal="center" vertical="top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6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12" fillId="2" borderId="1" xfId="9" applyNumberFormat="1" applyFont="1" applyFill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8" fontId="13" fillId="2" borderId="1" xfId="9" applyNumberFormat="1" applyFont="1" applyFill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375</xdr:row>
      <xdr:rowOff>152925</xdr:rowOff>
    </xdr:from>
    <xdr:to>
      <xdr:col>7</xdr:col>
      <xdr:colOff>409222</xdr:colOff>
      <xdr:row>391</xdr:row>
      <xdr:rowOff>12525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62608350"/>
          <a:ext cx="6076597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447675</xdr:colOff>
      <xdr:row>359</xdr:row>
      <xdr:rowOff>9525</xdr:rowOff>
    </xdr:from>
    <xdr:to>
      <xdr:col>7</xdr:col>
      <xdr:colOff>409222</xdr:colOff>
      <xdr:row>374</xdr:row>
      <xdr:rowOff>69150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59264550"/>
          <a:ext cx="6076597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295275</xdr:colOff>
      <xdr:row>315</xdr:row>
      <xdr:rowOff>123825</xdr:rowOff>
    </xdr:from>
    <xdr:ext cx="256160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819900" y="60940950"/>
          <a:ext cx="25616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oneCellAnchor>
  <xdr:oneCellAnchor>
    <xdr:from>
      <xdr:col>8</xdr:col>
      <xdr:colOff>712999</xdr:colOff>
      <xdr:row>315</xdr:row>
      <xdr:rowOff>133350</xdr:rowOff>
    </xdr:from>
    <xdr:ext cx="256160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7237624" y="60950475"/>
          <a:ext cx="25616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oneCellAnchor>
  <xdr:oneCellAnchor>
    <xdr:from>
      <xdr:col>8</xdr:col>
      <xdr:colOff>1156123</xdr:colOff>
      <xdr:row>315</xdr:row>
      <xdr:rowOff>133350</xdr:rowOff>
    </xdr:from>
    <xdr:ext cx="256160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7680748" y="60950475"/>
          <a:ext cx="25616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oneCellAnchor>
  <xdr:oneCellAnchor>
    <xdr:from>
      <xdr:col>9</xdr:col>
      <xdr:colOff>364172</xdr:colOff>
      <xdr:row>315</xdr:row>
      <xdr:rowOff>66675</xdr:rowOff>
    </xdr:from>
    <xdr:ext cx="256160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50847" y="60883800"/>
          <a:ext cx="25616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oneCellAnchor>
  <xdr:oneCellAnchor>
    <xdr:from>
      <xdr:col>8</xdr:col>
      <xdr:colOff>295275</xdr:colOff>
      <xdr:row>326</xdr:row>
      <xdr:rowOff>142268</xdr:rowOff>
    </xdr:from>
    <xdr:ext cx="256160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819900" y="63150143"/>
          <a:ext cx="25616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oneCellAnchor>
  <xdr:oneCellAnchor>
    <xdr:from>
      <xdr:col>8</xdr:col>
      <xdr:colOff>712999</xdr:colOff>
      <xdr:row>326</xdr:row>
      <xdr:rowOff>151793</xdr:rowOff>
    </xdr:from>
    <xdr:ext cx="256160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237624" y="63159668"/>
          <a:ext cx="25616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</a:t>
          </a:r>
        </a:p>
      </xdr:txBody>
    </xdr:sp>
    <xdr:clientData/>
  </xdr:oneCellAnchor>
  <xdr:oneCellAnchor>
    <xdr:from>
      <xdr:col>8</xdr:col>
      <xdr:colOff>1156123</xdr:colOff>
      <xdr:row>326</xdr:row>
      <xdr:rowOff>151793</xdr:rowOff>
    </xdr:from>
    <xdr:ext cx="256160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680748" y="63159668"/>
          <a:ext cx="25616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</a:t>
          </a:r>
        </a:p>
      </xdr:txBody>
    </xdr:sp>
    <xdr:clientData/>
  </xdr:oneCellAnchor>
  <xdr:oneCellAnchor>
    <xdr:from>
      <xdr:col>9</xdr:col>
      <xdr:colOff>364172</xdr:colOff>
      <xdr:row>326</xdr:row>
      <xdr:rowOff>85118</xdr:rowOff>
    </xdr:from>
    <xdr:ext cx="256160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050847" y="63092993"/>
          <a:ext cx="256160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</a:t>
          </a:r>
        </a:p>
      </xdr:txBody>
    </xdr:sp>
    <xdr:clientData/>
  </xdr:oneCellAnchor>
  <xdr:twoCellAnchor editAs="oneCell">
    <xdr:from>
      <xdr:col>8</xdr:col>
      <xdr:colOff>697230</xdr:colOff>
      <xdr:row>45</xdr:row>
      <xdr:rowOff>43815</xdr:rowOff>
    </xdr:from>
    <xdr:to>
      <xdr:col>15</xdr:col>
      <xdr:colOff>744141</xdr:colOff>
      <xdr:row>49</xdr:row>
      <xdr:rowOff>634163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3310" y="9805035"/>
          <a:ext cx="5860971" cy="1611428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46</xdr:row>
      <xdr:rowOff>57150</xdr:rowOff>
    </xdr:from>
    <xdr:to>
      <xdr:col>11</xdr:col>
      <xdr:colOff>418767</xdr:colOff>
      <xdr:row>48</xdr:row>
      <xdr:rowOff>171386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5625" y="10334625"/>
          <a:ext cx="2666667" cy="514286"/>
        </a:xfrm>
        <a:prstGeom prst="rect">
          <a:avLst/>
        </a:prstGeom>
      </xdr:spPr>
    </xdr:pic>
    <xdr:clientData/>
  </xdr:twoCellAnchor>
  <xdr:twoCellAnchor editAs="oneCell">
    <xdr:from>
      <xdr:col>8</xdr:col>
      <xdr:colOff>792480</xdr:colOff>
      <xdr:row>49</xdr:row>
      <xdr:rowOff>769620</xdr:rowOff>
    </xdr:from>
    <xdr:to>
      <xdr:col>13</xdr:col>
      <xdr:colOff>110040</xdr:colOff>
      <xdr:row>56</xdr:row>
      <xdr:rowOff>127708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888CC3-9192-FB75-47B8-01B5F873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28560" y="11551920"/>
          <a:ext cx="3600000" cy="2139388"/>
        </a:xfrm>
        <a:prstGeom prst="rect">
          <a:avLst/>
        </a:prstGeom>
      </xdr:spPr>
    </xdr:pic>
    <xdr:clientData/>
  </xdr:twoCellAnchor>
  <xdr:twoCellAnchor>
    <xdr:from>
      <xdr:col>8</xdr:col>
      <xdr:colOff>279400</xdr:colOff>
      <xdr:row>313</xdr:row>
      <xdr:rowOff>171450</xdr:rowOff>
    </xdr:from>
    <xdr:to>
      <xdr:col>16</xdr:col>
      <xdr:colOff>3382</xdr:colOff>
      <xdr:row>354</xdr:row>
      <xdr:rowOff>171450</xdr:rowOff>
    </xdr:to>
    <xdr:grpSp>
      <xdr:nvGrpSpPr>
        <xdr:cNvPr id="28" name="Group 27"/>
        <xdr:cNvGrpSpPr/>
      </xdr:nvGrpSpPr>
      <xdr:grpSpPr>
        <a:xfrm>
          <a:off x="7112000" y="48571150"/>
          <a:ext cx="6448632" cy="8064500"/>
          <a:chOff x="158750" y="48863250"/>
          <a:chExt cx="6448632" cy="8064500"/>
        </a:xfrm>
      </xdr:grpSpPr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0030" y="55218139"/>
            <a:ext cx="1510425" cy="170961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4886325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4819" y="4886325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0888" y="4886325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6957" y="4886325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2390" y="5309566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5097945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4818" y="5097945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6957" y="50973193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72595" y="5309566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0886" y="50973193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6744" y="53095666"/>
            <a:ext cx="2685866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120650</xdr:colOff>
      <xdr:row>315</xdr:row>
      <xdr:rowOff>88900</xdr:rowOff>
    </xdr:from>
    <xdr:to>
      <xdr:col>7</xdr:col>
      <xdr:colOff>732236</xdr:colOff>
      <xdr:row>355</xdr:row>
      <xdr:rowOff>152400</xdr:rowOff>
    </xdr:to>
    <xdr:grpSp>
      <xdr:nvGrpSpPr>
        <xdr:cNvPr id="7" name="Group 6"/>
        <xdr:cNvGrpSpPr/>
      </xdr:nvGrpSpPr>
      <xdr:grpSpPr>
        <a:xfrm>
          <a:off x="120650" y="48882300"/>
          <a:ext cx="6574236" cy="7931150"/>
          <a:chOff x="120650" y="48882300"/>
          <a:chExt cx="6574236" cy="7931150"/>
        </a:xfrm>
      </xdr:grpSpPr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36994" y="55418568"/>
            <a:ext cx="1348594" cy="13948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8401" y="53239812"/>
            <a:ext cx="2733828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1" y="488823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9597" y="488823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8543" y="488823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7489" y="488823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5106105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9597" y="5106105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8543" y="5106105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7488" y="5106105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507" y="5323981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6851" y="55418568"/>
            <a:ext cx="1348594" cy="13948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9455" y="5323981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100348</xdr:colOff>
      <xdr:row>52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norkK5JbXimo6FC8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58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36328125" defaultRowHeight="15.5" x14ac:dyDescent="0.35"/>
  <cols>
    <col min="1" max="1" width="11.453125" style="11" customWidth="1"/>
    <col min="2" max="2" width="12" style="11" customWidth="1"/>
    <col min="3" max="3" width="12.6328125" style="11" customWidth="1"/>
    <col min="4" max="4" width="14.36328125" style="11" customWidth="1"/>
    <col min="5" max="7" width="11.63281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1.36328125" style="3" bestFit="1" customWidth="1"/>
    <col min="13" max="13" width="11.6328125" style="3" customWidth="1"/>
    <col min="14" max="14" width="12.54296875" style="3" customWidth="1"/>
    <col min="15" max="15" width="9.6328125" style="3" customWidth="1"/>
    <col min="16" max="16" width="11.6328125" style="3" customWidth="1"/>
    <col min="17" max="247" width="9.36328125" style="3"/>
    <col min="248" max="248" width="8.6328125" style="3" customWidth="1"/>
    <col min="249" max="249" width="9.6328125" style="3" customWidth="1"/>
    <col min="250" max="250" width="14.453125" style="3" customWidth="1"/>
    <col min="251" max="251" width="7.36328125" style="3" customWidth="1"/>
    <col min="252" max="252" width="5.54296875" style="3" customWidth="1"/>
    <col min="253" max="253" width="9" style="3" customWidth="1"/>
    <col min="254" max="255" width="9.6328125" style="3" customWidth="1"/>
    <col min="256" max="256" width="11.36328125" style="3" customWidth="1"/>
    <col min="257" max="257" width="2.6328125" style="3" customWidth="1"/>
    <col min="258" max="258" width="3.54296875" style="3" customWidth="1"/>
    <col min="259" max="503" width="9.36328125" style="3"/>
    <col min="504" max="504" width="8.6328125" style="3" customWidth="1"/>
    <col min="505" max="505" width="9.6328125" style="3" customWidth="1"/>
    <col min="506" max="506" width="14.453125" style="3" customWidth="1"/>
    <col min="507" max="507" width="7.36328125" style="3" customWidth="1"/>
    <col min="508" max="508" width="5.54296875" style="3" customWidth="1"/>
    <col min="509" max="509" width="9" style="3" customWidth="1"/>
    <col min="510" max="511" width="9.6328125" style="3" customWidth="1"/>
    <col min="512" max="512" width="11.36328125" style="3" customWidth="1"/>
    <col min="513" max="513" width="2.6328125" style="3" customWidth="1"/>
    <col min="514" max="514" width="3.54296875" style="3" customWidth="1"/>
    <col min="515" max="759" width="9.36328125" style="3"/>
    <col min="760" max="760" width="8.6328125" style="3" customWidth="1"/>
    <col min="761" max="761" width="9.6328125" style="3" customWidth="1"/>
    <col min="762" max="762" width="14.453125" style="3" customWidth="1"/>
    <col min="763" max="763" width="7.36328125" style="3" customWidth="1"/>
    <col min="764" max="764" width="5.54296875" style="3" customWidth="1"/>
    <col min="765" max="765" width="9" style="3" customWidth="1"/>
    <col min="766" max="767" width="9.6328125" style="3" customWidth="1"/>
    <col min="768" max="768" width="11.36328125" style="3" customWidth="1"/>
    <col min="769" max="769" width="2.6328125" style="3" customWidth="1"/>
    <col min="770" max="770" width="3.54296875" style="3" customWidth="1"/>
    <col min="771" max="1015" width="9.36328125" style="3"/>
    <col min="1016" max="1016" width="8.6328125" style="3" customWidth="1"/>
    <col min="1017" max="1017" width="9.6328125" style="3" customWidth="1"/>
    <col min="1018" max="1018" width="14.453125" style="3" customWidth="1"/>
    <col min="1019" max="1019" width="7.36328125" style="3" customWidth="1"/>
    <col min="1020" max="1020" width="5.54296875" style="3" customWidth="1"/>
    <col min="1021" max="1021" width="9" style="3" customWidth="1"/>
    <col min="1022" max="1023" width="9.6328125" style="3" customWidth="1"/>
    <col min="1024" max="1024" width="11.36328125" style="3" customWidth="1"/>
    <col min="1025" max="1025" width="2.6328125" style="3" customWidth="1"/>
    <col min="1026" max="1026" width="3.54296875" style="3" customWidth="1"/>
    <col min="1027" max="1271" width="9.36328125" style="3"/>
    <col min="1272" max="1272" width="8.6328125" style="3" customWidth="1"/>
    <col min="1273" max="1273" width="9.6328125" style="3" customWidth="1"/>
    <col min="1274" max="1274" width="14.453125" style="3" customWidth="1"/>
    <col min="1275" max="1275" width="7.36328125" style="3" customWidth="1"/>
    <col min="1276" max="1276" width="5.54296875" style="3" customWidth="1"/>
    <col min="1277" max="1277" width="9" style="3" customWidth="1"/>
    <col min="1278" max="1279" width="9.6328125" style="3" customWidth="1"/>
    <col min="1280" max="1280" width="11.36328125" style="3" customWidth="1"/>
    <col min="1281" max="1281" width="2.6328125" style="3" customWidth="1"/>
    <col min="1282" max="1282" width="3.54296875" style="3" customWidth="1"/>
    <col min="1283" max="1527" width="9.36328125" style="3"/>
    <col min="1528" max="1528" width="8.6328125" style="3" customWidth="1"/>
    <col min="1529" max="1529" width="9.6328125" style="3" customWidth="1"/>
    <col min="1530" max="1530" width="14.453125" style="3" customWidth="1"/>
    <col min="1531" max="1531" width="7.36328125" style="3" customWidth="1"/>
    <col min="1532" max="1532" width="5.54296875" style="3" customWidth="1"/>
    <col min="1533" max="1533" width="9" style="3" customWidth="1"/>
    <col min="1534" max="1535" width="9.6328125" style="3" customWidth="1"/>
    <col min="1536" max="1536" width="11.36328125" style="3" customWidth="1"/>
    <col min="1537" max="1537" width="2.6328125" style="3" customWidth="1"/>
    <col min="1538" max="1538" width="3.54296875" style="3" customWidth="1"/>
    <col min="1539" max="1783" width="9.36328125" style="3"/>
    <col min="1784" max="1784" width="8.6328125" style="3" customWidth="1"/>
    <col min="1785" max="1785" width="9.6328125" style="3" customWidth="1"/>
    <col min="1786" max="1786" width="14.453125" style="3" customWidth="1"/>
    <col min="1787" max="1787" width="7.36328125" style="3" customWidth="1"/>
    <col min="1788" max="1788" width="5.54296875" style="3" customWidth="1"/>
    <col min="1789" max="1789" width="9" style="3" customWidth="1"/>
    <col min="1790" max="1791" width="9.6328125" style="3" customWidth="1"/>
    <col min="1792" max="1792" width="11.36328125" style="3" customWidth="1"/>
    <col min="1793" max="1793" width="2.6328125" style="3" customWidth="1"/>
    <col min="1794" max="1794" width="3.54296875" style="3" customWidth="1"/>
    <col min="1795" max="2039" width="9.36328125" style="3"/>
    <col min="2040" max="2040" width="8.6328125" style="3" customWidth="1"/>
    <col min="2041" max="2041" width="9.6328125" style="3" customWidth="1"/>
    <col min="2042" max="2042" width="14.453125" style="3" customWidth="1"/>
    <col min="2043" max="2043" width="7.36328125" style="3" customWidth="1"/>
    <col min="2044" max="2044" width="5.54296875" style="3" customWidth="1"/>
    <col min="2045" max="2045" width="9" style="3" customWidth="1"/>
    <col min="2046" max="2047" width="9.6328125" style="3" customWidth="1"/>
    <col min="2048" max="2048" width="11.36328125" style="3" customWidth="1"/>
    <col min="2049" max="2049" width="2.6328125" style="3" customWidth="1"/>
    <col min="2050" max="2050" width="3.54296875" style="3" customWidth="1"/>
    <col min="2051" max="2295" width="9.36328125" style="3"/>
    <col min="2296" max="2296" width="8.6328125" style="3" customWidth="1"/>
    <col min="2297" max="2297" width="9.6328125" style="3" customWidth="1"/>
    <col min="2298" max="2298" width="14.453125" style="3" customWidth="1"/>
    <col min="2299" max="2299" width="7.36328125" style="3" customWidth="1"/>
    <col min="2300" max="2300" width="5.54296875" style="3" customWidth="1"/>
    <col min="2301" max="2301" width="9" style="3" customWidth="1"/>
    <col min="2302" max="2303" width="9.6328125" style="3" customWidth="1"/>
    <col min="2304" max="2304" width="11.36328125" style="3" customWidth="1"/>
    <col min="2305" max="2305" width="2.6328125" style="3" customWidth="1"/>
    <col min="2306" max="2306" width="3.54296875" style="3" customWidth="1"/>
    <col min="2307" max="2551" width="9.36328125" style="3"/>
    <col min="2552" max="2552" width="8.6328125" style="3" customWidth="1"/>
    <col min="2553" max="2553" width="9.6328125" style="3" customWidth="1"/>
    <col min="2554" max="2554" width="14.453125" style="3" customWidth="1"/>
    <col min="2555" max="2555" width="7.36328125" style="3" customWidth="1"/>
    <col min="2556" max="2556" width="5.54296875" style="3" customWidth="1"/>
    <col min="2557" max="2557" width="9" style="3" customWidth="1"/>
    <col min="2558" max="2559" width="9.6328125" style="3" customWidth="1"/>
    <col min="2560" max="2560" width="11.36328125" style="3" customWidth="1"/>
    <col min="2561" max="2561" width="2.6328125" style="3" customWidth="1"/>
    <col min="2562" max="2562" width="3.54296875" style="3" customWidth="1"/>
    <col min="2563" max="2807" width="9.36328125" style="3"/>
    <col min="2808" max="2808" width="8.6328125" style="3" customWidth="1"/>
    <col min="2809" max="2809" width="9.6328125" style="3" customWidth="1"/>
    <col min="2810" max="2810" width="14.453125" style="3" customWidth="1"/>
    <col min="2811" max="2811" width="7.36328125" style="3" customWidth="1"/>
    <col min="2812" max="2812" width="5.54296875" style="3" customWidth="1"/>
    <col min="2813" max="2813" width="9" style="3" customWidth="1"/>
    <col min="2814" max="2815" width="9.6328125" style="3" customWidth="1"/>
    <col min="2816" max="2816" width="11.36328125" style="3" customWidth="1"/>
    <col min="2817" max="2817" width="2.6328125" style="3" customWidth="1"/>
    <col min="2818" max="2818" width="3.54296875" style="3" customWidth="1"/>
    <col min="2819" max="3063" width="9.36328125" style="3"/>
    <col min="3064" max="3064" width="8.6328125" style="3" customWidth="1"/>
    <col min="3065" max="3065" width="9.6328125" style="3" customWidth="1"/>
    <col min="3066" max="3066" width="14.453125" style="3" customWidth="1"/>
    <col min="3067" max="3067" width="7.36328125" style="3" customWidth="1"/>
    <col min="3068" max="3068" width="5.54296875" style="3" customWidth="1"/>
    <col min="3069" max="3069" width="9" style="3" customWidth="1"/>
    <col min="3070" max="3071" width="9.6328125" style="3" customWidth="1"/>
    <col min="3072" max="3072" width="11.36328125" style="3" customWidth="1"/>
    <col min="3073" max="3073" width="2.6328125" style="3" customWidth="1"/>
    <col min="3074" max="3074" width="3.54296875" style="3" customWidth="1"/>
    <col min="3075" max="3319" width="9.36328125" style="3"/>
    <col min="3320" max="3320" width="8.6328125" style="3" customWidth="1"/>
    <col min="3321" max="3321" width="9.6328125" style="3" customWidth="1"/>
    <col min="3322" max="3322" width="14.453125" style="3" customWidth="1"/>
    <col min="3323" max="3323" width="7.36328125" style="3" customWidth="1"/>
    <col min="3324" max="3324" width="5.54296875" style="3" customWidth="1"/>
    <col min="3325" max="3325" width="9" style="3" customWidth="1"/>
    <col min="3326" max="3327" width="9.6328125" style="3" customWidth="1"/>
    <col min="3328" max="3328" width="11.36328125" style="3" customWidth="1"/>
    <col min="3329" max="3329" width="2.6328125" style="3" customWidth="1"/>
    <col min="3330" max="3330" width="3.54296875" style="3" customWidth="1"/>
    <col min="3331" max="3575" width="9.36328125" style="3"/>
    <col min="3576" max="3576" width="8.6328125" style="3" customWidth="1"/>
    <col min="3577" max="3577" width="9.6328125" style="3" customWidth="1"/>
    <col min="3578" max="3578" width="14.453125" style="3" customWidth="1"/>
    <col min="3579" max="3579" width="7.36328125" style="3" customWidth="1"/>
    <col min="3580" max="3580" width="5.54296875" style="3" customWidth="1"/>
    <col min="3581" max="3581" width="9" style="3" customWidth="1"/>
    <col min="3582" max="3583" width="9.6328125" style="3" customWidth="1"/>
    <col min="3584" max="3584" width="11.36328125" style="3" customWidth="1"/>
    <col min="3585" max="3585" width="2.6328125" style="3" customWidth="1"/>
    <col min="3586" max="3586" width="3.54296875" style="3" customWidth="1"/>
    <col min="3587" max="3831" width="9.36328125" style="3"/>
    <col min="3832" max="3832" width="8.6328125" style="3" customWidth="1"/>
    <col min="3833" max="3833" width="9.6328125" style="3" customWidth="1"/>
    <col min="3834" max="3834" width="14.453125" style="3" customWidth="1"/>
    <col min="3835" max="3835" width="7.36328125" style="3" customWidth="1"/>
    <col min="3836" max="3836" width="5.54296875" style="3" customWidth="1"/>
    <col min="3837" max="3837" width="9" style="3" customWidth="1"/>
    <col min="3838" max="3839" width="9.6328125" style="3" customWidth="1"/>
    <col min="3840" max="3840" width="11.36328125" style="3" customWidth="1"/>
    <col min="3841" max="3841" width="2.6328125" style="3" customWidth="1"/>
    <col min="3842" max="3842" width="3.54296875" style="3" customWidth="1"/>
    <col min="3843" max="4087" width="9.36328125" style="3"/>
    <col min="4088" max="4088" width="8.6328125" style="3" customWidth="1"/>
    <col min="4089" max="4089" width="9.6328125" style="3" customWidth="1"/>
    <col min="4090" max="4090" width="14.453125" style="3" customWidth="1"/>
    <col min="4091" max="4091" width="7.36328125" style="3" customWidth="1"/>
    <col min="4092" max="4092" width="5.54296875" style="3" customWidth="1"/>
    <col min="4093" max="4093" width="9" style="3" customWidth="1"/>
    <col min="4094" max="4095" width="9.6328125" style="3" customWidth="1"/>
    <col min="4096" max="4096" width="11.36328125" style="3" customWidth="1"/>
    <col min="4097" max="4097" width="2.6328125" style="3" customWidth="1"/>
    <col min="4098" max="4098" width="3.54296875" style="3" customWidth="1"/>
    <col min="4099" max="4343" width="9.36328125" style="3"/>
    <col min="4344" max="4344" width="8.6328125" style="3" customWidth="1"/>
    <col min="4345" max="4345" width="9.6328125" style="3" customWidth="1"/>
    <col min="4346" max="4346" width="14.453125" style="3" customWidth="1"/>
    <col min="4347" max="4347" width="7.36328125" style="3" customWidth="1"/>
    <col min="4348" max="4348" width="5.54296875" style="3" customWidth="1"/>
    <col min="4349" max="4349" width="9" style="3" customWidth="1"/>
    <col min="4350" max="4351" width="9.6328125" style="3" customWidth="1"/>
    <col min="4352" max="4352" width="11.36328125" style="3" customWidth="1"/>
    <col min="4353" max="4353" width="2.6328125" style="3" customWidth="1"/>
    <col min="4354" max="4354" width="3.54296875" style="3" customWidth="1"/>
    <col min="4355" max="4599" width="9.36328125" style="3"/>
    <col min="4600" max="4600" width="8.6328125" style="3" customWidth="1"/>
    <col min="4601" max="4601" width="9.6328125" style="3" customWidth="1"/>
    <col min="4602" max="4602" width="14.453125" style="3" customWidth="1"/>
    <col min="4603" max="4603" width="7.36328125" style="3" customWidth="1"/>
    <col min="4604" max="4604" width="5.54296875" style="3" customWidth="1"/>
    <col min="4605" max="4605" width="9" style="3" customWidth="1"/>
    <col min="4606" max="4607" width="9.6328125" style="3" customWidth="1"/>
    <col min="4608" max="4608" width="11.36328125" style="3" customWidth="1"/>
    <col min="4609" max="4609" width="2.6328125" style="3" customWidth="1"/>
    <col min="4610" max="4610" width="3.54296875" style="3" customWidth="1"/>
    <col min="4611" max="4855" width="9.36328125" style="3"/>
    <col min="4856" max="4856" width="8.6328125" style="3" customWidth="1"/>
    <col min="4857" max="4857" width="9.6328125" style="3" customWidth="1"/>
    <col min="4858" max="4858" width="14.453125" style="3" customWidth="1"/>
    <col min="4859" max="4859" width="7.36328125" style="3" customWidth="1"/>
    <col min="4860" max="4860" width="5.54296875" style="3" customWidth="1"/>
    <col min="4861" max="4861" width="9" style="3" customWidth="1"/>
    <col min="4862" max="4863" width="9.6328125" style="3" customWidth="1"/>
    <col min="4864" max="4864" width="11.36328125" style="3" customWidth="1"/>
    <col min="4865" max="4865" width="2.6328125" style="3" customWidth="1"/>
    <col min="4866" max="4866" width="3.54296875" style="3" customWidth="1"/>
    <col min="4867" max="5111" width="9.36328125" style="3"/>
    <col min="5112" max="5112" width="8.6328125" style="3" customWidth="1"/>
    <col min="5113" max="5113" width="9.6328125" style="3" customWidth="1"/>
    <col min="5114" max="5114" width="14.453125" style="3" customWidth="1"/>
    <col min="5115" max="5115" width="7.36328125" style="3" customWidth="1"/>
    <col min="5116" max="5116" width="5.54296875" style="3" customWidth="1"/>
    <col min="5117" max="5117" width="9" style="3" customWidth="1"/>
    <col min="5118" max="5119" width="9.6328125" style="3" customWidth="1"/>
    <col min="5120" max="5120" width="11.36328125" style="3" customWidth="1"/>
    <col min="5121" max="5121" width="2.6328125" style="3" customWidth="1"/>
    <col min="5122" max="5122" width="3.54296875" style="3" customWidth="1"/>
    <col min="5123" max="5367" width="9.36328125" style="3"/>
    <col min="5368" max="5368" width="8.6328125" style="3" customWidth="1"/>
    <col min="5369" max="5369" width="9.6328125" style="3" customWidth="1"/>
    <col min="5370" max="5370" width="14.453125" style="3" customWidth="1"/>
    <col min="5371" max="5371" width="7.36328125" style="3" customWidth="1"/>
    <col min="5372" max="5372" width="5.54296875" style="3" customWidth="1"/>
    <col min="5373" max="5373" width="9" style="3" customWidth="1"/>
    <col min="5374" max="5375" width="9.6328125" style="3" customWidth="1"/>
    <col min="5376" max="5376" width="11.36328125" style="3" customWidth="1"/>
    <col min="5377" max="5377" width="2.6328125" style="3" customWidth="1"/>
    <col min="5378" max="5378" width="3.54296875" style="3" customWidth="1"/>
    <col min="5379" max="5623" width="9.36328125" style="3"/>
    <col min="5624" max="5624" width="8.6328125" style="3" customWidth="1"/>
    <col min="5625" max="5625" width="9.6328125" style="3" customWidth="1"/>
    <col min="5626" max="5626" width="14.453125" style="3" customWidth="1"/>
    <col min="5627" max="5627" width="7.36328125" style="3" customWidth="1"/>
    <col min="5628" max="5628" width="5.54296875" style="3" customWidth="1"/>
    <col min="5629" max="5629" width="9" style="3" customWidth="1"/>
    <col min="5630" max="5631" width="9.6328125" style="3" customWidth="1"/>
    <col min="5632" max="5632" width="11.36328125" style="3" customWidth="1"/>
    <col min="5633" max="5633" width="2.6328125" style="3" customWidth="1"/>
    <col min="5634" max="5634" width="3.54296875" style="3" customWidth="1"/>
    <col min="5635" max="5879" width="9.36328125" style="3"/>
    <col min="5880" max="5880" width="8.6328125" style="3" customWidth="1"/>
    <col min="5881" max="5881" width="9.6328125" style="3" customWidth="1"/>
    <col min="5882" max="5882" width="14.453125" style="3" customWidth="1"/>
    <col min="5883" max="5883" width="7.36328125" style="3" customWidth="1"/>
    <col min="5884" max="5884" width="5.54296875" style="3" customWidth="1"/>
    <col min="5885" max="5885" width="9" style="3" customWidth="1"/>
    <col min="5886" max="5887" width="9.6328125" style="3" customWidth="1"/>
    <col min="5888" max="5888" width="11.36328125" style="3" customWidth="1"/>
    <col min="5889" max="5889" width="2.6328125" style="3" customWidth="1"/>
    <col min="5890" max="5890" width="3.54296875" style="3" customWidth="1"/>
    <col min="5891" max="6135" width="9.36328125" style="3"/>
    <col min="6136" max="6136" width="8.6328125" style="3" customWidth="1"/>
    <col min="6137" max="6137" width="9.6328125" style="3" customWidth="1"/>
    <col min="6138" max="6138" width="14.453125" style="3" customWidth="1"/>
    <col min="6139" max="6139" width="7.36328125" style="3" customWidth="1"/>
    <col min="6140" max="6140" width="5.54296875" style="3" customWidth="1"/>
    <col min="6141" max="6141" width="9" style="3" customWidth="1"/>
    <col min="6142" max="6143" width="9.6328125" style="3" customWidth="1"/>
    <col min="6144" max="6144" width="11.36328125" style="3" customWidth="1"/>
    <col min="6145" max="6145" width="2.6328125" style="3" customWidth="1"/>
    <col min="6146" max="6146" width="3.54296875" style="3" customWidth="1"/>
    <col min="6147" max="6391" width="9.36328125" style="3"/>
    <col min="6392" max="6392" width="8.6328125" style="3" customWidth="1"/>
    <col min="6393" max="6393" width="9.6328125" style="3" customWidth="1"/>
    <col min="6394" max="6394" width="14.453125" style="3" customWidth="1"/>
    <col min="6395" max="6395" width="7.36328125" style="3" customWidth="1"/>
    <col min="6396" max="6396" width="5.54296875" style="3" customWidth="1"/>
    <col min="6397" max="6397" width="9" style="3" customWidth="1"/>
    <col min="6398" max="6399" width="9.6328125" style="3" customWidth="1"/>
    <col min="6400" max="6400" width="11.36328125" style="3" customWidth="1"/>
    <col min="6401" max="6401" width="2.6328125" style="3" customWidth="1"/>
    <col min="6402" max="6402" width="3.54296875" style="3" customWidth="1"/>
    <col min="6403" max="6647" width="9.36328125" style="3"/>
    <col min="6648" max="6648" width="8.6328125" style="3" customWidth="1"/>
    <col min="6649" max="6649" width="9.6328125" style="3" customWidth="1"/>
    <col min="6650" max="6650" width="14.453125" style="3" customWidth="1"/>
    <col min="6651" max="6651" width="7.36328125" style="3" customWidth="1"/>
    <col min="6652" max="6652" width="5.54296875" style="3" customWidth="1"/>
    <col min="6653" max="6653" width="9" style="3" customWidth="1"/>
    <col min="6654" max="6655" width="9.6328125" style="3" customWidth="1"/>
    <col min="6656" max="6656" width="11.36328125" style="3" customWidth="1"/>
    <col min="6657" max="6657" width="2.6328125" style="3" customWidth="1"/>
    <col min="6658" max="6658" width="3.54296875" style="3" customWidth="1"/>
    <col min="6659" max="6903" width="9.36328125" style="3"/>
    <col min="6904" max="6904" width="8.6328125" style="3" customWidth="1"/>
    <col min="6905" max="6905" width="9.6328125" style="3" customWidth="1"/>
    <col min="6906" max="6906" width="14.453125" style="3" customWidth="1"/>
    <col min="6907" max="6907" width="7.36328125" style="3" customWidth="1"/>
    <col min="6908" max="6908" width="5.54296875" style="3" customWidth="1"/>
    <col min="6909" max="6909" width="9" style="3" customWidth="1"/>
    <col min="6910" max="6911" width="9.6328125" style="3" customWidth="1"/>
    <col min="6912" max="6912" width="11.36328125" style="3" customWidth="1"/>
    <col min="6913" max="6913" width="2.6328125" style="3" customWidth="1"/>
    <col min="6914" max="6914" width="3.54296875" style="3" customWidth="1"/>
    <col min="6915" max="7159" width="9.36328125" style="3"/>
    <col min="7160" max="7160" width="8.6328125" style="3" customWidth="1"/>
    <col min="7161" max="7161" width="9.6328125" style="3" customWidth="1"/>
    <col min="7162" max="7162" width="14.453125" style="3" customWidth="1"/>
    <col min="7163" max="7163" width="7.36328125" style="3" customWidth="1"/>
    <col min="7164" max="7164" width="5.54296875" style="3" customWidth="1"/>
    <col min="7165" max="7165" width="9" style="3" customWidth="1"/>
    <col min="7166" max="7167" width="9.6328125" style="3" customWidth="1"/>
    <col min="7168" max="7168" width="11.36328125" style="3" customWidth="1"/>
    <col min="7169" max="7169" width="2.6328125" style="3" customWidth="1"/>
    <col min="7170" max="7170" width="3.54296875" style="3" customWidth="1"/>
    <col min="7171" max="7415" width="9.36328125" style="3"/>
    <col min="7416" max="7416" width="8.6328125" style="3" customWidth="1"/>
    <col min="7417" max="7417" width="9.6328125" style="3" customWidth="1"/>
    <col min="7418" max="7418" width="14.453125" style="3" customWidth="1"/>
    <col min="7419" max="7419" width="7.36328125" style="3" customWidth="1"/>
    <col min="7420" max="7420" width="5.54296875" style="3" customWidth="1"/>
    <col min="7421" max="7421" width="9" style="3" customWidth="1"/>
    <col min="7422" max="7423" width="9.6328125" style="3" customWidth="1"/>
    <col min="7424" max="7424" width="11.36328125" style="3" customWidth="1"/>
    <col min="7425" max="7425" width="2.6328125" style="3" customWidth="1"/>
    <col min="7426" max="7426" width="3.54296875" style="3" customWidth="1"/>
    <col min="7427" max="7671" width="9.36328125" style="3"/>
    <col min="7672" max="7672" width="8.6328125" style="3" customWidth="1"/>
    <col min="7673" max="7673" width="9.6328125" style="3" customWidth="1"/>
    <col min="7674" max="7674" width="14.453125" style="3" customWidth="1"/>
    <col min="7675" max="7675" width="7.36328125" style="3" customWidth="1"/>
    <col min="7676" max="7676" width="5.54296875" style="3" customWidth="1"/>
    <col min="7677" max="7677" width="9" style="3" customWidth="1"/>
    <col min="7678" max="7679" width="9.6328125" style="3" customWidth="1"/>
    <col min="7680" max="7680" width="11.36328125" style="3" customWidth="1"/>
    <col min="7681" max="7681" width="2.6328125" style="3" customWidth="1"/>
    <col min="7682" max="7682" width="3.54296875" style="3" customWidth="1"/>
    <col min="7683" max="7927" width="9.36328125" style="3"/>
    <col min="7928" max="7928" width="8.6328125" style="3" customWidth="1"/>
    <col min="7929" max="7929" width="9.6328125" style="3" customWidth="1"/>
    <col min="7930" max="7930" width="14.453125" style="3" customWidth="1"/>
    <col min="7931" max="7931" width="7.36328125" style="3" customWidth="1"/>
    <col min="7932" max="7932" width="5.54296875" style="3" customWidth="1"/>
    <col min="7933" max="7933" width="9" style="3" customWidth="1"/>
    <col min="7934" max="7935" width="9.6328125" style="3" customWidth="1"/>
    <col min="7936" max="7936" width="11.36328125" style="3" customWidth="1"/>
    <col min="7937" max="7937" width="2.6328125" style="3" customWidth="1"/>
    <col min="7938" max="7938" width="3.54296875" style="3" customWidth="1"/>
    <col min="7939" max="8183" width="9.36328125" style="3"/>
    <col min="8184" max="8184" width="8.6328125" style="3" customWidth="1"/>
    <col min="8185" max="8185" width="9.6328125" style="3" customWidth="1"/>
    <col min="8186" max="8186" width="14.453125" style="3" customWidth="1"/>
    <col min="8187" max="8187" width="7.36328125" style="3" customWidth="1"/>
    <col min="8188" max="8188" width="5.54296875" style="3" customWidth="1"/>
    <col min="8189" max="8189" width="9" style="3" customWidth="1"/>
    <col min="8190" max="8191" width="9.6328125" style="3" customWidth="1"/>
    <col min="8192" max="8192" width="11.36328125" style="3" customWidth="1"/>
    <col min="8193" max="8193" width="2.6328125" style="3" customWidth="1"/>
    <col min="8194" max="8194" width="3.54296875" style="3" customWidth="1"/>
    <col min="8195" max="8439" width="9.36328125" style="3"/>
    <col min="8440" max="8440" width="8.6328125" style="3" customWidth="1"/>
    <col min="8441" max="8441" width="9.6328125" style="3" customWidth="1"/>
    <col min="8442" max="8442" width="14.453125" style="3" customWidth="1"/>
    <col min="8443" max="8443" width="7.36328125" style="3" customWidth="1"/>
    <col min="8444" max="8444" width="5.54296875" style="3" customWidth="1"/>
    <col min="8445" max="8445" width="9" style="3" customWidth="1"/>
    <col min="8446" max="8447" width="9.6328125" style="3" customWidth="1"/>
    <col min="8448" max="8448" width="11.36328125" style="3" customWidth="1"/>
    <col min="8449" max="8449" width="2.6328125" style="3" customWidth="1"/>
    <col min="8450" max="8450" width="3.54296875" style="3" customWidth="1"/>
    <col min="8451" max="8695" width="9.36328125" style="3"/>
    <col min="8696" max="8696" width="8.6328125" style="3" customWidth="1"/>
    <col min="8697" max="8697" width="9.6328125" style="3" customWidth="1"/>
    <col min="8698" max="8698" width="14.453125" style="3" customWidth="1"/>
    <col min="8699" max="8699" width="7.36328125" style="3" customWidth="1"/>
    <col min="8700" max="8700" width="5.54296875" style="3" customWidth="1"/>
    <col min="8701" max="8701" width="9" style="3" customWidth="1"/>
    <col min="8702" max="8703" width="9.6328125" style="3" customWidth="1"/>
    <col min="8704" max="8704" width="11.36328125" style="3" customWidth="1"/>
    <col min="8705" max="8705" width="2.6328125" style="3" customWidth="1"/>
    <col min="8706" max="8706" width="3.54296875" style="3" customWidth="1"/>
    <col min="8707" max="8951" width="9.36328125" style="3"/>
    <col min="8952" max="8952" width="8.6328125" style="3" customWidth="1"/>
    <col min="8953" max="8953" width="9.6328125" style="3" customWidth="1"/>
    <col min="8954" max="8954" width="14.453125" style="3" customWidth="1"/>
    <col min="8955" max="8955" width="7.36328125" style="3" customWidth="1"/>
    <col min="8956" max="8956" width="5.54296875" style="3" customWidth="1"/>
    <col min="8957" max="8957" width="9" style="3" customWidth="1"/>
    <col min="8958" max="8959" width="9.6328125" style="3" customWidth="1"/>
    <col min="8960" max="8960" width="11.36328125" style="3" customWidth="1"/>
    <col min="8961" max="8961" width="2.6328125" style="3" customWidth="1"/>
    <col min="8962" max="8962" width="3.54296875" style="3" customWidth="1"/>
    <col min="8963" max="9207" width="9.36328125" style="3"/>
    <col min="9208" max="9208" width="8.6328125" style="3" customWidth="1"/>
    <col min="9209" max="9209" width="9.6328125" style="3" customWidth="1"/>
    <col min="9210" max="9210" width="14.453125" style="3" customWidth="1"/>
    <col min="9211" max="9211" width="7.36328125" style="3" customWidth="1"/>
    <col min="9212" max="9212" width="5.54296875" style="3" customWidth="1"/>
    <col min="9213" max="9213" width="9" style="3" customWidth="1"/>
    <col min="9214" max="9215" width="9.6328125" style="3" customWidth="1"/>
    <col min="9216" max="9216" width="11.36328125" style="3" customWidth="1"/>
    <col min="9217" max="9217" width="2.6328125" style="3" customWidth="1"/>
    <col min="9218" max="9218" width="3.54296875" style="3" customWidth="1"/>
    <col min="9219" max="9463" width="9.36328125" style="3"/>
    <col min="9464" max="9464" width="8.6328125" style="3" customWidth="1"/>
    <col min="9465" max="9465" width="9.6328125" style="3" customWidth="1"/>
    <col min="9466" max="9466" width="14.453125" style="3" customWidth="1"/>
    <col min="9467" max="9467" width="7.36328125" style="3" customWidth="1"/>
    <col min="9468" max="9468" width="5.54296875" style="3" customWidth="1"/>
    <col min="9469" max="9469" width="9" style="3" customWidth="1"/>
    <col min="9470" max="9471" width="9.6328125" style="3" customWidth="1"/>
    <col min="9472" max="9472" width="11.36328125" style="3" customWidth="1"/>
    <col min="9473" max="9473" width="2.6328125" style="3" customWidth="1"/>
    <col min="9474" max="9474" width="3.54296875" style="3" customWidth="1"/>
    <col min="9475" max="9719" width="9.36328125" style="3"/>
    <col min="9720" max="9720" width="8.6328125" style="3" customWidth="1"/>
    <col min="9721" max="9721" width="9.6328125" style="3" customWidth="1"/>
    <col min="9722" max="9722" width="14.453125" style="3" customWidth="1"/>
    <col min="9723" max="9723" width="7.36328125" style="3" customWidth="1"/>
    <col min="9724" max="9724" width="5.54296875" style="3" customWidth="1"/>
    <col min="9725" max="9725" width="9" style="3" customWidth="1"/>
    <col min="9726" max="9727" width="9.6328125" style="3" customWidth="1"/>
    <col min="9728" max="9728" width="11.36328125" style="3" customWidth="1"/>
    <col min="9729" max="9729" width="2.6328125" style="3" customWidth="1"/>
    <col min="9730" max="9730" width="3.54296875" style="3" customWidth="1"/>
    <col min="9731" max="9975" width="9.36328125" style="3"/>
    <col min="9976" max="9976" width="8.6328125" style="3" customWidth="1"/>
    <col min="9977" max="9977" width="9.6328125" style="3" customWidth="1"/>
    <col min="9978" max="9978" width="14.453125" style="3" customWidth="1"/>
    <col min="9979" max="9979" width="7.36328125" style="3" customWidth="1"/>
    <col min="9980" max="9980" width="5.54296875" style="3" customWidth="1"/>
    <col min="9981" max="9981" width="9" style="3" customWidth="1"/>
    <col min="9982" max="9983" width="9.6328125" style="3" customWidth="1"/>
    <col min="9984" max="9984" width="11.36328125" style="3" customWidth="1"/>
    <col min="9985" max="9985" width="2.6328125" style="3" customWidth="1"/>
    <col min="9986" max="9986" width="3.54296875" style="3" customWidth="1"/>
    <col min="9987" max="10231" width="9.36328125" style="3"/>
    <col min="10232" max="10232" width="8.6328125" style="3" customWidth="1"/>
    <col min="10233" max="10233" width="9.6328125" style="3" customWidth="1"/>
    <col min="10234" max="10234" width="14.453125" style="3" customWidth="1"/>
    <col min="10235" max="10235" width="7.36328125" style="3" customWidth="1"/>
    <col min="10236" max="10236" width="5.54296875" style="3" customWidth="1"/>
    <col min="10237" max="10237" width="9" style="3" customWidth="1"/>
    <col min="10238" max="10239" width="9.6328125" style="3" customWidth="1"/>
    <col min="10240" max="10240" width="11.36328125" style="3" customWidth="1"/>
    <col min="10241" max="10241" width="2.6328125" style="3" customWidth="1"/>
    <col min="10242" max="10242" width="3.54296875" style="3" customWidth="1"/>
    <col min="10243" max="10487" width="9.36328125" style="3"/>
    <col min="10488" max="10488" width="8.6328125" style="3" customWidth="1"/>
    <col min="10489" max="10489" width="9.6328125" style="3" customWidth="1"/>
    <col min="10490" max="10490" width="14.453125" style="3" customWidth="1"/>
    <col min="10491" max="10491" width="7.36328125" style="3" customWidth="1"/>
    <col min="10492" max="10492" width="5.54296875" style="3" customWidth="1"/>
    <col min="10493" max="10493" width="9" style="3" customWidth="1"/>
    <col min="10494" max="10495" width="9.6328125" style="3" customWidth="1"/>
    <col min="10496" max="10496" width="11.36328125" style="3" customWidth="1"/>
    <col min="10497" max="10497" width="2.6328125" style="3" customWidth="1"/>
    <col min="10498" max="10498" width="3.54296875" style="3" customWidth="1"/>
    <col min="10499" max="10743" width="9.36328125" style="3"/>
    <col min="10744" max="10744" width="8.6328125" style="3" customWidth="1"/>
    <col min="10745" max="10745" width="9.6328125" style="3" customWidth="1"/>
    <col min="10746" max="10746" width="14.453125" style="3" customWidth="1"/>
    <col min="10747" max="10747" width="7.36328125" style="3" customWidth="1"/>
    <col min="10748" max="10748" width="5.54296875" style="3" customWidth="1"/>
    <col min="10749" max="10749" width="9" style="3" customWidth="1"/>
    <col min="10750" max="10751" width="9.6328125" style="3" customWidth="1"/>
    <col min="10752" max="10752" width="11.36328125" style="3" customWidth="1"/>
    <col min="10753" max="10753" width="2.6328125" style="3" customWidth="1"/>
    <col min="10754" max="10754" width="3.54296875" style="3" customWidth="1"/>
    <col min="10755" max="10999" width="9.36328125" style="3"/>
    <col min="11000" max="11000" width="8.6328125" style="3" customWidth="1"/>
    <col min="11001" max="11001" width="9.6328125" style="3" customWidth="1"/>
    <col min="11002" max="11002" width="14.453125" style="3" customWidth="1"/>
    <col min="11003" max="11003" width="7.36328125" style="3" customWidth="1"/>
    <col min="11004" max="11004" width="5.54296875" style="3" customWidth="1"/>
    <col min="11005" max="11005" width="9" style="3" customWidth="1"/>
    <col min="11006" max="11007" width="9.6328125" style="3" customWidth="1"/>
    <col min="11008" max="11008" width="11.36328125" style="3" customWidth="1"/>
    <col min="11009" max="11009" width="2.6328125" style="3" customWidth="1"/>
    <col min="11010" max="11010" width="3.54296875" style="3" customWidth="1"/>
    <col min="11011" max="11255" width="9.36328125" style="3"/>
    <col min="11256" max="11256" width="8.6328125" style="3" customWidth="1"/>
    <col min="11257" max="11257" width="9.6328125" style="3" customWidth="1"/>
    <col min="11258" max="11258" width="14.453125" style="3" customWidth="1"/>
    <col min="11259" max="11259" width="7.36328125" style="3" customWidth="1"/>
    <col min="11260" max="11260" width="5.54296875" style="3" customWidth="1"/>
    <col min="11261" max="11261" width="9" style="3" customWidth="1"/>
    <col min="11262" max="11263" width="9.6328125" style="3" customWidth="1"/>
    <col min="11264" max="11264" width="11.36328125" style="3" customWidth="1"/>
    <col min="11265" max="11265" width="2.6328125" style="3" customWidth="1"/>
    <col min="11266" max="11266" width="3.54296875" style="3" customWidth="1"/>
    <col min="11267" max="11511" width="9.36328125" style="3"/>
    <col min="11512" max="11512" width="8.6328125" style="3" customWidth="1"/>
    <col min="11513" max="11513" width="9.6328125" style="3" customWidth="1"/>
    <col min="11514" max="11514" width="14.453125" style="3" customWidth="1"/>
    <col min="11515" max="11515" width="7.36328125" style="3" customWidth="1"/>
    <col min="11516" max="11516" width="5.54296875" style="3" customWidth="1"/>
    <col min="11517" max="11517" width="9" style="3" customWidth="1"/>
    <col min="11518" max="11519" width="9.6328125" style="3" customWidth="1"/>
    <col min="11520" max="11520" width="11.36328125" style="3" customWidth="1"/>
    <col min="11521" max="11521" width="2.6328125" style="3" customWidth="1"/>
    <col min="11522" max="11522" width="3.54296875" style="3" customWidth="1"/>
    <col min="11523" max="11767" width="9.36328125" style="3"/>
    <col min="11768" max="11768" width="8.6328125" style="3" customWidth="1"/>
    <col min="11769" max="11769" width="9.6328125" style="3" customWidth="1"/>
    <col min="11770" max="11770" width="14.453125" style="3" customWidth="1"/>
    <col min="11771" max="11771" width="7.36328125" style="3" customWidth="1"/>
    <col min="11772" max="11772" width="5.54296875" style="3" customWidth="1"/>
    <col min="11773" max="11773" width="9" style="3" customWidth="1"/>
    <col min="11774" max="11775" width="9.6328125" style="3" customWidth="1"/>
    <col min="11776" max="11776" width="11.36328125" style="3" customWidth="1"/>
    <col min="11777" max="11777" width="2.6328125" style="3" customWidth="1"/>
    <col min="11778" max="11778" width="3.54296875" style="3" customWidth="1"/>
    <col min="11779" max="12023" width="9.36328125" style="3"/>
    <col min="12024" max="12024" width="8.6328125" style="3" customWidth="1"/>
    <col min="12025" max="12025" width="9.6328125" style="3" customWidth="1"/>
    <col min="12026" max="12026" width="14.453125" style="3" customWidth="1"/>
    <col min="12027" max="12027" width="7.36328125" style="3" customWidth="1"/>
    <col min="12028" max="12028" width="5.54296875" style="3" customWidth="1"/>
    <col min="12029" max="12029" width="9" style="3" customWidth="1"/>
    <col min="12030" max="12031" width="9.6328125" style="3" customWidth="1"/>
    <col min="12032" max="12032" width="11.36328125" style="3" customWidth="1"/>
    <col min="12033" max="12033" width="2.6328125" style="3" customWidth="1"/>
    <col min="12034" max="12034" width="3.54296875" style="3" customWidth="1"/>
    <col min="12035" max="12279" width="9.36328125" style="3"/>
    <col min="12280" max="12280" width="8.6328125" style="3" customWidth="1"/>
    <col min="12281" max="12281" width="9.6328125" style="3" customWidth="1"/>
    <col min="12282" max="12282" width="14.453125" style="3" customWidth="1"/>
    <col min="12283" max="12283" width="7.36328125" style="3" customWidth="1"/>
    <col min="12284" max="12284" width="5.54296875" style="3" customWidth="1"/>
    <col min="12285" max="12285" width="9" style="3" customWidth="1"/>
    <col min="12286" max="12287" width="9.6328125" style="3" customWidth="1"/>
    <col min="12288" max="12288" width="11.36328125" style="3" customWidth="1"/>
    <col min="12289" max="12289" width="2.6328125" style="3" customWidth="1"/>
    <col min="12290" max="12290" width="3.54296875" style="3" customWidth="1"/>
    <col min="12291" max="12535" width="9.36328125" style="3"/>
    <col min="12536" max="12536" width="8.6328125" style="3" customWidth="1"/>
    <col min="12537" max="12537" width="9.6328125" style="3" customWidth="1"/>
    <col min="12538" max="12538" width="14.453125" style="3" customWidth="1"/>
    <col min="12539" max="12539" width="7.36328125" style="3" customWidth="1"/>
    <col min="12540" max="12540" width="5.54296875" style="3" customWidth="1"/>
    <col min="12541" max="12541" width="9" style="3" customWidth="1"/>
    <col min="12542" max="12543" width="9.6328125" style="3" customWidth="1"/>
    <col min="12544" max="12544" width="11.36328125" style="3" customWidth="1"/>
    <col min="12545" max="12545" width="2.6328125" style="3" customWidth="1"/>
    <col min="12546" max="12546" width="3.54296875" style="3" customWidth="1"/>
    <col min="12547" max="12791" width="9.36328125" style="3"/>
    <col min="12792" max="12792" width="8.6328125" style="3" customWidth="1"/>
    <col min="12793" max="12793" width="9.6328125" style="3" customWidth="1"/>
    <col min="12794" max="12794" width="14.453125" style="3" customWidth="1"/>
    <col min="12795" max="12795" width="7.36328125" style="3" customWidth="1"/>
    <col min="12796" max="12796" width="5.54296875" style="3" customWidth="1"/>
    <col min="12797" max="12797" width="9" style="3" customWidth="1"/>
    <col min="12798" max="12799" width="9.6328125" style="3" customWidth="1"/>
    <col min="12800" max="12800" width="11.36328125" style="3" customWidth="1"/>
    <col min="12801" max="12801" width="2.6328125" style="3" customWidth="1"/>
    <col min="12802" max="12802" width="3.54296875" style="3" customWidth="1"/>
    <col min="12803" max="13047" width="9.36328125" style="3"/>
    <col min="13048" max="13048" width="8.6328125" style="3" customWidth="1"/>
    <col min="13049" max="13049" width="9.6328125" style="3" customWidth="1"/>
    <col min="13050" max="13050" width="14.453125" style="3" customWidth="1"/>
    <col min="13051" max="13051" width="7.36328125" style="3" customWidth="1"/>
    <col min="13052" max="13052" width="5.54296875" style="3" customWidth="1"/>
    <col min="13053" max="13053" width="9" style="3" customWidth="1"/>
    <col min="13054" max="13055" width="9.6328125" style="3" customWidth="1"/>
    <col min="13056" max="13056" width="11.36328125" style="3" customWidth="1"/>
    <col min="13057" max="13057" width="2.6328125" style="3" customWidth="1"/>
    <col min="13058" max="13058" width="3.54296875" style="3" customWidth="1"/>
    <col min="13059" max="13303" width="9.36328125" style="3"/>
    <col min="13304" max="13304" width="8.6328125" style="3" customWidth="1"/>
    <col min="13305" max="13305" width="9.6328125" style="3" customWidth="1"/>
    <col min="13306" max="13306" width="14.453125" style="3" customWidth="1"/>
    <col min="13307" max="13307" width="7.36328125" style="3" customWidth="1"/>
    <col min="13308" max="13308" width="5.54296875" style="3" customWidth="1"/>
    <col min="13309" max="13309" width="9" style="3" customWidth="1"/>
    <col min="13310" max="13311" width="9.6328125" style="3" customWidth="1"/>
    <col min="13312" max="13312" width="11.36328125" style="3" customWidth="1"/>
    <col min="13313" max="13313" width="2.6328125" style="3" customWidth="1"/>
    <col min="13314" max="13314" width="3.54296875" style="3" customWidth="1"/>
    <col min="13315" max="13559" width="9.36328125" style="3"/>
    <col min="13560" max="13560" width="8.6328125" style="3" customWidth="1"/>
    <col min="13561" max="13561" width="9.6328125" style="3" customWidth="1"/>
    <col min="13562" max="13562" width="14.453125" style="3" customWidth="1"/>
    <col min="13563" max="13563" width="7.36328125" style="3" customWidth="1"/>
    <col min="13564" max="13564" width="5.54296875" style="3" customWidth="1"/>
    <col min="13565" max="13565" width="9" style="3" customWidth="1"/>
    <col min="13566" max="13567" width="9.6328125" style="3" customWidth="1"/>
    <col min="13568" max="13568" width="11.36328125" style="3" customWidth="1"/>
    <col min="13569" max="13569" width="2.6328125" style="3" customWidth="1"/>
    <col min="13570" max="13570" width="3.54296875" style="3" customWidth="1"/>
    <col min="13571" max="13815" width="9.36328125" style="3"/>
    <col min="13816" max="13816" width="8.6328125" style="3" customWidth="1"/>
    <col min="13817" max="13817" width="9.6328125" style="3" customWidth="1"/>
    <col min="13818" max="13818" width="14.453125" style="3" customWidth="1"/>
    <col min="13819" max="13819" width="7.36328125" style="3" customWidth="1"/>
    <col min="13820" max="13820" width="5.54296875" style="3" customWidth="1"/>
    <col min="13821" max="13821" width="9" style="3" customWidth="1"/>
    <col min="13822" max="13823" width="9.6328125" style="3" customWidth="1"/>
    <col min="13824" max="13824" width="11.36328125" style="3" customWidth="1"/>
    <col min="13825" max="13825" width="2.6328125" style="3" customWidth="1"/>
    <col min="13826" max="13826" width="3.54296875" style="3" customWidth="1"/>
    <col min="13827" max="14071" width="9.36328125" style="3"/>
    <col min="14072" max="14072" width="8.6328125" style="3" customWidth="1"/>
    <col min="14073" max="14073" width="9.6328125" style="3" customWidth="1"/>
    <col min="14074" max="14074" width="14.453125" style="3" customWidth="1"/>
    <col min="14075" max="14075" width="7.36328125" style="3" customWidth="1"/>
    <col min="14076" max="14076" width="5.54296875" style="3" customWidth="1"/>
    <col min="14077" max="14077" width="9" style="3" customWidth="1"/>
    <col min="14078" max="14079" width="9.6328125" style="3" customWidth="1"/>
    <col min="14080" max="14080" width="11.36328125" style="3" customWidth="1"/>
    <col min="14081" max="14081" width="2.6328125" style="3" customWidth="1"/>
    <col min="14082" max="14082" width="3.54296875" style="3" customWidth="1"/>
    <col min="14083" max="14327" width="9.36328125" style="3"/>
    <col min="14328" max="14328" width="8.6328125" style="3" customWidth="1"/>
    <col min="14329" max="14329" width="9.6328125" style="3" customWidth="1"/>
    <col min="14330" max="14330" width="14.453125" style="3" customWidth="1"/>
    <col min="14331" max="14331" width="7.36328125" style="3" customWidth="1"/>
    <col min="14332" max="14332" width="5.54296875" style="3" customWidth="1"/>
    <col min="14333" max="14333" width="9" style="3" customWidth="1"/>
    <col min="14334" max="14335" width="9.6328125" style="3" customWidth="1"/>
    <col min="14336" max="14336" width="11.36328125" style="3" customWidth="1"/>
    <col min="14337" max="14337" width="2.6328125" style="3" customWidth="1"/>
    <col min="14338" max="14338" width="3.54296875" style="3" customWidth="1"/>
    <col min="14339" max="14583" width="9.36328125" style="3"/>
    <col min="14584" max="14584" width="8.6328125" style="3" customWidth="1"/>
    <col min="14585" max="14585" width="9.6328125" style="3" customWidth="1"/>
    <col min="14586" max="14586" width="14.453125" style="3" customWidth="1"/>
    <col min="14587" max="14587" width="7.36328125" style="3" customWidth="1"/>
    <col min="14588" max="14588" width="5.54296875" style="3" customWidth="1"/>
    <col min="14589" max="14589" width="9" style="3" customWidth="1"/>
    <col min="14590" max="14591" width="9.6328125" style="3" customWidth="1"/>
    <col min="14592" max="14592" width="11.36328125" style="3" customWidth="1"/>
    <col min="14593" max="14593" width="2.6328125" style="3" customWidth="1"/>
    <col min="14594" max="14594" width="3.54296875" style="3" customWidth="1"/>
    <col min="14595" max="14839" width="9.36328125" style="3"/>
    <col min="14840" max="14840" width="8.6328125" style="3" customWidth="1"/>
    <col min="14841" max="14841" width="9.6328125" style="3" customWidth="1"/>
    <col min="14842" max="14842" width="14.453125" style="3" customWidth="1"/>
    <col min="14843" max="14843" width="7.36328125" style="3" customWidth="1"/>
    <col min="14844" max="14844" width="5.54296875" style="3" customWidth="1"/>
    <col min="14845" max="14845" width="9" style="3" customWidth="1"/>
    <col min="14846" max="14847" width="9.6328125" style="3" customWidth="1"/>
    <col min="14848" max="14848" width="11.36328125" style="3" customWidth="1"/>
    <col min="14849" max="14849" width="2.6328125" style="3" customWidth="1"/>
    <col min="14850" max="14850" width="3.54296875" style="3" customWidth="1"/>
    <col min="14851" max="15095" width="9.36328125" style="3"/>
    <col min="15096" max="15096" width="8.6328125" style="3" customWidth="1"/>
    <col min="15097" max="15097" width="9.6328125" style="3" customWidth="1"/>
    <col min="15098" max="15098" width="14.453125" style="3" customWidth="1"/>
    <col min="15099" max="15099" width="7.36328125" style="3" customWidth="1"/>
    <col min="15100" max="15100" width="5.54296875" style="3" customWidth="1"/>
    <col min="15101" max="15101" width="9" style="3" customWidth="1"/>
    <col min="15102" max="15103" width="9.6328125" style="3" customWidth="1"/>
    <col min="15104" max="15104" width="11.36328125" style="3" customWidth="1"/>
    <col min="15105" max="15105" width="2.6328125" style="3" customWidth="1"/>
    <col min="15106" max="15106" width="3.54296875" style="3" customWidth="1"/>
    <col min="15107" max="15351" width="9.36328125" style="3"/>
    <col min="15352" max="15352" width="8.6328125" style="3" customWidth="1"/>
    <col min="15353" max="15353" width="9.6328125" style="3" customWidth="1"/>
    <col min="15354" max="15354" width="14.453125" style="3" customWidth="1"/>
    <col min="15355" max="15355" width="7.36328125" style="3" customWidth="1"/>
    <col min="15356" max="15356" width="5.54296875" style="3" customWidth="1"/>
    <col min="15357" max="15357" width="9" style="3" customWidth="1"/>
    <col min="15358" max="15359" width="9.6328125" style="3" customWidth="1"/>
    <col min="15360" max="15360" width="11.36328125" style="3" customWidth="1"/>
    <col min="15361" max="15361" width="2.6328125" style="3" customWidth="1"/>
    <col min="15362" max="15362" width="3.54296875" style="3" customWidth="1"/>
    <col min="15363" max="15607" width="9.36328125" style="3"/>
    <col min="15608" max="15608" width="8.6328125" style="3" customWidth="1"/>
    <col min="15609" max="15609" width="9.6328125" style="3" customWidth="1"/>
    <col min="15610" max="15610" width="14.453125" style="3" customWidth="1"/>
    <col min="15611" max="15611" width="7.36328125" style="3" customWidth="1"/>
    <col min="15612" max="15612" width="5.54296875" style="3" customWidth="1"/>
    <col min="15613" max="15613" width="9" style="3" customWidth="1"/>
    <col min="15614" max="15615" width="9.6328125" style="3" customWidth="1"/>
    <col min="15616" max="15616" width="11.36328125" style="3" customWidth="1"/>
    <col min="15617" max="15617" width="2.6328125" style="3" customWidth="1"/>
    <col min="15618" max="15618" width="3.54296875" style="3" customWidth="1"/>
    <col min="15619" max="15863" width="9.36328125" style="3"/>
    <col min="15864" max="15864" width="8.6328125" style="3" customWidth="1"/>
    <col min="15865" max="15865" width="9.6328125" style="3" customWidth="1"/>
    <col min="15866" max="15866" width="14.453125" style="3" customWidth="1"/>
    <col min="15867" max="15867" width="7.36328125" style="3" customWidth="1"/>
    <col min="15868" max="15868" width="5.54296875" style="3" customWidth="1"/>
    <col min="15869" max="15869" width="9" style="3" customWidth="1"/>
    <col min="15870" max="15871" width="9.6328125" style="3" customWidth="1"/>
    <col min="15872" max="15872" width="11.36328125" style="3" customWidth="1"/>
    <col min="15873" max="15873" width="2.6328125" style="3" customWidth="1"/>
    <col min="15874" max="15874" width="3.54296875" style="3" customWidth="1"/>
    <col min="15875" max="16119" width="9.36328125" style="3"/>
    <col min="16120" max="16120" width="8.6328125" style="3" customWidth="1"/>
    <col min="16121" max="16121" width="9.6328125" style="3" customWidth="1"/>
    <col min="16122" max="16122" width="14.453125" style="3" customWidth="1"/>
    <col min="16123" max="16123" width="7.36328125" style="3" customWidth="1"/>
    <col min="16124" max="16124" width="5.54296875" style="3" customWidth="1"/>
    <col min="16125" max="16125" width="9" style="3" customWidth="1"/>
    <col min="16126" max="16127" width="9.6328125" style="3" customWidth="1"/>
    <col min="16128" max="16128" width="11.36328125" style="3" customWidth="1"/>
    <col min="16129" max="16129" width="2.6328125" style="3" customWidth="1"/>
    <col min="16130" max="16130" width="3.54296875" style="3" customWidth="1"/>
    <col min="16131" max="16384" width="9.36328125" style="3"/>
  </cols>
  <sheetData>
    <row r="1" spans="1:8" ht="46.5" customHeight="1" x14ac:dyDescent="0.35">
      <c r="A1" s="146" t="s">
        <v>220</v>
      </c>
      <c r="B1" s="146"/>
      <c r="C1" s="146"/>
      <c r="D1" s="146"/>
      <c r="E1" s="146"/>
      <c r="F1" s="146"/>
      <c r="G1" s="146"/>
      <c r="H1" s="146"/>
    </row>
    <row r="2" spans="1:8" ht="16.5" customHeight="1" x14ac:dyDescent="0.35">
      <c r="A2" s="147" t="s">
        <v>0</v>
      </c>
      <c r="B2" s="147"/>
      <c r="C2" s="147"/>
      <c r="D2" s="147"/>
      <c r="E2" s="147"/>
      <c r="F2" s="147"/>
      <c r="G2" s="147"/>
      <c r="H2" s="147"/>
    </row>
    <row r="3" spans="1:8" x14ac:dyDescent="0.35">
      <c r="A3" s="84" t="s">
        <v>1</v>
      </c>
      <c r="B3" s="84"/>
      <c r="C3" s="84"/>
      <c r="D3" s="84"/>
      <c r="E3" s="148" t="str">
        <f ca="1">TEXT(TODAY(),"DD/MM/YYYY")</f>
        <v>05/08/2025</v>
      </c>
      <c r="F3" s="148"/>
      <c r="G3" s="148"/>
      <c r="H3" s="148"/>
    </row>
    <row r="4" spans="1:8" ht="15" customHeight="1" x14ac:dyDescent="0.35">
      <c r="A4" s="84" t="s">
        <v>2</v>
      </c>
      <c r="B4" s="84"/>
      <c r="C4" s="84"/>
      <c r="D4" s="84"/>
      <c r="E4" s="149" t="s">
        <v>162</v>
      </c>
      <c r="F4" s="149"/>
      <c r="G4" s="149"/>
      <c r="H4" s="149"/>
    </row>
    <row r="5" spans="1:8" x14ac:dyDescent="0.35">
      <c r="A5" s="84" t="s">
        <v>3</v>
      </c>
      <c r="B5" s="84"/>
      <c r="C5" s="84"/>
      <c r="D5" s="84"/>
      <c r="E5" s="148">
        <v>45874</v>
      </c>
      <c r="F5" s="148"/>
      <c r="G5" s="148"/>
      <c r="H5" s="148"/>
    </row>
    <row r="6" spans="1:8" ht="16.5" customHeight="1" x14ac:dyDescent="0.35">
      <c r="A6" s="84" t="s">
        <v>4</v>
      </c>
      <c r="B6" s="84"/>
      <c r="C6" s="84"/>
      <c r="D6" s="84"/>
      <c r="E6" s="99" t="s">
        <v>163</v>
      </c>
      <c r="F6" s="99"/>
      <c r="G6" s="99"/>
      <c r="H6" s="99"/>
    </row>
    <row r="7" spans="1:8" ht="15" customHeight="1" x14ac:dyDescent="0.35">
      <c r="A7" s="84" t="s">
        <v>5</v>
      </c>
      <c r="B7" s="84"/>
      <c r="C7" s="84"/>
      <c r="D7" s="84"/>
      <c r="E7" s="99" t="str">
        <f>E6</f>
        <v>M/s. Siteman Home</v>
      </c>
      <c r="F7" s="99"/>
      <c r="G7" s="99"/>
      <c r="H7" s="99"/>
    </row>
    <row r="8" spans="1:8" x14ac:dyDescent="0.35">
      <c r="A8" s="84" t="s">
        <v>6</v>
      </c>
      <c r="B8" s="84"/>
      <c r="C8" s="84"/>
      <c r="D8" s="84"/>
      <c r="E8" s="115" t="s">
        <v>164</v>
      </c>
      <c r="F8" s="115"/>
      <c r="G8" s="115"/>
      <c r="H8" s="115"/>
    </row>
    <row r="9" spans="1:8" x14ac:dyDescent="0.35">
      <c r="A9" s="84" t="s">
        <v>126</v>
      </c>
      <c r="B9" s="84"/>
      <c r="C9" s="84"/>
      <c r="D9" s="84"/>
      <c r="E9" s="84" t="s">
        <v>222</v>
      </c>
      <c r="F9" s="84"/>
      <c r="G9" s="84"/>
      <c r="H9" s="84"/>
    </row>
    <row r="10" spans="1:8" x14ac:dyDescent="0.35">
      <c r="A10" s="84" t="s">
        <v>221</v>
      </c>
      <c r="B10" s="84"/>
      <c r="C10" s="84"/>
      <c r="D10" s="84"/>
      <c r="E10" s="138" t="s">
        <v>224</v>
      </c>
      <c r="F10" s="138"/>
      <c r="G10" s="138"/>
      <c r="H10" s="138"/>
    </row>
    <row r="11" spans="1:8" x14ac:dyDescent="0.35">
      <c r="A11" s="138" t="s">
        <v>7</v>
      </c>
      <c r="B11" s="138"/>
      <c r="C11" s="138"/>
      <c r="D11" s="138"/>
      <c r="E11" s="138" t="s">
        <v>216</v>
      </c>
      <c r="F11" s="138"/>
      <c r="G11" s="138"/>
      <c r="H11" s="138"/>
    </row>
    <row r="12" spans="1:8" x14ac:dyDescent="0.35">
      <c r="A12" s="84" t="s">
        <v>8</v>
      </c>
      <c r="B12" s="84"/>
      <c r="C12" s="84"/>
      <c r="D12" s="84"/>
      <c r="E12" s="106" t="s">
        <v>204</v>
      </c>
      <c r="F12" s="106"/>
      <c r="G12" s="106"/>
      <c r="H12" s="106"/>
    </row>
    <row r="13" spans="1:8" x14ac:dyDescent="0.35">
      <c r="A13" s="84" t="s">
        <v>9</v>
      </c>
      <c r="B13" s="84"/>
      <c r="C13" s="84"/>
      <c r="D13" s="84"/>
      <c r="E13" s="106" t="s">
        <v>166</v>
      </c>
      <c r="F13" s="138"/>
      <c r="G13" s="138"/>
      <c r="H13" s="138"/>
    </row>
    <row r="14" spans="1:8" ht="35.25" customHeight="1" x14ac:dyDescent="0.35">
      <c r="A14" s="99" t="s">
        <v>10</v>
      </c>
      <c r="B14" s="99"/>
      <c r="C14" s="9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Swapnalok, Survey No.11/2., near Royal Flora Shri Aadinath Realty, Sonale-Bapgaon Rd, Bhadwad, Bhiwandi, Bhiwandi, Thane - 421302.</v>
      </c>
      <c r="D14" s="99"/>
      <c r="E14" s="99"/>
      <c r="F14" s="99"/>
      <c r="G14" s="99"/>
      <c r="H14" s="99"/>
    </row>
    <row r="15" spans="1:8" x14ac:dyDescent="0.35">
      <c r="A15" s="99" t="s">
        <v>167</v>
      </c>
      <c r="B15" s="99"/>
      <c r="C15" s="150" t="s">
        <v>203</v>
      </c>
      <c r="D15" s="106"/>
      <c r="E15" s="106"/>
      <c r="F15" s="106"/>
      <c r="G15" s="106"/>
      <c r="H15" s="106"/>
    </row>
    <row r="16" spans="1:8" ht="15.75" customHeight="1" x14ac:dyDescent="0.35">
      <c r="A16" s="99" t="s">
        <v>11</v>
      </c>
      <c r="B16" s="99"/>
      <c r="C16" s="138" t="s">
        <v>199</v>
      </c>
      <c r="D16" s="138"/>
      <c r="E16" s="99" t="s">
        <v>77</v>
      </c>
      <c r="F16" s="99"/>
      <c r="G16" s="106" t="s">
        <v>168</v>
      </c>
      <c r="H16" s="106"/>
    </row>
    <row r="17" spans="1:8" x14ac:dyDescent="0.35">
      <c r="A17" s="84" t="s">
        <v>13</v>
      </c>
      <c r="B17" s="84"/>
      <c r="C17" s="106" t="s">
        <v>169</v>
      </c>
      <c r="D17" s="106"/>
      <c r="E17" s="99" t="s">
        <v>12</v>
      </c>
      <c r="F17" s="99"/>
      <c r="G17" s="151" t="s">
        <v>170</v>
      </c>
      <c r="H17" s="151"/>
    </row>
    <row r="18" spans="1:8" x14ac:dyDescent="0.35">
      <c r="A18" s="84" t="s">
        <v>78</v>
      </c>
      <c r="B18" s="84"/>
      <c r="C18" s="106" t="s">
        <v>169</v>
      </c>
      <c r="D18" s="106"/>
      <c r="E18" s="99" t="s">
        <v>14</v>
      </c>
      <c r="F18" s="99"/>
      <c r="G18" s="106">
        <v>421302</v>
      </c>
      <c r="H18" s="106"/>
    </row>
    <row r="19" spans="1:8" ht="32.25" customHeight="1" x14ac:dyDescent="0.35">
      <c r="A19" s="84" t="s">
        <v>127</v>
      </c>
      <c r="B19" s="84"/>
      <c r="C19" s="152" t="s">
        <v>198</v>
      </c>
      <c r="D19" s="152"/>
      <c r="E19" s="99" t="s">
        <v>15</v>
      </c>
      <c r="F19" s="99"/>
      <c r="G19" s="106" t="s">
        <v>202</v>
      </c>
      <c r="H19" s="106"/>
    </row>
    <row r="20" spans="1:8" ht="15" customHeight="1" x14ac:dyDescent="0.35">
      <c r="A20" s="99" t="s">
        <v>81</v>
      </c>
      <c r="B20" s="99"/>
      <c r="C20" s="99"/>
      <c r="D20" s="99"/>
      <c r="E20" s="138" t="s">
        <v>16</v>
      </c>
      <c r="F20" s="138"/>
      <c r="G20" s="138"/>
      <c r="H20" s="138"/>
    </row>
    <row r="21" spans="1:8" ht="18.75" customHeight="1" x14ac:dyDescent="0.35">
      <c r="A21" s="99"/>
      <c r="B21" s="99"/>
      <c r="C21" s="99"/>
      <c r="D21" s="99"/>
      <c r="E21" s="138"/>
      <c r="F21" s="138"/>
      <c r="G21" s="138"/>
      <c r="H21" s="138"/>
    </row>
    <row r="22" spans="1:8" ht="15" customHeight="1" x14ac:dyDescent="0.35">
      <c r="A22" s="99" t="s">
        <v>17</v>
      </c>
      <c r="B22" s="99"/>
      <c r="C22" s="99"/>
      <c r="D22" s="99"/>
      <c r="E22" s="106" t="s">
        <v>18</v>
      </c>
      <c r="F22" s="106"/>
      <c r="G22" s="106"/>
      <c r="H22" s="106"/>
    </row>
    <row r="23" spans="1:8" ht="15" customHeight="1" x14ac:dyDescent="0.35">
      <c r="A23" s="84" t="s">
        <v>19</v>
      </c>
      <c r="B23" s="84"/>
      <c r="C23" s="84"/>
      <c r="D23" s="84"/>
      <c r="E23" s="106" t="str">
        <f>IF(AND(G17="Mumbai"),"Upper Class","Middle Class")</f>
        <v>Middle Class</v>
      </c>
      <c r="F23" s="106"/>
      <c r="G23" s="106"/>
      <c r="H23" s="106"/>
    </row>
    <row r="24" spans="1:8" x14ac:dyDescent="0.35">
      <c r="A24" s="84" t="s">
        <v>20</v>
      </c>
      <c r="B24" s="84"/>
      <c r="C24" s="84"/>
      <c r="D24" s="84"/>
      <c r="E24" s="106" t="s">
        <v>21</v>
      </c>
      <c r="F24" s="106"/>
      <c r="G24" s="106"/>
      <c r="H24" s="106"/>
    </row>
    <row r="25" spans="1:8" ht="15.75" customHeight="1" x14ac:dyDescent="0.35">
      <c r="A25" s="84" t="s">
        <v>22</v>
      </c>
      <c r="B25" s="84"/>
      <c r="C25" s="84"/>
      <c r="D25" s="84"/>
      <c r="E25" s="106" t="str">
        <f>IF(AND(G17="Mumbai"),"Developed","Developing")</f>
        <v>Developing</v>
      </c>
      <c r="F25" s="106"/>
      <c r="G25" s="106"/>
      <c r="H25" s="106"/>
    </row>
    <row r="26" spans="1:8" x14ac:dyDescent="0.35">
      <c r="A26" s="84" t="s">
        <v>23</v>
      </c>
      <c r="B26" s="84"/>
      <c r="C26" s="84"/>
      <c r="D26" s="84"/>
      <c r="E26" s="106" t="s">
        <v>24</v>
      </c>
      <c r="F26" s="106"/>
      <c r="G26" s="106"/>
      <c r="H26" s="106"/>
    </row>
    <row r="27" spans="1:8" x14ac:dyDescent="0.35">
      <c r="A27" s="84" t="s">
        <v>86</v>
      </c>
      <c r="B27" s="84"/>
      <c r="C27" s="84"/>
      <c r="D27" s="84"/>
      <c r="E27" s="106" t="s">
        <v>87</v>
      </c>
      <c r="F27" s="106"/>
      <c r="G27" s="106"/>
      <c r="H27" s="106"/>
    </row>
    <row r="28" spans="1:8" ht="15" customHeight="1" x14ac:dyDescent="0.35">
      <c r="A28" s="99" t="s">
        <v>33</v>
      </c>
      <c r="B28" s="99"/>
      <c r="C28" s="99"/>
      <c r="D28" s="99"/>
      <c r="E28" s="149" t="str">
        <f>IF(ISNUMBER(SEARCH("Shop",D54)),"Residential + Commercial",IF(ISNUMBER(SEARCH("Office",D54)),"Residential + Commercial",IF(SEARCH("Flats",D54),"Residential","")))</f>
        <v>Residential + Commercial</v>
      </c>
      <c r="F28" s="149"/>
      <c r="G28" s="149"/>
      <c r="H28" s="149"/>
    </row>
    <row r="29" spans="1:8" x14ac:dyDescent="0.35">
      <c r="A29" s="99" t="s">
        <v>98</v>
      </c>
      <c r="B29" s="99"/>
      <c r="C29" s="99"/>
      <c r="D29" s="99"/>
      <c r="E29" s="99" t="s">
        <v>34</v>
      </c>
      <c r="F29" s="99"/>
      <c r="G29" s="99"/>
      <c r="H29" s="99"/>
    </row>
    <row r="30" spans="1:8" s="6" customFormat="1" x14ac:dyDescent="0.35">
      <c r="A30" s="157" t="s">
        <v>99</v>
      </c>
      <c r="B30" s="157"/>
      <c r="C30" s="156" t="s">
        <v>29</v>
      </c>
      <c r="D30" s="156"/>
      <c r="E30" s="156"/>
      <c r="F30" s="156" t="s">
        <v>31</v>
      </c>
      <c r="G30" s="156"/>
      <c r="H30" s="156"/>
    </row>
    <row r="31" spans="1:8" s="6" customFormat="1" x14ac:dyDescent="0.35">
      <c r="A31" s="153" t="s">
        <v>25</v>
      </c>
      <c r="B31" s="153" t="s">
        <v>30</v>
      </c>
      <c r="C31" s="154" t="s">
        <v>30</v>
      </c>
      <c r="D31" s="154"/>
      <c r="E31" s="154"/>
      <c r="F31" s="154" t="s">
        <v>201</v>
      </c>
      <c r="G31" s="154"/>
      <c r="H31" s="154"/>
    </row>
    <row r="32" spans="1:8" x14ac:dyDescent="0.35">
      <c r="A32" s="153" t="s">
        <v>26</v>
      </c>
      <c r="B32" s="153" t="s">
        <v>30</v>
      </c>
      <c r="C32" s="154" t="s">
        <v>30</v>
      </c>
      <c r="D32" s="154"/>
      <c r="E32" s="154"/>
      <c r="F32" s="154" t="s">
        <v>201</v>
      </c>
      <c r="G32" s="154"/>
      <c r="H32" s="154"/>
    </row>
    <row r="33" spans="1:8" s="6" customFormat="1" x14ac:dyDescent="0.35">
      <c r="A33" s="153" t="s">
        <v>28</v>
      </c>
      <c r="B33" s="153" t="s">
        <v>30</v>
      </c>
      <c r="C33" s="154" t="s">
        <v>30</v>
      </c>
      <c r="D33" s="154"/>
      <c r="E33" s="154"/>
      <c r="F33" s="154" t="s">
        <v>200</v>
      </c>
      <c r="G33" s="154"/>
      <c r="H33" s="154"/>
    </row>
    <row r="34" spans="1:8" x14ac:dyDescent="0.35">
      <c r="A34" s="153" t="s">
        <v>27</v>
      </c>
      <c r="B34" s="153" t="s">
        <v>30</v>
      </c>
      <c r="C34" s="154" t="s">
        <v>30</v>
      </c>
      <c r="D34" s="154"/>
      <c r="E34" s="154"/>
      <c r="F34" s="154" t="s">
        <v>201</v>
      </c>
      <c r="G34" s="154"/>
      <c r="H34" s="154"/>
    </row>
    <row r="35" spans="1:8" x14ac:dyDescent="0.35">
      <c r="A35" s="84" t="s">
        <v>32</v>
      </c>
      <c r="B35" s="84"/>
      <c r="C35" s="84"/>
      <c r="D35" s="84"/>
      <c r="E35" s="84"/>
      <c r="F35" s="84"/>
      <c r="G35" s="84"/>
      <c r="H35" s="84"/>
    </row>
    <row r="36" spans="1:8" ht="15.75" customHeight="1" x14ac:dyDescent="0.35">
      <c r="A36" s="84" t="s">
        <v>225</v>
      </c>
      <c r="B36" s="84"/>
      <c r="C36" s="62" t="s">
        <v>226</v>
      </c>
      <c r="D36" s="62"/>
      <c r="E36" s="62"/>
      <c r="F36" s="62"/>
      <c r="G36" s="62"/>
      <c r="H36" s="62"/>
    </row>
    <row r="37" spans="1:8" ht="15.75" customHeight="1" x14ac:dyDescent="0.35">
      <c r="A37" s="84" t="s">
        <v>217</v>
      </c>
      <c r="B37" s="84"/>
      <c r="C37" s="85" t="s">
        <v>218</v>
      </c>
      <c r="D37" s="86"/>
      <c r="E37" s="86"/>
      <c r="F37" s="86"/>
      <c r="G37" s="86"/>
      <c r="H37" s="86"/>
    </row>
    <row r="38" spans="1:8" x14ac:dyDescent="0.35">
      <c r="A38" s="115" t="s">
        <v>35</v>
      </c>
      <c r="B38" s="115"/>
      <c r="C38" s="115"/>
      <c r="D38" s="115"/>
      <c r="E38" s="115"/>
      <c r="F38" s="115"/>
      <c r="G38" s="115"/>
      <c r="H38" s="115"/>
    </row>
    <row r="39" spans="1:8" x14ac:dyDescent="0.35">
      <c r="A39" s="84" t="s">
        <v>36</v>
      </c>
      <c r="B39" s="84"/>
      <c r="C39" s="84"/>
      <c r="D39" s="84"/>
      <c r="E39" s="155">
        <v>5212.5200000000004</v>
      </c>
      <c r="F39" s="155"/>
      <c r="G39" s="155"/>
      <c r="H39" s="155"/>
    </row>
    <row r="40" spans="1:8" x14ac:dyDescent="0.35">
      <c r="A40" s="84" t="s">
        <v>37</v>
      </c>
      <c r="B40" s="84"/>
      <c r="C40" s="84"/>
      <c r="D40" s="84"/>
      <c r="E40" s="98">
        <v>2.5</v>
      </c>
      <c r="F40" s="98"/>
      <c r="G40" s="98"/>
      <c r="H40" s="98"/>
    </row>
    <row r="41" spans="1:8" x14ac:dyDescent="0.35">
      <c r="A41" s="84" t="s">
        <v>38</v>
      </c>
      <c r="B41" s="84"/>
      <c r="C41" s="84"/>
      <c r="D41" s="84"/>
      <c r="E41" s="98">
        <f>E43/E39-E40</f>
        <v>0</v>
      </c>
      <c r="F41" s="98"/>
      <c r="G41" s="98"/>
      <c r="H41" s="98"/>
    </row>
    <row r="42" spans="1:8" x14ac:dyDescent="0.35">
      <c r="A42" s="84" t="s">
        <v>39</v>
      </c>
      <c r="B42" s="84"/>
      <c r="C42" s="84"/>
      <c r="D42" s="84"/>
      <c r="E42" s="98">
        <f>E40+E41</f>
        <v>2.5</v>
      </c>
      <c r="F42" s="98"/>
      <c r="G42" s="98"/>
      <c r="H42" s="98"/>
    </row>
    <row r="43" spans="1:8" x14ac:dyDescent="0.35">
      <c r="A43" s="84" t="s">
        <v>97</v>
      </c>
      <c r="B43" s="84"/>
      <c r="C43" s="84"/>
      <c r="D43" s="84"/>
      <c r="E43" s="137">
        <v>13031.3</v>
      </c>
      <c r="F43" s="137"/>
      <c r="G43" s="137"/>
      <c r="H43" s="137"/>
    </row>
    <row r="44" spans="1:8" x14ac:dyDescent="0.35">
      <c r="A44" s="138" t="s">
        <v>40</v>
      </c>
      <c r="B44" s="138"/>
      <c r="C44" s="138"/>
      <c r="D44" s="138"/>
      <c r="E44" s="138" t="s">
        <v>165</v>
      </c>
      <c r="F44" s="138"/>
      <c r="G44" s="138"/>
      <c r="H44" s="138"/>
    </row>
    <row r="45" spans="1:8" x14ac:dyDescent="0.35">
      <c r="A45" s="115" t="s">
        <v>41</v>
      </c>
      <c r="B45" s="115"/>
      <c r="C45" s="115"/>
      <c r="D45" s="115"/>
      <c r="E45" s="115"/>
      <c r="F45" s="115"/>
      <c r="G45" s="115"/>
      <c r="H45" s="115"/>
    </row>
    <row r="46" spans="1:8" ht="33.75" customHeight="1" x14ac:dyDescent="0.35">
      <c r="A46" s="139" t="s">
        <v>157</v>
      </c>
      <c r="B46" s="140"/>
      <c r="C46" s="141" t="s">
        <v>171</v>
      </c>
      <c r="D46" s="142"/>
      <c r="E46" s="142"/>
      <c r="F46" s="142"/>
      <c r="G46" s="142"/>
      <c r="H46" s="143"/>
    </row>
    <row r="47" spans="1:8" x14ac:dyDescent="0.35">
      <c r="A47" s="99" t="s">
        <v>42</v>
      </c>
      <c r="B47" s="99"/>
      <c r="C47" s="87" t="s">
        <v>208</v>
      </c>
      <c r="D47" s="87"/>
      <c r="E47" s="87"/>
      <c r="F47" s="46" t="s">
        <v>43</v>
      </c>
      <c r="G47" s="100">
        <v>44481</v>
      </c>
      <c r="H47" s="100"/>
    </row>
    <row r="48" spans="1:8" x14ac:dyDescent="0.35">
      <c r="A48" s="84" t="s">
        <v>44</v>
      </c>
      <c r="B48" s="84"/>
      <c r="C48" s="87" t="str">
        <f>C47</f>
        <v>EE/BP/PMAY/A/MHADA/364/2021</v>
      </c>
      <c r="D48" s="87"/>
      <c r="E48" s="87"/>
      <c r="F48" s="46" t="s">
        <v>43</v>
      </c>
      <c r="G48" s="100">
        <f>G47</f>
        <v>44481</v>
      </c>
      <c r="H48" s="100"/>
    </row>
    <row r="49" spans="1:14" s="5" customFormat="1" x14ac:dyDescent="0.35">
      <c r="A49" s="106" t="s">
        <v>230</v>
      </c>
      <c r="B49" s="106"/>
      <c r="C49" s="87" t="s">
        <v>229</v>
      </c>
      <c r="D49" s="93"/>
      <c r="E49" s="93"/>
      <c r="F49" s="8" t="s">
        <v>43</v>
      </c>
      <c r="G49" s="100">
        <v>44837</v>
      </c>
      <c r="H49" s="100"/>
    </row>
    <row r="50" spans="1:14" s="5" customFormat="1" ht="72.75" customHeight="1" x14ac:dyDescent="0.35">
      <c r="A50" s="106"/>
      <c r="B50" s="106"/>
      <c r="C50" s="81" t="s">
        <v>231</v>
      </c>
      <c r="D50" s="82"/>
      <c r="E50" s="82"/>
      <c r="F50" s="82"/>
      <c r="G50" s="82"/>
      <c r="H50" s="83"/>
    </row>
    <row r="51" spans="1:14" ht="68.400000000000006" customHeight="1" x14ac:dyDescent="0.35">
      <c r="A51" s="134" t="s">
        <v>45</v>
      </c>
      <c r="B51" s="134"/>
      <c r="C51" s="135" t="s">
        <v>237</v>
      </c>
      <c r="D51" s="136"/>
      <c r="E51" s="136" t="s">
        <v>46</v>
      </c>
      <c r="F51" s="47" t="s">
        <v>43</v>
      </c>
      <c r="G51" s="97">
        <v>45657</v>
      </c>
      <c r="H51" s="97"/>
    </row>
    <row r="52" spans="1:14" x14ac:dyDescent="0.35">
      <c r="A52" s="133" t="s">
        <v>48</v>
      </c>
      <c r="B52" s="133"/>
      <c r="C52" s="133"/>
      <c r="D52" s="133"/>
      <c r="E52" s="133"/>
      <c r="F52" s="133"/>
      <c r="G52" s="133"/>
      <c r="H52" s="133"/>
    </row>
    <row r="53" spans="1:14" x14ac:dyDescent="0.35">
      <c r="A53" s="99" t="s">
        <v>96</v>
      </c>
      <c r="B53" s="99"/>
      <c r="C53" s="99"/>
      <c r="D53" s="84">
        <f>E43</f>
        <v>13031.3</v>
      </c>
      <c r="E53" s="84"/>
      <c r="F53" s="84"/>
      <c r="G53" s="84"/>
      <c r="H53" s="84"/>
    </row>
    <row r="54" spans="1:14" x14ac:dyDescent="0.35">
      <c r="A54" s="106" t="s">
        <v>49</v>
      </c>
      <c r="B54" s="138"/>
      <c r="C54" s="138"/>
      <c r="D54" s="138" t="s">
        <v>197</v>
      </c>
      <c r="E54" s="138"/>
      <c r="F54" s="138"/>
      <c r="G54" s="138"/>
      <c r="H54" s="138"/>
      <c r="I54" s="33"/>
    </row>
    <row r="55" spans="1:14" x14ac:dyDescent="0.35">
      <c r="A55" s="103" t="s">
        <v>50</v>
      </c>
      <c r="B55" s="104"/>
      <c r="C55" s="105"/>
      <c r="D55" s="101" t="s">
        <v>207</v>
      </c>
      <c r="E55" s="102"/>
      <c r="F55" s="102"/>
      <c r="G55" s="102"/>
      <c r="H55" s="102"/>
    </row>
    <row r="56" spans="1:14" ht="15.75" customHeight="1" x14ac:dyDescent="0.35">
      <c r="A56" s="103" t="s">
        <v>94</v>
      </c>
      <c r="B56" s="104"/>
      <c r="C56" s="105"/>
      <c r="D56" s="170" t="s">
        <v>214</v>
      </c>
      <c r="E56" s="171"/>
      <c r="F56" s="171"/>
      <c r="G56" s="171"/>
      <c r="H56" s="172"/>
    </row>
    <row r="57" spans="1:14" ht="15.75" customHeight="1" x14ac:dyDescent="0.35">
      <c r="A57" s="84" t="s">
        <v>47</v>
      </c>
      <c r="B57" s="84"/>
      <c r="C57" s="84"/>
      <c r="D57" s="144" t="s">
        <v>238</v>
      </c>
      <c r="E57" s="144"/>
      <c r="F57" s="144"/>
      <c r="G57" s="144"/>
      <c r="H57" s="144"/>
      <c r="J57" s="32"/>
      <c r="K57" s="33"/>
      <c r="N57" s="33"/>
    </row>
    <row r="58" spans="1:14" ht="15.75" customHeight="1" x14ac:dyDescent="0.35">
      <c r="A58" s="84" t="s">
        <v>92</v>
      </c>
      <c r="B58" s="84"/>
      <c r="C58" s="84"/>
      <c r="D58" s="145" t="s">
        <v>240</v>
      </c>
      <c r="E58" s="145"/>
      <c r="F58" s="145"/>
      <c r="G58" s="145"/>
      <c r="H58" s="145"/>
      <c r="N58" s="33"/>
    </row>
    <row r="59" spans="1:14" ht="15.75" customHeight="1" x14ac:dyDescent="0.35">
      <c r="A59" s="84" t="s">
        <v>93</v>
      </c>
      <c r="B59" s="84"/>
      <c r="C59" s="84"/>
      <c r="D59" s="99" t="s">
        <v>24</v>
      </c>
      <c r="E59" s="99"/>
      <c r="F59" s="99"/>
      <c r="G59" s="99"/>
      <c r="H59" s="99"/>
      <c r="J59" s="13"/>
      <c r="K59" s="13"/>
    </row>
    <row r="60" spans="1:14" ht="31.5" customHeight="1" x14ac:dyDescent="0.35">
      <c r="A60" s="84" t="s">
        <v>79</v>
      </c>
      <c r="B60" s="84"/>
      <c r="C60" s="84"/>
      <c r="D60" s="106" t="s">
        <v>215</v>
      </c>
      <c r="E60" s="99"/>
      <c r="F60" s="99"/>
      <c r="G60" s="99"/>
      <c r="H60" s="99"/>
    </row>
    <row r="61" spans="1:14" x14ac:dyDescent="0.35">
      <c r="A61" s="99" t="s">
        <v>154</v>
      </c>
      <c r="B61" s="99"/>
      <c r="C61" s="99"/>
      <c r="D61" s="99" t="s">
        <v>30</v>
      </c>
      <c r="E61" s="99"/>
      <c r="F61" s="99"/>
      <c r="G61" s="99"/>
      <c r="H61" s="99"/>
      <c r="I61" s="42"/>
      <c r="J61" s="42"/>
      <c r="K61" s="42"/>
      <c r="L61" s="42"/>
      <c r="M61" s="42"/>
      <c r="N61" s="42"/>
    </row>
    <row r="62" spans="1:14" ht="15.75" customHeight="1" x14ac:dyDescent="0.35">
      <c r="A62" s="84" t="s">
        <v>91</v>
      </c>
      <c r="B62" s="84"/>
      <c r="C62" s="84"/>
      <c r="D62" s="106" t="str">
        <f ca="1">(IF(E68&gt;95%,"Nothing",IF(E68&gt;0%,"Cement, Aggregate, Steel, etc",IF(E68=0%,"Work not yet Started"))))</f>
        <v>Nothing</v>
      </c>
      <c r="E62" s="106"/>
      <c r="F62" s="106"/>
      <c r="G62" s="106"/>
      <c r="H62" s="106"/>
      <c r="J62" s="13"/>
    </row>
    <row r="63" spans="1:14" ht="33.75" customHeight="1" thickBot="1" x14ac:dyDescent="0.4">
      <c r="A63" s="99" t="s">
        <v>120</v>
      </c>
      <c r="B63" s="99"/>
      <c r="C63" s="99"/>
      <c r="D63" s="106" t="str">
        <f ca="1">(IF(D62="Nothing","Yes",IF(D62="Cement, Aggregate, Steel, etc","Under Construction",IF(D62="Work not yet Started","Work not yet Started"))))</f>
        <v>Yes</v>
      </c>
      <c r="E63" s="106"/>
      <c r="F63" s="106" t="str">
        <f ca="1">(IF(D62="Nothing","Yes",IF(D62="Cement, Aggregate, Steel, etc","Under Construction",IF(D62="Work not yet Started","Work not yet Started"))))</f>
        <v>Yes</v>
      </c>
      <c r="G63" s="106"/>
      <c r="H63" s="106"/>
    </row>
    <row r="64" spans="1:14" ht="15.75" customHeight="1" x14ac:dyDescent="0.35">
      <c r="A64" s="70" t="s">
        <v>146</v>
      </c>
      <c r="B64" s="70"/>
      <c r="C64" s="70" t="s">
        <v>214</v>
      </c>
      <c r="D64" s="70"/>
      <c r="E64" s="70"/>
      <c r="F64" s="70"/>
      <c r="G64" s="70"/>
      <c r="H64" s="70"/>
      <c r="I64" s="35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All work completed. Please provide OC.</v>
      </c>
      <c r="J64" s="14"/>
    </row>
    <row r="65" spans="1:10" x14ac:dyDescent="0.35">
      <c r="A65" s="59" t="s">
        <v>148</v>
      </c>
      <c r="B65" s="59">
        <v>0</v>
      </c>
      <c r="C65" s="59" t="s">
        <v>76</v>
      </c>
      <c r="D65" s="59">
        <v>1</v>
      </c>
      <c r="E65" s="59" t="s">
        <v>75</v>
      </c>
      <c r="F65" s="59">
        <v>0</v>
      </c>
      <c r="G65" s="59" t="s">
        <v>85</v>
      </c>
      <c r="H65" s="59">
        <f ca="1">--TRIM(RIGHT(SUBSTITUTE(LEFT(C64,_xlfn.AGGREGATE(16,6,FIND({0,1,2,3,4,5,6,7,8,9},C64,ROW(INDIRECT("1:"&amp;LEN(C64)))),1))," ",REPT(" ",LEN(C64))),LEN(C64)))</f>
        <v>7</v>
      </c>
      <c r="I65" s="13"/>
      <c r="J65" s="15"/>
    </row>
    <row r="66" spans="1:10" x14ac:dyDescent="0.35">
      <c r="A66" s="69" t="s">
        <v>95</v>
      </c>
      <c r="B66" s="69"/>
      <c r="C66" s="70" t="str">
        <f>I66</f>
        <v>All work Completed. OC Received.</v>
      </c>
      <c r="D66" s="70"/>
      <c r="E66" s="70"/>
      <c r="F66" s="70"/>
      <c r="G66" s="70"/>
      <c r="H66" s="70"/>
      <c r="I66" s="13" t="s">
        <v>107</v>
      </c>
      <c r="J66" s="15"/>
    </row>
    <row r="67" spans="1:10" ht="15.75" customHeight="1" x14ac:dyDescent="0.35">
      <c r="A67" s="73" t="s">
        <v>51</v>
      </c>
      <c r="B67" s="73"/>
      <c r="C67" s="57" t="s">
        <v>145</v>
      </c>
      <c r="D67" s="57" t="s">
        <v>88</v>
      </c>
      <c r="E67" s="73" t="s">
        <v>90</v>
      </c>
      <c r="F67" s="73"/>
      <c r="G67" s="73" t="s">
        <v>89</v>
      </c>
      <c r="H67" s="73"/>
      <c r="I67" s="31" t="s">
        <v>147</v>
      </c>
      <c r="J67" s="16">
        <f ca="1">H65*25%</f>
        <v>1.75</v>
      </c>
    </row>
    <row r="68" spans="1:10" x14ac:dyDescent="0.35">
      <c r="A68" s="73" t="s">
        <v>134</v>
      </c>
      <c r="B68" s="73"/>
      <c r="C68" s="49">
        <f ca="1">J69</f>
        <v>7</v>
      </c>
      <c r="D68" s="58">
        <f ca="1">((100/H65)*C68)/100</f>
        <v>1</v>
      </c>
      <c r="E68" s="75">
        <f ca="1">(((C69/H65*10)+(40/(D65+F65+H65)*C70)+(7.5/(H65)*C71)+(7.5/(H65)*C72)+(10/H65*C73)+(10/H65*C74)+(5/H65*C75)+(5/H65*C76)+(5/H65*C77))/100)</f>
        <v>1</v>
      </c>
      <c r="F68" s="75"/>
      <c r="G68" s="75">
        <f ca="1">((((C68/H65)*20)+((C69/H65)*25)+(30/(H65+F65+D65)*C70)+(5/H65*C71)+(5/H65*C72)+(5/H65*C73)+(5/H65*C74)+(0/H65*C75)+(0/H65*C76)+(5/H65*C77))/100)</f>
        <v>1</v>
      </c>
      <c r="H68" s="75"/>
      <c r="I68" s="31" t="s">
        <v>102</v>
      </c>
      <c r="J68" s="34">
        <f ca="1">H65*50%</f>
        <v>3.5</v>
      </c>
    </row>
    <row r="69" spans="1:10" x14ac:dyDescent="0.35">
      <c r="A69" s="73" t="s">
        <v>52</v>
      </c>
      <c r="B69" s="73"/>
      <c r="C69" s="51">
        <v>7</v>
      </c>
      <c r="D69" s="58">
        <f ca="1">((100/H65)*C69)/100</f>
        <v>1</v>
      </c>
      <c r="E69" s="75"/>
      <c r="F69" s="75"/>
      <c r="G69" s="75"/>
      <c r="H69" s="75"/>
      <c r="I69" s="31" t="s">
        <v>103</v>
      </c>
      <c r="J69" s="34">
        <f ca="1">H65</f>
        <v>7</v>
      </c>
    </row>
    <row r="70" spans="1:10" ht="15.75" customHeight="1" x14ac:dyDescent="0.35">
      <c r="A70" s="73" t="s">
        <v>135</v>
      </c>
      <c r="B70" s="73"/>
      <c r="C70" s="56">
        <v>8</v>
      </c>
      <c r="D70" s="58">
        <f ca="1">((100/(D65+F65+H65))*C70)/100</f>
        <v>1</v>
      </c>
      <c r="E70" s="75"/>
      <c r="F70" s="75"/>
      <c r="G70" s="75"/>
      <c r="H70" s="75"/>
      <c r="I70" s="31" t="s">
        <v>104</v>
      </c>
      <c r="J70" s="37">
        <f ca="1">(IF(B65&gt;1,(H65/(B65+2)),H65/4))</f>
        <v>1.75</v>
      </c>
    </row>
    <row r="71" spans="1:10" ht="15.75" customHeight="1" x14ac:dyDescent="0.35">
      <c r="A71" s="73" t="s">
        <v>142</v>
      </c>
      <c r="B71" s="73" t="s">
        <v>136</v>
      </c>
      <c r="C71" s="49">
        <v>7</v>
      </c>
      <c r="D71" s="58">
        <f ca="1">((100/H65)*C71)/100</f>
        <v>1</v>
      </c>
      <c r="E71" s="75"/>
      <c r="F71" s="75"/>
      <c r="G71" s="75"/>
      <c r="H71" s="75"/>
      <c r="I71" s="31" t="s">
        <v>105</v>
      </c>
      <c r="J71" s="37">
        <f ca="1">(IF(B65&gt;1,(H65/(B65+2)+J70),H65/4+J70))</f>
        <v>3.5</v>
      </c>
    </row>
    <row r="72" spans="1:10" ht="15.75" customHeight="1" x14ac:dyDescent="0.35">
      <c r="A72" s="73" t="s">
        <v>143</v>
      </c>
      <c r="B72" s="73" t="s">
        <v>136</v>
      </c>
      <c r="C72" s="49">
        <v>7</v>
      </c>
      <c r="D72" s="58">
        <f ca="1">((100/H65)*C72)/100</f>
        <v>1</v>
      </c>
      <c r="E72" s="75"/>
      <c r="F72" s="75"/>
      <c r="G72" s="75"/>
      <c r="H72" s="75"/>
      <c r="I72" s="31" t="s">
        <v>152</v>
      </c>
      <c r="J72" s="37">
        <f>(IF(B65&gt;1,(H65/(B65+2)+J71),0))</f>
        <v>0</v>
      </c>
    </row>
    <row r="73" spans="1:10" ht="15" customHeight="1" x14ac:dyDescent="0.35">
      <c r="A73" s="73" t="s">
        <v>141</v>
      </c>
      <c r="B73" s="73" t="s">
        <v>138</v>
      </c>
      <c r="C73" s="49">
        <v>7</v>
      </c>
      <c r="D73" s="58">
        <f ca="1">((100/(H65))*C73)/100</f>
        <v>1</v>
      </c>
      <c r="E73" s="75"/>
      <c r="F73" s="75"/>
      <c r="G73" s="75"/>
      <c r="H73" s="75"/>
      <c r="I73" s="31" t="s">
        <v>149</v>
      </c>
      <c r="J73" s="37">
        <f>(IF(B65&gt;2,(H65/(B65+2)+J72),0))</f>
        <v>0</v>
      </c>
    </row>
    <row r="74" spans="1:10" ht="15.75" customHeight="1" x14ac:dyDescent="0.35">
      <c r="A74" s="73" t="s">
        <v>137</v>
      </c>
      <c r="B74" s="73" t="s">
        <v>137</v>
      </c>
      <c r="C74" s="49">
        <v>7</v>
      </c>
      <c r="D74" s="58">
        <f ca="1">((100/H65)*C74)/100</f>
        <v>1</v>
      </c>
      <c r="E74" s="75"/>
      <c r="F74" s="75"/>
      <c r="G74" s="75"/>
      <c r="H74" s="75"/>
      <c r="I74" s="31" t="s">
        <v>150</v>
      </c>
      <c r="J74" s="38">
        <f>(IF(B65&gt;3,(H65/(B65+2)+J73),0))</f>
        <v>0</v>
      </c>
    </row>
    <row r="75" spans="1:10" ht="15.75" customHeight="1" x14ac:dyDescent="0.35">
      <c r="A75" s="73" t="s">
        <v>144</v>
      </c>
      <c r="B75" s="73"/>
      <c r="C75" s="49">
        <v>7</v>
      </c>
      <c r="D75" s="58">
        <f ca="1">((100/H65)*C75)/100</f>
        <v>1</v>
      </c>
      <c r="E75" s="75"/>
      <c r="F75" s="75"/>
      <c r="G75" s="75"/>
      <c r="H75" s="75"/>
      <c r="I75" s="31" t="s">
        <v>151</v>
      </c>
      <c r="J75" s="37">
        <f>(IF(B65&gt;4,(H65/(B65+2)+J74),0))</f>
        <v>0</v>
      </c>
    </row>
    <row r="76" spans="1:10" ht="15.75" customHeight="1" x14ac:dyDescent="0.35">
      <c r="A76" s="73" t="s">
        <v>139</v>
      </c>
      <c r="B76" s="73" t="s">
        <v>139</v>
      </c>
      <c r="C76" s="49">
        <v>7</v>
      </c>
      <c r="D76" s="58">
        <f ca="1">((100/(H65))*C76)/100</f>
        <v>1</v>
      </c>
      <c r="E76" s="75"/>
      <c r="F76" s="75"/>
      <c r="G76" s="75"/>
      <c r="H76" s="75"/>
      <c r="I76" s="31" t="s">
        <v>153</v>
      </c>
      <c r="J76" s="37">
        <f ca="1">(IF(B65=1,(H65/(B65+3)+J71),IF(B65=0,(H65/4+J71),IF(B65&gt;1,0))))</f>
        <v>5.25</v>
      </c>
    </row>
    <row r="77" spans="1:10" ht="16" thickBot="1" x14ac:dyDescent="0.4">
      <c r="A77" s="73" t="s">
        <v>140</v>
      </c>
      <c r="B77" s="73"/>
      <c r="C77" s="49">
        <v>7</v>
      </c>
      <c r="D77" s="58">
        <f ca="1">((100/(H65))*C77)/100</f>
        <v>1</v>
      </c>
      <c r="E77" s="75"/>
      <c r="F77" s="75"/>
      <c r="G77" s="75"/>
      <c r="H77" s="75"/>
      <c r="I77" s="36" t="s">
        <v>106</v>
      </c>
      <c r="J77" s="39">
        <f ca="1">(IF(B65&gt;1.5,(H65/(B65+2)+J71+MAX(0,J72-J71)+MAX(0,J73-J72)+MAX(0,J74-J73)+MAX(0,J75-J74)+MAX(0,J76-J75)),IF(B65=1,(H65/(B65+3)+J76),IF(B65=0,H65/4+J76))))</f>
        <v>7</v>
      </c>
    </row>
    <row r="78" spans="1:10" ht="15.75" hidden="1" customHeight="1" x14ac:dyDescent="0.35">
      <c r="A78" s="63" t="s">
        <v>146</v>
      </c>
      <c r="B78" s="64"/>
      <c r="C78" s="65" t="s">
        <v>227</v>
      </c>
      <c r="D78" s="66"/>
      <c r="E78" s="66"/>
      <c r="F78" s="66"/>
      <c r="G78" s="66"/>
      <c r="H78" s="67"/>
      <c r="I78" s="35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Slab Completed, Brickwork Completed, Internal Plaster Completed, External Plaster Completed, Flooring upto 6 Floor Completed, Painting upto 6 Floor Completed.</v>
      </c>
      <c r="J78" s="14"/>
    </row>
    <row r="79" spans="1:10" hidden="1" x14ac:dyDescent="0.35">
      <c r="A79" s="40" t="s">
        <v>148</v>
      </c>
      <c r="B79" s="45">
        <v>0</v>
      </c>
      <c r="C79" s="45" t="s">
        <v>76</v>
      </c>
      <c r="D79" s="45">
        <v>1</v>
      </c>
      <c r="E79" s="45" t="s">
        <v>75</v>
      </c>
      <c r="F79" s="45">
        <v>0</v>
      </c>
      <c r="G79" s="45" t="s">
        <v>85</v>
      </c>
      <c r="H79" s="41">
        <f ca="1">--TRIM(RIGHT(SUBSTITUTE(LEFT(C78,_xlfn.AGGREGATE(16,6,FIND({0,1,2,3,4,5,6,7,8,9},C78,ROW(INDIRECT("1:"&amp;LEN(C78)))),1))," ",REPT(" ",LEN(C78))),LEN(C78)))</f>
        <v>7</v>
      </c>
      <c r="I79" s="13"/>
      <c r="J79" s="15"/>
    </row>
    <row r="80" spans="1:10" ht="49.5" hidden="1" customHeight="1" x14ac:dyDescent="0.35">
      <c r="A80" s="68" t="s">
        <v>95</v>
      </c>
      <c r="B80" s="69"/>
      <c r="C80" s="70" t="str">
        <f>(IF($G$51="NA",I78,"All work Completed. OC Received."))</f>
        <v>All work Completed. OC Received.</v>
      </c>
      <c r="D80" s="70"/>
      <c r="E80" s="70"/>
      <c r="F80" s="70"/>
      <c r="G80" s="70"/>
      <c r="H80" s="71"/>
      <c r="I80" s="13" t="s">
        <v>107</v>
      </c>
      <c r="J80" s="15"/>
    </row>
    <row r="81" spans="1:10" ht="15.75" hidden="1" customHeight="1" x14ac:dyDescent="0.35">
      <c r="A81" s="72" t="s">
        <v>51</v>
      </c>
      <c r="B81" s="73"/>
      <c r="C81" s="48" t="s">
        <v>145</v>
      </c>
      <c r="D81" s="48" t="s">
        <v>88</v>
      </c>
      <c r="E81" s="73" t="s">
        <v>90</v>
      </c>
      <c r="F81" s="73"/>
      <c r="G81" s="73" t="s">
        <v>89</v>
      </c>
      <c r="H81" s="74"/>
      <c r="I81" s="31" t="s">
        <v>147</v>
      </c>
      <c r="J81" s="16">
        <f ca="1">H79*25%</f>
        <v>1.75</v>
      </c>
    </row>
    <row r="82" spans="1:10" hidden="1" x14ac:dyDescent="0.35">
      <c r="A82" s="72" t="s">
        <v>134</v>
      </c>
      <c r="B82" s="73"/>
      <c r="C82" s="49">
        <f ca="1">J83</f>
        <v>7</v>
      </c>
      <c r="D82" s="50">
        <f ca="1">((100/H79)*C82)/100</f>
        <v>1</v>
      </c>
      <c r="E82" s="75">
        <f ca="1">(((C83/H79*10)+(40/(D79+F79+H79)*C84)+(7.5/(H79)*C85)+(7.5/(H79)*C86)+(10/H79*C87)+(10/H79*C88)+(5/H79*C89)+(5/H79*C90)+(5/H79*C91))/100)</f>
        <v>0.87857142857142856</v>
      </c>
      <c r="F82" s="75"/>
      <c r="G82" s="75">
        <f ca="1">((((C82/H79)*20)+((C83/H79)*25)+(30/(H79+F79+D79)*C84)+(5/H79*C85)+(5/H79*C86)+(5/H79*C87)+(5/H79*C88)+(0/H79*C89)+(0/H79*C90)+(5/H79*C91))/100)</f>
        <v>0.94285714285714295</v>
      </c>
      <c r="H82" s="77"/>
      <c r="I82" s="31" t="s">
        <v>102</v>
      </c>
      <c r="J82" s="34">
        <f ca="1">H79*50%</f>
        <v>3.5</v>
      </c>
    </row>
    <row r="83" spans="1:10" hidden="1" x14ac:dyDescent="0.35">
      <c r="A83" s="72" t="s">
        <v>52</v>
      </c>
      <c r="B83" s="73"/>
      <c r="C83" s="51">
        <v>7</v>
      </c>
      <c r="D83" s="50">
        <f ca="1">((100/H79)*C83)/100</f>
        <v>1</v>
      </c>
      <c r="E83" s="75"/>
      <c r="F83" s="75"/>
      <c r="G83" s="75"/>
      <c r="H83" s="77"/>
      <c r="I83" s="31" t="s">
        <v>103</v>
      </c>
      <c r="J83" s="34">
        <f ca="1">H79</f>
        <v>7</v>
      </c>
    </row>
    <row r="84" spans="1:10" ht="15.75" hidden="1" customHeight="1" x14ac:dyDescent="0.35">
      <c r="A84" s="72" t="s">
        <v>135</v>
      </c>
      <c r="B84" s="73"/>
      <c r="C84" s="56">
        <v>8</v>
      </c>
      <c r="D84" s="50">
        <f ca="1">((100/(D79+F79+H79))*C84)/100</f>
        <v>1</v>
      </c>
      <c r="E84" s="75"/>
      <c r="F84" s="75"/>
      <c r="G84" s="75"/>
      <c r="H84" s="77"/>
      <c r="I84" s="31" t="s">
        <v>104</v>
      </c>
      <c r="J84" s="37">
        <f ca="1">(IF(B79&gt;1,(H79/(B79+2)),H79/4))</f>
        <v>1.75</v>
      </c>
    </row>
    <row r="85" spans="1:10" ht="15.75" hidden="1" customHeight="1" x14ac:dyDescent="0.35">
      <c r="A85" s="72" t="s">
        <v>142</v>
      </c>
      <c r="B85" s="73" t="s">
        <v>136</v>
      </c>
      <c r="C85" s="49">
        <v>7</v>
      </c>
      <c r="D85" s="50">
        <f ca="1">((100/H79)*C85)/100</f>
        <v>1</v>
      </c>
      <c r="E85" s="75"/>
      <c r="F85" s="75"/>
      <c r="G85" s="75"/>
      <c r="H85" s="77"/>
      <c r="I85" s="31" t="s">
        <v>105</v>
      </c>
      <c r="J85" s="37">
        <f ca="1">(IF(B79&gt;1,(H79/(B79+2)+J84),H79/4+J84))</f>
        <v>3.5</v>
      </c>
    </row>
    <row r="86" spans="1:10" ht="15.75" hidden="1" customHeight="1" x14ac:dyDescent="0.35">
      <c r="A86" s="72" t="s">
        <v>143</v>
      </c>
      <c r="B86" s="73" t="s">
        <v>136</v>
      </c>
      <c r="C86" s="49">
        <v>7</v>
      </c>
      <c r="D86" s="50">
        <f ca="1">((100/H79)*C86)/100</f>
        <v>1</v>
      </c>
      <c r="E86" s="75"/>
      <c r="F86" s="75"/>
      <c r="G86" s="75"/>
      <c r="H86" s="77"/>
      <c r="I86" s="31" t="s">
        <v>152</v>
      </c>
      <c r="J86" s="37">
        <f>(IF(B79&gt;1,(H79/(B79+2)+J85),0))</f>
        <v>0</v>
      </c>
    </row>
    <row r="87" spans="1:10" ht="15" hidden="1" customHeight="1" x14ac:dyDescent="0.35">
      <c r="A87" s="72" t="s">
        <v>141</v>
      </c>
      <c r="B87" s="73" t="s">
        <v>138</v>
      </c>
      <c r="C87" s="49">
        <v>7</v>
      </c>
      <c r="D87" s="50">
        <f ca="1">((100/(H79))*C87)/100</f>
        <v>1</v>
      </c>
      <c r="E87" s="75"/>
      <c r="F87" s="75"/>
      <c r="G87" s="75"/>
      <c r="H87" s="77"/>
      <c r="I87" s="31" t="s">
        <v>149</v>
      </c>
      <c r="J87" s="37">
        <f>(IF(B79&gt;2,(H79/(B79+2)+J86),0))</f>
        <v>0</v>
      </c>
    </row>
    <row r="88" spans="1:10" ht="15.75" hidden="1" customHeight="1" x14ac:dyDescent="0.35">
      <c r="A88" s="72" t="s">
        <v>137</v>
      </c>
      <c r="B88" s="73" t="s">
        <v>137</v>
      </c>
      <c r="C88" s="49">
        <v>6</v>
      </c>
      <c r="D88" s="50">
        <f ca="1">((100/H79)*C88)/100</f>
        <v>0.85714285714285721</v>
      </c>
      <c r="E88" s="75"/>
      <c r="F88" s="75"/>
      <c r="G88" s="75"/>
      <c r="H88" s="77"/>
      <c r="I88" s="31" t="s">
        <v>150</v>
      </c>
      <c r="J88" s="38">
        <f>(IF(B79&gt;3,(H79/(B79+2)+J87),0))</f>
        <v>0</v>
      </c>
    </row>
    <row r="89" spans="1:10" ht="15.75" hidden="1" customHeight="1" x14ac:dyDescent="0.35">
      <c r="A89" s="72" t="s">
        <v>144</v>
      </c>
      <c r="B89" s="73"/>
      <c r="C89" s="49">
        <v>6</v>
      </c>
      <c r="D89" s="50">
        <f ca="1">((100/H79)*C89)/100</f>
        <v>0.85714285714285721</v>
      </c>
      <c r="E89" s="75"/>
      <c r="F89" s="75"/>
      <c r="G89" s="75"/>
      <c r="H89" s="77"/>
      <c r="I89" s="31" t="s">
        <v>151</v>
      </c>
      <c r="J89" s="37">
        <f>(IF(B79&gt;4,(H79/(B79+2)+J88),0))</f>
        <v>0</v>
      </c>
    </row>
    <row r="90" spans="1:10" ht="15.75" hidden="1" customHeight="1" x14ac:dyDescent="0.35">
      <c r="A90" s="72" t="s">
        <v>139</v>
      </c>
      <c r="B90" s="73" t="s">
        <v>139</v>
      </c>
      <c r="C90" s="49">
        <v>0</v>
      </c>
      <c r="D90" s="50">
        <f ca="1">((100/(H79))*C90)/100</f>
        <v>0</v>
      </c>
      <c r="E90" s="75"/>
      <c r="F90" s="75"/>
      <c r="G90" s="75"/>
      <c r="H90" s="77"/>
      <c r="I90" s="31" t="s">
        <v>153</v>
      </c>
      <c r="J90" s="37">
        <f ca="1">(IF(B79=1,(H79/(B79+3)+J85),IF(B79=0,(H79/4+J85),IF(B79&gt;1,0))))</f>
        <v>5.25</v>
      </c>
    </row>
    <row r="91" spans="1:10" ht="16" hidden="1" thickBot="1" x14ac:dyDescent="0.4">
      <c r="A91" s="79" t="s">
        <v>140</v>
      </c>
      <c r="B91" s="80"/>
      <c r="C91" s="52">
        <v>0</v>
      </c>
      <c r="D91" s="53">
        <f ca="1">((100/(H79))*C91)/100</f>
        <v>0</v>
      </c>
      <c r="E91" s="76"/>
      <c r="F91" s="76"/>
      <c r="G91" s="76"/>
      <c r="H91" s="78"/>
      <c r="I91" s="36" t="s">
        <v>106</v>
      </c>
      <c r="J91" s="39">
        <f ca="1">(IF(B79&gt;1.5,(H79/(B79+2)+J85+MAX(0,J86-J85)+MAX(0,J87-J86)+MAX(0,J88-J87)+MAX(0,J89-J88)+MAX(0,J90-J89)),IF(B79=1,(H79/(B79+3)+J90),IF(B79=0,H79/4+J90))))</f>
        <v>7</v>
      </c>
    </row>
    <row r="92" spans="1:10" ht="15.75" hidden="1" customHeight="1" x14ac:dyDescent="0.35">
      <c r="A92" s="88" t="s">
        <v>146</v>
      </c>
      <c r="B92" s="89"/>
      <c r="C92" s="90" t="s">
        <v>235</v>
      </c>
      <c r="D92" s="91"/>
      <c r="E92" s="91"/>
      <c r="F92" s="91"/>
      <c r="G92" s="91"/>
      <c r="H92" s="92"/>
      <c r="I92" s="35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 Completed",IF(C98&gt;0,", RCC upto "&amp;C98&amp;" Slab Completed",""))&amp;(IF(C99=H93,", Brickwork Completed",IF(C99&gt;0,", Brickwork upto "&amp;C99&amp;" Floor Completed",""))&amp;(IF(C100=H93,", Internal Plaster Completed",IF(C100&gt;0,", Internal Plaster upto "&amp;C100&amp;" Floor Completed",""))&amp;(IF(C101=H93,", External Plaster Completed",IF(C101&gt;0,", External Plaster upto "&amp;C101&amp;" Floor Completed",""))&amp;(IF(C102=H93,", Flooring Completed",IF(C102&gt;0,", Flooring upto "&amp;C102&amp;" Floor Completed",""))&amp;(IF(C103=H93,", Painting Completed",IF(C103&gt;0,", Painting upto "&amp;C103&amp;" Floor Completed",""))&amp;(IF(C104&gt;0,", Finishing upto "&amp;C104&amp;" Floor Completed","")&amp;(IF(C98&gt;0.5,".",""))))))))))))))</f>
        <v>Excavation work Completed. Plinth work completed, RCC Slab Completed, Brickwork Completed, Internal Plaster Completed, External Plaster Completed, Flooring upto 6 Floor Completed, Painting upto 6 Floor Completed.</v>
      </c>
      <c r="J92" s="14"/>
    </row>
    <row r="93" spans="1:10" hidden="1" x14ac:dyDescent="0.35">
      <c r="A93" s="40" t="s">
        <v>148</v>
      </c>
      <c r="B93" s="45">
        <v>0</v>
      </c>
      <c r="C93" s="45" t="s">
        <v>76</v>
      </c>
      <c r="D93" s="45">
        <v>1</v>
      </c>
      <c r="E93" s="45" t="s">
        <v>75</v>
      </c>
      <c r="F93" s="45">
        <v>0</v>
      </c>
      <c r="G93" s="45" t="s">
        <v>85</v>
      </c>
      <c r="H93" s="41">
        <f ca="1">--TRIM(RIGHT(SUBSTITUTE(LEFT(C92,_xlfn.AGGREGATE(16,6,FIND({0,1,2,3,4,5,6,7,8,9},C92,ROW(INDIRECT("1:"&amp;LEN(C92)))),1))," ",REPT(" ",LEN(C92))),LEN(C92)))</f>
        <v>7</v>
      </c>
      <c r="I93" s="13"/>
      <c r="J93" s="15"/>
    </row>
    <row r="94" spans="1:10" ht="62.75" hidden="1" customHeight="1" x14ac:dyDescent="0.35">
      <c r="A94" s="68" t="s">
        <v>95</v>
      </c>
      <c r="B94" s="69"/>
      <c r="C94" s="70" t="str">
        <f>(IF($G$51="NA",I92,"All work Completed. OC Received."))</f>
        <v>All work Completed. OC Received.</v>
      </c>
      <c r="D94" s="70"/>
      <c r="E94" s="70"/>
      <c r="F94" s="70"/>
      <c r="G94" s="70"/>
      <c r="H94" s="71"/>
      <c r="I94" s="13" t="s">
        <v>107</v>
      </c>
      <c r="J94" s="15"/>
    </row>
    <row r="95" spans="1:10" ht="15.75" hidden="1" customHeight="1" x14ac:dyDescent="0.35">
      <c r="A95" s="72" t="s">
        <v>51</v>
      </c>
      <c r="B95" s="73"/>
      <c r="C95" s="48" t="s">
        <v>145</v>
      </c>
      <c r="D95" s="48" t="s">
        <v>88</v>
      </c>
      <c r="E95" s="73" t="s">
        <v>90</v>
      </c>
      <c r="F95" s="73"/>
      <c r="G95" s="73" t="s">
        <v>89</v>
      </c>
      <c r="H95" s="74"/>
      <c r="I95" s="31" t="s">
        <v>147</v>
      </c>
      <c r="J95" s="16">
        <f ca="1">H93*25%</f>
        <v>1.75</v>
      </c>
    </row>
    <row r="96" spans="1:10" hidden="1" x14ac:dyDescent="0.35">
      <c r="A96" s="72" t="s">
        <v>134</v>
      </c>
      <c r="B96" s="73"/>
      <c r="C96" s="49">
        <f ca="1">J97</f>
        <v>7</v>
      </c>
      <c r="D96" s="50">
        <f ca="1">((100/H93)*C96)/100</f>
        <v>1</v>
      </c>
      <c r="E96" s="75">
        <f ca="1">(((C97/H93*10)+(40/(D93+F93+H93)*C98)+(7.5/(H93)*C99)+(7.5/(H93)*C100)+(10/H93*C101)+(10/H93*C102)+(5/H93*C103)+(5/H93*C104)+(5/H93*C105))/100)</f>
        <v>0.87857142857142856</v>
      </c>
      <c r="F96" s="75"/>
      <c r="G96" s="75">
        <f ca="1">((((C96/H93)*20)+((C97/H93)*25)+(30/(H93+F93+D93)*C98)+(5/H93*C99)+(5/H93*C100)+(5/H93*C101)+(5/H93*C102)+(0/H93*C103)+(0/H93*C104)+(5/H93*C105))/100)</f>
        <v>0.94285714285714295</v>
      </c>
      <c r="H96" s="77"/>
      <c r="I96" s="31" t="s">
        <v>102</v>
      </c>
      <c r="J96" s="34">
        <f ca="1">H93*50%</f>
        <v>3.5</v>
      </c>
    </row>
    <row r="97" spans="1:10" hidden="1" x14ac:dyDescent="0.35">
      <c r="A97" s="72" t="s">
        <v>52</v>
      </c>
      <c r="B97" s="73"/>
      <c r="C97" s="51">
        <v>7</v>
      </c>
      <c r="D97" s="50">
        <f ca="1">((100/H93)*C97)/100</f>
        <v>1</v>
      </c>
      <c r="E97" s="75"/>
      <c r="F97" s="75"/>
      <c r="G97" s="75"/>
      <c r="H97" s="77"/>
      <c r="I97" s="31" t="s">
        <v>103</v>
      </c>
      <c r="J97" s="34">
        <f ca="1">H93</f>
        <v>7</v>
      </c>
    </row>
    <row r="98" spans="1:10" ht="15.75" hidden="1" customHeight="1" x14ac:dyDescent="0.35">
      <c r="A98" s="72" t="s">
        <v>135</v>
      </c>
      <c r="B98" s="73"/>
      <c r="C98" s="51">
        <v>8</v>
      </c>
      <c r="D98" s="50">
        <f ca="1">((100/(D93+F93+H93))*C98)/100</f>
        <v>1</v>
      </c>
      <c r="E98" s="75"/>
      <c r="F98" s="75"/>
      <c r="G98" s="75"/>
      <c r="H98" s="77"/>
      <c r="I98" s="31" t="s">
        <v>104</v>
      </c>
      <c r="J98" s="37">
        <f ca="1">(IF(B93&gt;1,(H93/(B93+2)),H93/4))</f>
        <v>1.75</v>
      </c>
    </row>
    <row r="99" spans="1:10" ht="15.75" hidden="1" customHeight="1" x14ac:dyDescent="0.35">
      <c r="A99" s="72" t="s">
        <v>142</v>
      </c>
      <c r="B99" s="73" t="s">
        <v>136</v>
      </c>
      <c r="C99" s="49">
        <v>7</v>
      </c>
      <c r="D99" s="50">
        <f ca="1">((100/H93)*C99)/100</f>
        <v>1</v>
      </c>
      <c r="E99" s="75"/>
      <c r="F99" s="75"/>
      <c r="G99" s="75"/>
      <c r="H99" s="77"/>
      <c r="I99" s="31" t="s">
        <v>105</v>
      </c>
      <c r="J99" s="37">
        <f ca="1">(IF(B93&gt;1,(H93/(B93+2)+J98),H93/4+J98))</f>
        <v>3.5</v>
      </c>
    </row>
    <row r="100" spans="1:10" ht="15.75" hidden="1" customHeight="1" x14ac:dyDescent="0.35">
      <c r="A100" s="72" t="s">
        <v>143</v>
      </c>
      <c r="B100" s="73" t="s">
        <v>136</v>
      </c>
      <c r="C100" s="49">
        <v>7</v>
      </c>
      <c r="D100" s="50">
        <f ca="1">((100/H93)*C100)/100</f>
        <v>1</v>
      </c>
      <c r="E100" s="75"/>
      <c r="F100" s="75"/>
      <c r="G100" s="75"/>
      <c r="H100" s="77"/>
      <c r="I100" s="31" t="s">
        <v>152</v>
      </c>
      <c r="J100" s="37">
        <f>(IF(B93&gt;1,(H93/(B93+2)+J99),0))</f>
        <v>0</v>
      </c>
    </row>
    <row r="101" spans="1:10" ht="15" hidden="1" customHeight="1" x14ac:dyDescent="0.35">
      <c r="A101" s="72" t="s">
        <v>141</v>
      </c>
      <c r="B101" s="73" t="s">
        <v>138</v>
      </c>
      <c r="C101" s="49">
        <v>7</v>
      </c>
      <c r="D101" s="50">
        <f ca="1">((100/(H93))*C101)/100</f>
        <v>1</v>
      </c>
      <c r="E101" s="75"/>
      <c r="F101" s="75"/>
      <c r="G101" s="75"/>
      <c r="H101" s="77"/>
      <c r="I101" s="31" t="s">
        <v>149</v>
      </c>
      <c r="J101" s="37">
        <f>(IF(B93&gt;2,(H93/(B93+2)+J100),0))</f>
        <v>0</v>
      </c>
    </row>
    <row r="102" spans="1:10" ht="15.75" hidden="1" customHeight="1" x14ac:dyDescent="0.35">
      <c r="A102" s="72" t="s">
        <v>137</v>
      </c>
      <c r="B102" s="73" t="s">
        <v>137</v>
      </c>
      <c r="C102" s="49">
        <v>6</v>
      </c>
      <c r="D102" s="50">
        <f ca="1">((100/H93)*C102)/100</f>
        <v>0.85714285714285721</v>
      </c>
      <c r="E102" s="75"/>
      <c r="F102" s="75"/>
      <c r="G102" s="75"/>
      <c r="H102" s="77"/>
      <c r="I102" s="31" t="s">
        <v>150</v>
      </c>
      <c r="J102" s="38">
        <f>(IF(B93&gt;3,(H93/(B93+2)+J101),0))</f>
        <v>0</v>
      </c>
    </row>
    <row r="103" spans="1:10" ht="15.75" hidden="1" customHeight="1" x14ac:dyDescent="0.35">
      <c r="A103" s="72" t="s">
        <v>144</v>
      </c>
      <c r="B103" s="73"/>
      <c r="C103" s="49">
        <v>6</v>
      </c>
      <c r="D103" s="50">
        <f ca="1">((100/H93)*C103)/100</f>
        <v>0.85714285714285721</v>
      </c>
      <c r="E103" s="75"/>
      <c r="F103" s="75"/>
      <c r="G103" s="75"/>
      <c r="H103" s="77"/>
      <c r="I103" s="31" t="s">
        <v>151</v>
      </c>
      <c r="J103" s="37">
        <f>(IF(B93&gt;4,(H93/(B93+2)+J102),0))</f>
        <v>0</v>
      </c>
    </row>
    <row r="104" spans="1:10" ht="15.75" hidden="1" customHeight="1" x14ac:dyDescent="0.35">
      <c r="A104" s="72" t="s">
        <v>139</v>
      </c>
      <c r="B104" s="73" t="s">
        <v>139</v>
      </c>
      <c r="C104" s="49">
        <v>0</v>
      </c>
      <c r="D104" s="50">
        <f ca="1">((100/(H93))*C104)/100</f>
        <v>0</v>
      </c>
      <c r="E104" s="75"/>
      <c r="F104" s="75"/>
      <c r="G104" s="75"/>
      <c r="H104" s="77"/>
      <c r="I104" s="31" t="s">
        <v>153</v>
      </c>
      <c r="J104" s="37">
        <f ca="1">(IF(B93=1,(H93/(B93+3)+J99),IF(B93=0,(H93/4+J99),IF(B93&gt;1,0))))</f>
        <v>5.25</v>
      </c>
    </row>
    <row r="105" spans="1:10" ht="16" hidden="1" thickBot="1" x14ac:dyDescent="0.4">
      <c r="A105" s="79" t="s">
        <v>140</v>
      </c>
      <c r="B105" s="80"/>
      <c r="C105" s="52">
        <v>0</v>
      </c>
      <c r="D105" s="53">
        <f ca="1">((100/(H93))*C105)/100</f>
        <v>0</v>
      </c>
      <c r="E105" s="76"/>
      <c r="F105" s="76"/>
      <c r="G105" s="76"/>
      <c r="H105" s="78"/>
      <c r="I105" s="36" t="s">
        <v>106</v>
      </c>
      <c r="J105" s="39">
        <f ca="1">(IF(B93&gt;1.5,(H93/(B93+2)+J99+MAX(0,J100-J99)+MAX(0,J101-J100)+MAX(0,J102-J101)+MAX(0,J103-J102)+MAX(0,J104-J103)),IF(B93=1,(H93/(B93+3)+J104),IF(B93=0,H93/4+J104))))</f>
        <v>7</v>
      </c>
    </row>
    <row r="106" spans="1:10" ht="15.75" hidden="1" customHeight="1" x14ac:dyDescent="0.35">
      <c r="A106" s="88" t="s">
        <v>146</v>
      </c>
      <c r="B106" s="89"/>
      <c r="C106" s="90" t="s">
        <v>234</v>
      </c>
      <c r="D106" s="91"/>
      <c r="E106" s="91"/>
      <c r="F106" s="91"/>
      <c r="G106" s="91"/>
      <c r="H106" s="92"/>
      <c r="I106" s="35" t="str">
        <f ca="1">(IF(E110&gt;99%,"All work completed. Please provide OC.",IF(E110&gt;89.8%,"Plinth, RCC, Brick, Plaster, Flooring, Painting work Completed. Finishing work is in process.",IF(E110&lt;94%,(IF(C110=0,"Work not yet Started.",IF(D110=25%,"Piling work in process",IF(D110=50%,"Excavation work in process",IF(D110=100%,"Excavation work Completed. ","0")))&amp;(IF(C111=0%,"",IF(C111=J112,"Footing work is process",IF(C111=J113,"Footing work Completed",IF(C111=J114,"1st Basement Completed",IF(C111=J115,"1st &amp; 2nd Basement Completed",IF(C111=J116,"1st to 3rd Basement Completed",IF(C111=J117,"1st to 4th Basement Completed",IF(C111=J118,"Plinth work is process",IF(C111=J119,"Plinth work completed","0")))))))))))&amp;(IF(C112=(D107+F107+H107),", RCC Slab Completed",IF(C112&gt;0,", RCC upto "&amp;C112&amp;" Slab Completed",""))&amp;(IF(C113=H107,", Brickwork Completed",IF(C113&gt;0,", Brickwork upto "&amp;C113&amp;" Floor Completed",""))&amp;(IF(C114=H107,", Internal Plaster Completed",IF(C114&gt;0,", Internal Plaster upto "&amp;C114&amp;" Floor Completed",""))&amp;(IF(C115=H107,", External Plaster Completed",IF(C115&gt;0,", External Plaster upto "&amp;C115&amp;" Floor Completed",""))&amp;(IF(C116=H107,", Flooring Completed",IF(C116&gt;0,", Flooring upto "&amp;C116&amp;" Floor Completed",""))&amp;(IF(C117=H107,", Painting Completed",IF(C117&gt;0,", Painting upto "&amp;C117&amp;" Floor Completed",""))&amp;(IF(C118&gt;0,", Finishing upto "&amp;C118&amp;" Floor Completed","")&amp;(IF(C112&gt;0.5,".",""))))))))))))))</f>
        <v>Excavation work Completed. Plinth work completed, RCC Slab Completed, Brickwork Completed, Internal Plaster Completed, External Plaster Completed, Flooring upto 6 Floor Completed, Painting upto 6 Floor Completed.</v>
      </c>
      <c r="J106" s="14"/>
    </row>
    <row r="107" spans="1:10" hidden="1" x14ac:dyDescent="0.35">
      <c r="A107" s="40" t="s">
        <v>148</v>
      </c>
      <c r="B107" s="45">
        <v>0</v>
      </c>
      <c r="C107" s="45" t="s">
        <v>76</v>
      </c>
      <c r="D107" s="45">
        <v>1</v>
      </c>
      <c r="E107" s="45" t="s">
        <v>75</v>
      </c>
      <c r="F107" s="45">
        <v>0</v>
      </c>
      <c r="G107" s="45" t="s">
        <v>85</v>
      </c>
      <c r="H107" s="41">
        <f ca="1">--TRIM(RIGHT(SUBSTITUTE(LEFT(C106,_xlfn.AGGREGATE(16,6,FIND({0,1,2,3,4,5,6,7,8,9},C106,ROW(INDIRECT("1:"&amp;LEN(C106)))),1))," ",REPT(" ",LEN(C106))),LEN(C106)))</f>
        <v>7</v>
      </c>
      <c r="I107" s="13"/>
      <c r="J107" s="15"/>
    </row>
    <row r="108" spans="1:10" ht="64.25" hidden="1" customHeight="1" x14ac:dyDescent="0.35">
      <c r="A108" s="68" t="s">
        <v>95</v>
      </c>
      <c r="B108" s="69"/>
      <c r="C108" s="70" t="str">
        <f>(IF($G$51="NA",I106,"All work Completed. OC Received."))</f>
        <v>All work Completed. OC Received.</v>
      </c>
      <c r="D108" s="70"/>
      <c r="E108" s="70"/>
      <c r="F108" s="70"/>
      <c r="G108" s="70"/>
      <c r="H108" s="71"/>
      <c r="I108" s="13" t="s">
        <v>107</v>
      </c>
      <c r="J108" s="15"/>
    </row>
    <row r="109" spans="1:10" ht="15.75" hidden="1" customHeight="1" x14ac:dyDescent="0.35">
      <c r="A109" s="72" t="s">
        <v>51</v>
      </c>
      <c r="B109" s="73"/>
      <c r="C109" s="48" t="s">
        <v>145</v>
      </c>
      <c r="D109" s="48" t="s">
        <v>88</v>
      </c>
      <c r="E109" s="73" t="s">
        <v>90</v>
      </c>
      <c r="F109" s="73"/>
      <c r="G109" s="73" t="s">
        <v>89</v>
      </c>
      <c r="H109" s="74"/>
      <c r="I109" s="31" t="s">
        <v>147</v>
      </c>
      <c r="J109" s="16">
        <f ca="1">H107*25%</f>
        <v>1.75</v>
      </c>
    </row>
    <row r="110" spans="1:10" hidden="1" x14ac:dyDescent="0.35">
      <c r="A110" s="72" t="s">
        <v>134</v>
      </c>
      <c r="B110" s="73"/>
      <c r="C110" s="49">
        <f ca="1">J111</f>
        <v>7</v>
      </c>
      <c r="D110" s="50">
        <f ca="1">((100/H107)*C110)/100</f>
        <v>1</v>
      </c>
      <c r="E110" s="75">
        <f ca="1">(((C111/H107*10)+(40/(D107+F107+H107)*C112)+(7.5/(H107)*C113)+(7.5/(H107)*C114)+(10/H107*C115)+(10/H107*C116)+(5/H107*C117)+(5/H107*C118)+(5/H107*C119))/100)</f>
        <v>0.87857142857142856</v>
      </c>
      <c r="F110" s="75"/>
      <c r="G110" s="75">
        <f ca="1">((((C110/H107)*20)+((C111/H107)*25)+(30/(H107+F107+D107)*C112)+(5/H107*C113)+(5/H107*C114)+(5/H107*C115)+(5/H107*C116)+(0/H107*C117)+(0/H107*C118)+(5/H107*C119))/100)</f>
        <v>0.94285714285714295</v>
      </c>
      <c r="H110" s="77"/>
      <c r="I110" s="31" t="s">
        <v>102</v>
      </c>
      <c r="J110" s="34">
        <f ca="1">H107*50%</f>
        <v>3.5</v>
      </c>
    </row>
    <row r="111" spans="1:10" hidden="1" x14ac:dyDescent="0.35">
      <c r="A111" s="72" t="s">
        <v>52</v>
      </c>
      <c r="B111" s="73"/>
      <c r="C111" s="51">
        <v>7</v>
      </c>
      <c r="D111" s="50">
        <f ca="1">((100/H107)*C111)/100</f>
        <v>1</v>
      </c>
      <c r="E111" s="75"/>
      <c r="F111" s="75"/>
      <c r="G111" s="75"/>
      <c r="H111" s="77"/>
      <c r="I111" s="31" t="s">
        <v>103</v>
      </c>
      <c r="J111" s="34">
        <f ca="1">H107</f>
        <v>7</v>
      </c>
    </row>
    <row r="112" spans="1:10" ht="15.75" hidden="1" customHeight="1" x14ac:dyDescent="0.35">
      <c r="A112" s="72" t="s">
        <v>135</v>
      </c>
      <c r="B112" s="73"/>
      <c r="C112" s="51">
        <v>8</v>
      </c>
      <c r="D112" s="50">
        <f ca="1">((100/(D107+F107+H107))*C112)/100</f>
        <v>1</v>
      </c>
      <c r="E112" s="75"/>
      <c r="F112" s="75"/>
      <c r="G112" s="75"/>
      <c r="H112" s="77"/>
      <c r="I112" s="31" t="s">
        <v>104</v>
      </c>
      <c r="J112" s="37">
        <f ca="1">(IF(B107&gt;1,(H107/(B107+2)),H107/4))</f>
        <v>1.75</v>
      </c>
    </row>
    <row r="113" spans="1:10" ht="15.75" hidden="1" customHeight="1" x14ac:dyDescent="0.35">
      <c r="A113" s="72" t="s">
        <v>142</v>
      </c>
      <c r="B113" s="73" t="s">
        <v>136</v>
      </c>
      <c r="C113" s="49">
        <v>7</v>
      </c>
      <c r="D113" s="50">
        <f ca="1">((100/H107)*C113)/100</f>
        <v>1</v>
      </c>
      <c r="E113" s="75"/>
      <c r="F113" s="75"/>
      <c r="G113" s="75"/>
      <c r="H113" s="77"/>
      <c r="I113" s="31" t="s">
        <v>105</v>
      </c>
      <c r="J113" s="37">
        <f ca="1">(IF(B107&gt;1,(H107/(B107+2)+J112),H107/4+J112))</f>
        <v>3.5</v>
      </c>
    </row>
    <row r="114" spans="1:10" ht="15.75" hidden="1" customHeight="1" x14ac:dyDescent="0.35">
      <c r="A114" s="72" t="s">
        <v>143</v>
      </c>
      <c r="B114" s="73" t="s">
        <v>136</v>
      </c>
      <c r="C114" s="49">
        <v>7</v>
      </c>
      <c r="D114" s="50">
        <f ca="1">((100/H107)*C114)/100</f>
        <v>1</v>
      </c>
      <c r="E114" s="75"/>
      <c r="F114" s="75"/>
      <c r="G114" s="75"/>
      <c r="H114" s="77"/>
      <c r="I114" s="31" t="s">
        <v>152</v>
      </c>
      <c r="J114" s="37">
        <f>(IF(B107&gt;1,(H107/(B107+2)+J113),0))</f>
        <v>0</v>
      </c>
    </row>
    <row r="115" spans="1:10" ht="15" hidden="1" customHeight="1" x14ac:dyDescent="0.35">
      <c r="A115" s="72" t="s">
        <v>141</v>
      </c>
      <c r="B115" s="73" t="s">
        <v>138</v>
      </c>
      <c r="C115" s="49">
        <v>7</v>
      </c>
      <c r="D115" s="50">
        <f ca="1">((100/(H107))*C115)/100</f>
        <v>1</v>
      </c>
      <c r="E115" s="75"/>
      <c r="F115" s="75"/>
      <c r="G115" s="75"/>
      <c r="H115" s="77"/>
      <c r="I115" s="31" t="s">
        <v>149</v>
      </c>
      <c r="J115" s="37">
        <f>(IF(B107&gt;2,(H107/(B107+2)+J114),0))</f>
        <v>0</v>
      </c>
    </row>
    <row r="116" spans="1:10" ht="15.75" hidden="1" customHeight="1" x14ac:dyDescent="0.35">
      <c r="A116" s="72" t="s">
        <v>137</v>
      </c>
      <c r="B116" s="73" t="s">
        <v>137</v>
      </c>
      <c r="C116" s="49">
        <v>6</v>
      </c>
      <c r="D116" s="50">
        <f ca="1">((100/H107)*C116)/100</f>
        <v>0.85714285714285721</v>
      </c>
      <c r="E116" s="75"/>
      <c r="F116" s="75"/>
      <c r="G116" s="75"/>
      <c r="H116" s="77"/>
      <c r="I116" s="31" t="s">
        <v>150</v>
      </c>
      <c r="J116" s="38">
        <f>(IF(B107&gt;3,(H107/(B107+2)+J115),0))</f>
        <v>0</v>
      </c>
    </row>
    <row r="117" spans="1:10" ht="15.75" hidden="1" customHeight="1" x14ac:dyDescent="0.35">
      <c r="A117" s="72" t="s">
        <v>144</v>
      </c>
      <c r="B117" s="73"/>
      <c r="C117" s="49">
        <v>6</v>
      </c>
      <c r="D117" s="50">
        <f ca="1">((100/H107)*C117)/100</f>
        <v>0.85714285714285721</v>
      </c>
      <c r="E117" s="75"/>
      <c r="F117" s="75"/>
      <c r="G117" s="75"/>
      <c r="H117" s="77"/>
      <c r="I117" s="31" t="s">
        <v>151</v>
      </c>
      <c r="J117" s="37">
        <f>(IF(B107&gt;4,(H107/(B107+2)+J116),0))</f>
        <v>0</v>
      </c>
    </row>
    <row r="118" spans="1:10" ht="15.75" hidden="1" customHeight="1" x14ac:dyDescent="0.35">
      <c r="A118" s="72" t="s">
        <v>139</v>
      </c>
      <c r="B118" s="73" t="s">
        <v>139</v>
      </c>
      <c r="C118" s="49">
        <v>0</v>
      </c>
      <c r="D118" s="50">
        <f ca="1">((100/(H107))*C118)/100</f>
        <v>0</v>
      </c>
      <c r="E118" s="75"/>
      <c r="F118" s="75"/>
      <c r="G118" s="75"/>
      <c r="H118" s="77"/>
      <c r="I118" s="31" t="s">
        <v>153</v>
      </c>
      <c r="J118" s="37">
        <f ca="1">(IF(B107=1,(H107/(B107+3)+J113),IF(B107=0,(H107/4+J113),IF(B107&gt;1,0))))</f>
        <v>5.25</v>
      </c>
    </row>
    <row r="119" spans="1:10" ht="16" hidden="1" thickBot="1" x14ac:dyDescent="0.4">
      <c r="A119" s="79" t="s">
        <v>140</v>
      </c>
      <c r="B119" s="80"/>
      <c r="C119" s="52">
        <v>0</v>
      </c>
      <c r="D119" s="53">
        <f ca="1">((100/(H107))*C119)/100</f>
        <v>0</v>
      </c>
      <c r="E119" s="76"/>
      <c r="F119" s="76"/>
      <c r="G119" s="76"/>
      <c r="H119" s="78"/>
      <c r="I119" s="36" t="s">
        <v>106</v>
      </c>
      <c r="J119" s="39">
        <f ca="1">(IF(B107&gt;1.5,(H107/(B107+2)+J113+MAX(0,J114-J113)+MAX(0,J115-J114)+MAX(0,J116-J115)+MAX(0,J117-J116)+MAX(0,J118-J117)),IF(B107=1,(H107/(B107+3)+J118),IF(B107=0,H107/4+J118))))</f>
        <v>7</v>
      </c>
    </row>
    <row r="120" spans="1:10" ht="15.75" hidden="1" customHeight="1" x14ac:dyDescent="0.35">
      <c r="A120" s="88" t="s">
        <v>146</v>
      </c>
      <c r="B120" s="89"/>
      <c r="C120" s="90" t="s">
        <v>219</v>
      </c>
      <c r="D120" s="91"/>
      <c r="E120" s="91"/>
      <c r="F120" s="91"/>
      <c r="G120" s="91"/>
      <c r="H120" s="92"/>
      <c r="I120" s="35" t="str">
        <f ca="1">(IF(E124&gt;99%,"All work completed. Please provide OC.",IF(E124&gt;89.8%,"Plinth, RCC, Brick, Plaster, Flooring, Painting work Completed. Finishing work is in process.",IF(E124&lt;94%,(IF(C124=0,"Work not yet Started.",IF(D124=25%,"Piling work in process",IF(D124=50%,"Excavation work in process",IF(D124=100%,"Excavation work Completed. ","0")))&amp;(IF(C125=0%,"",IF(C125=J126,"Footing work is process",IF(C125=J127,"Footing work Completed",IF(C125=J128,"1st Basement Completed",IF(C125=J129,"1st &amp; 2nd Basement Completed",IF(C125=J130,"1st to 3rd Basement Completed",IF(C125=J131,"1st to 4th Basement Completed",IF(C125=J132,"Plinth work is process",IF(C125=J133,"Plinth work completed","0")))))))))))&amp;(IF(C126=(D121+F121+H121),", RCC Slab Completed",IF(C126&gt;0,", RCC upto "&amp;C126&amp;" Slab Completed",""))&amp;(IF(C127=H121,", Brickwork Completed",IF(C127&gt;0,", Brickwork upto "&amp;C127&amp;" Floor Completed",""))&amp;(IF(C128=H121,", Internal Plaster Completed",IF(C128&gt;0,", Internal Plaster upto "&amp;C128&amp;" Floor Completed",""))&amp;(IF(C129=H121,", External Plaster Completed",IF(C129&gt;0,", External Plaster upto "&amp;C129&amp;" Floor Completed",""))&amp;(IF(C130=H121,", Flooring Completed",IF(C130&gt;0,", Flooring upto "&amp;C130&amp;" Floor Completed",""))&amp;(IF(C131=H121,", Painting Completed",IF(C131&gt;0,", Painting upto "&amp;C131&amp;" Floor Completed",""))&amp;(IF(C132&gt;0,", Finishing upto "&amp;C132&amp;" Floor Completed","")&amp;(IF(C126&gt;0.5,".",""))))))))))))))</f>
        <v>Excavation work Completed. Plinth work completed, RCC Slab Completed, Brickwork Completed, Internal Plaster Completed, External Plaster upto 6 Floor Completed, Flooring upto 5 Floor Completed, Painting upto 5 Floor Completed.</v>
      </c>
      <c r="J120" s="14"/>
    </row>
    <row r="121" spans="1:10" hidden="1" x14ac:dyDescent="0.35">
      <c r="A121" s="40" t="s">
        <v>148</v>
      </c>
      <c r="B121" s="45">
        <v>0</v>
      </c>
      <c r="C121" s="45" t="s">
        <v>76</v>
      </c>
      <c r="D121" s="45">
        <v>1</v>
      </c>
      <c r="E121" s="45" t="s">
        <v>75</v>
      </c>
      <c r="F121" s="45">
        <v>0</v>
      </c>
      <c r="G121" s="45" t="s">
        <v>85</v>
      </c>
      <c r="H121" s="41">
        <f ca="1">--TRIM(RIGHT(SUBSTITUTE(LEFT(C120,_xlfn.AGGREGATE(16,6,FIND({0,1,2,3,4,5,6,7,8,9},C120,ROW(INDIRECT("1:"&amp;LEN(C120)))),1))," ",REPT(" ",LEN(C120))),LEN(C120)))</f>
        <v>7</v>
      </c>
      <c r="I121" s="13"/>
      <c r="J121" s="15"/>
    </row>
    <row r="122" spans="1:10" ht="63.5" hidden="1" customHeight="1" x14ac:dyDescent="0.35">
      <c r="A122" s="68" t="s">
        <v>95</v>
      </c>
      <c r="B122" s="69"/>
      <c r="C122" s="70" t="str">
        <f>(IF($G$51="NA",I120,"All work Completed. OC Received."))</f>
        <v>All work Completed. OC Received.</v>
      </c>
      <c r="D122" s="70"/>
      <c r="E122" s="70"/>
      <c r="F122" s="70"/>
      <c r="G122" s="70"/>
      <c r="H122" s="71"/>
      <c r="I122" s="13" t="s">
        <v>107</v>
      </c>
      <c r="J122" s="15"/>
    </row>
    <row r="123" spans="1:10" ht="15.75" hidden="1" customHeight="1" x14ac:dyDescent="0.35">
      <c r="A123" s="72" t="s">
        <v>51</v>
      </c>
      <c r="B123" s="73"/>
      <c r="C123" s="48" t="s">
        <v>145</v>
      </c>
      <c r="D123" s="48" t="s">
        <v>88</v>
      </c>
      <c r="E123" s="73" t="s">
        <v>90</v>
      </c>
      <c r="F123" s="73"/>
      <c r="G123" s="73" t="s">
        <v>89</v>
      </c>
      <c r="H123" s="74"/>
      <c r="I123" s="31" t="s">
        <v>147</v>
      </c>
      <c r="J123" s="16">
        <f ca="1">H121*25%</f>
        <v>1.75</v>
      </c>
    </row>
    <row r="124" spans="1:10" hidden="1" x14ac:dyDescent="0.35">
      <c r="A124" s="72" t="s">
        <v>134</v>
      </c>
      <c r="B124" s="73"/>
      <c r="C124" s="49">
        <f ca="1">J125</f>
        <v>7</v>
      </c>
      <c r="D124" s="50">
        <f ca="1">((100/H121)*C124)/100</f>
        <v>1</v>
      </c>
      <c r="E124" s="75">
        <f ca="1">(((C125/H121*10)+(40/(D121+F121+H121)*C126)+(7.5/(H121)*C127)+(7.5/(H121)*C128)+(10/H121*C129)+(10/H121*C130)+(5/H121*C131)+(5/H121*C132)+(5/H121*C133))/100)</f>
        <v>0.84285714285714275</v>
      </c>
      <c r="F124" s="75"/>
      <c r="G124" s="75">
        <f ca="1">((((C124/H121)*20)+((C125/H121)*25)+(30/(H121+F121+D121)*C126)+(5/H121*C127)+(5/H121*C128)+(5/H121*C129)+(5/H121*C130)+(0/H121*C131)+(0/H121*C132)+(5/H121*C133))/100)</f>
        <v>0.9285714285714286</v>
      </c>
      <c r="H124" s="77"/>
      <c r="I124" s="31" t="s">
        <v>102</v>
      </c>
      <c r="J124" s="34">
        <f ca="1">H121*50%</f>
        <v>3.5</v>
      </c>
    </row>
    <row r="125" spans="1:10" hidden="1" x14ac:dyDescent="0.35">
      <c r="A125" s="72" t="s">
        <v>52</v>
      </c>
      <c r="B125" s="73"/>
      <c r="C125" s="51">
        <v>7</v>
      </c>
      <c r="D125" s="50">
        <f ca="1">((100/H121)*C125)/100</f>
        <v>1</v>
      </c>
      <c r="E125" s="75"/>
      <c r="F125" s="75"/>
      <c r="G125" s="75"/>
      <c r="H125" s="77"/>
      <c r="I125" s="31" t="s">
        <v>103</v>
      </c>
      <c r="J125" s="34">
        <f ca="1">H121</f>
        <v>7</v>
      </c>
    </row>
    <row r="126" spans="1:10" ht="15.75" hidden="1" customHeight="1" x14ac:dyDescent="0.35">
      <c r="A126" s="72" t="s">
        <v>135</v>
      </c>
      <c r="B126" s="73"/>
      <c r="C126" s="51">
        <v>8</v>
      </c>
      <c r="D126" s="50">
        <f ca="1">((100/(D121+F121+H121))*C126)/100</f>
        <v>1</v>
      </c>
      <c r="E126" s="75"/>
      <c r="F126" s="75"/>
      <c r="G126" s="75"/>
      <c r="H126" s="77"/>
      <c r="I126" s="31" t="s">
        <v>104</v>
      </c>
      <c r="J126" s="37">
        <f ca="1">(IF(B121&gt;1,(H121/(B121+2)),H121/4))</f>
        <v>1.75</v>
      </c>
    </row>
    <row r="127" spans="1:10" ht="15.75" hidden="1" customHeight="1" x14ac:dyDescent="0.35">
      <c r="A127" s="72" t="s">
        <v>142</v>
      </c>
      <c r="B127" s="73" t="s">
        <v>136</v>
      </c>
      <c r="C127" s="49">
        <v>7</v>
      </c>
      <c r="D127" s="50">
        <f ca="1">((100/H121)*C127)/100</f>
        <v>1</v>
      </c>
      <c r="E127" s="75"/>
      <c r="F127" s="75"/>
      <c r="G127" s="75"/>
      <c r="H127" s="77"/>
      <c r="I127" s="31" t="s">
        <v>105</v>
      </c>
      <c r="J127" s="37">
        <f ca="1">(IF(B121&gt;1,(H121/(B121+2)+J126),H121/4+J126))</f>
        <v>3.5</v>
      </c>
    </row>
    <row r="128" spans="1:10" ht="15.75" hidden="1" customHeight="1" x14ac:dyDescent="0.35">
      <c r="A128" s="72" t="s">
        <v>143</v>
      </c>
      <c r="B128" s="73" t="s">
        <v>136</v>
      </c>
      <c r="C128" s="49">
        <v>7</v>
      </c>
      <c r="D128" s="50">
        <f ca="1">((100/H121)*C128)/100</f>
        <v>1</v>
      </c>
      <c r="E128" s="75"/>
      <c r="F128" s="75"/>
      <c r="G128" s="75"/>
      <c r="H128" s="77"/>
      <c r="I128" s="31" t="s">
        <v>152</v>
      </c>
      <c r="J128" s="37">
        <f>(IF(B121&gt;1,(H121/(B121+2)+J127),0))</f>
        <v>0</v>
      </c>
    </row>
    <row r="129" spans="1:10" ht="15" hidden="1" customHeight="1" x14ac:dyDescent="0.35">
      <c r="A129" s="72" t="s">
        <v>141</v>
      </c>
      <c r="B129" s="73" t="s">
        <v>138</v>
      </c>
      <c r="C129" s="49">
        <v>6</v>
      </c>
      <c r="D129" s="50">
        <f ca="1">((100/(H121))*C129)/100</f>
        <v>0.85714285714285721</v>
      </c>
      <c r="E129" s="75"/>
      <c r="F129" s="75"/>
      <c r="G129" s="75"/>
      <c r="H129" s="77"/>
      <c r="I129" s="31" t="s">
        <v>149</v>
      </c>
      <c r="J129" s="37">
        <f>(IF(B121&gt;2,(H121/(B121+2)+J128),0))</f>
        <v>0</v>
      </c>
    </row>
    <row r="130" spans="1:10" ht="15.75" hidden="1" customHeight="1" x14ac:dyDescent="0.35">
      <c r="A130" s="72" t="s">
        <v>137</v>
      </c>
      <c r="B130" s="73" t="s">
        <v>137</v>
      </c>
      <c r="C130" s="49">
        <v>5</v>
      </c>
      <c r="D130" s="50">
        <f ca="1">((100/H121)*C130)/100</f>
        <v>0.7142857142857143</v>
      </c>
      <c r="E130" s="75"/>
      <c r="F130" s="75"/>
      <c r="G130" s="75"/>
      <c r="H130" s="77"/>
      <c r="I130" s="31" t="s">
        <v>150</v>
      </c>
      <c r="J130" s="38">
        <f>(IF(B121&gt;3,(H121/(B121+2)+J129),0))</f>
        <v>0</v>
      </c>
    </row>
    <row r="131" spans="1:10" ht="15.75" hidden="1" customHeight="1" x14ac:dyDescent="0.35">
      <c r="A131" s="72" t="s">
        <v>144</v>
      </c>
      <c r="B131" s="73"/>
      <c r="C131" s="49">
        <v>5</v>
      </c>
      <c r="D131" s="50">
        <f ca="1">((100/H121)*C131)/100</f>
        <v>0.7142857142857143</v>
      </c>
      <c r="E131" s="75"/>
      <c r="F131" s="75"/>
      <c r="G131" s="75"/>
      <c r="H131" s="77"/>
      <c r="I131" s="31" t="s">
        <v>151</v>
      </c>
      <c r="J131" s="37">
        <f>(IF(B121&gt;4,(H121/(B121+2)+J130),0))</f>
        <v>0</v>
      </c>
    </row>
    <row r="132" spans="1:10" ht="15.75" hidden="1" customHeight="1" x14ac:dyDescent="0.35">
      <c r="A132" s="72" t="s">
        <v>139</v>
      </c>
      <c r="B132" s="73" t="s">
        <v>139</v>
      </c>
      <c r="C132" s="49">
        <v>0</v>
      </c>
      <c r="D132" s="50">
        <f ca="1">((100/(H121))*C132)/100</f>
        <v>0</v>
      </c>
      <c r="E132" s="75"/>
      <c r="F132" s="75"/>
      <c r="G132" s="75"/>
      <c r="H132" s="77"/>
      <c r="I132" s="31" t="s">
        <v>153</v>
      </c>
      <c r="J132" s="37">
        <f ca="1">(IF(B121=1,(H121/(B121+3)+J127),IF(B121=0,(H121/4+J127),IF(B121&gt;1,0))))</f>
        <v>5.25</v>
      </c>
    </row>
    <row r="133" spans="1:10" ht="16" hidden="1" thickBot="1" x14ac:dyDescent="0.4">
      <c r="A133" s="79" t="s">
        <v>140</v>
      </c>
      <c r="B133" s="80"/>
      <c r="C133" s="52">
        <v>0</v>
      </c>
      <c r="D133" s="53">
        <f ca="1">((100/(H121))*C133)/100</f>
        <v>0</v>
      </c>
      <c r="E133" s="76"/>
      <c r="F133" s="76"/>
      <c r="G133" s="76"/>
      <c r="H133" s="78"/>
      <c r="I133" s="36" t="s">
        <v>106</v>
      </c>
      <c r="J133" s="39">
        <f ca="1">(IF(B121&gt;1.5,(H121/(B121+2)+J127+MAX(0,J128-J127)+MAX(0,J129-J128)+MAX(0,J130-J129)+MAX(0,J131-J130)+MAX(0,J132-J131)),IF(B121=1,(H121/(B121+3)+J132),IF(B121=0,H121/4+J132))))</f>
        <v>7</v>
      </c>
    </row>
    <row r="134" spans="1:10" ht="15.75" hidden="1" customHeight="1" x14ac:dyDescent="0.35">
      <c r="A134" s="88" t="s">
        <v>146</v>
      </c>
      <c r="B134" s="89"/>
      <c r="C134" s="90" t="s">
        <v>233</v>
      </c>
      <c r="D134" s="91"/>
      <c r="E134" s="91"/>
      <c r="F134" s="91"/>
      <c r="G134" s="91"/>
      <c r="H134" s="92"/>
      <c r="I134" s="35" t="str">
        <f ca="1">(IF(E138&gt;99%,"All work completed. Please provide OC.",IF(E138&gt;89.8%,"Plinth, RCC, Brick, Plaster, Flooring, Painting work Completed. Finishing work is in process.",IF(E138&lt;94%,(IF(C138=0,"Work not yet Started.",IF(D138=25%,"Piling work in process",IF(D138=50%,"Excavation work in process",IF(D138=100%,"Excavation work Completed. ","0")))&amp;(IF(C139=0%,"",IF(C139=J140,"Footing work is process",IF(C139=J141,"Footing work Completed",IF(C139=J142,"1st Basement Completed",IF(C139=J143,"1st &amp; 2nd Basement Completed",IF(C139=J144,"1st to 3rd Basement Completed",IF(C139=J145,"1st to 4th Basement Completed",IF(C139=J146,"Plinth work is process",IF(C139=J147,"Plinth work completed","0")))))))))))&amp;(IF(C140=(D135+F135+H135),", RCC Slab Completed",IF(C140&gt;0,", RCC upto "&amp;C140&amp;" Slab Completed",""))&amp;(IF(C141=H135,", Brickwork Completed",IF(C141&gt;0,", Brickwork upto "&amp;C141&amp;" Floor Completed",""))&amp;(IF(C142=H135,", Internal Plaster Completed",IF(C142&gt;0,", Internal Plaster upto "&amp;C142&amp;" Floor Completed",""))&amp;(IF(C143=H135,", External Plaster Completed",IF(C143&gt;0,", External Plaster upto "&amp;C143&amp;" Floor Completed",""))&amp;(IF(C144=H135,", Flooring Completed",IF(C144&gt;0,", Flooring upto "&amp;C144&amp;" Floor Completed",""))&amp;(IF(C145=H135,", Painting Completed",IF(C145&gt;0,", Painting upto "&amp;C145&amp;" Floor Completed",""))&amp;(IF(C146&gt;0,", Finishing upto "&amp;C146&amp;" Floor Completed","")&amp;(IF(C140&gt;0.5,".",""))))))))))))))</f>
        <v>Excavation work Completed. Plinth work completed, RCC Slab Completed, Brickwork Completed, Internal Plaster Completed, External Plaster Completed, Flooring upto 6 Floor Completed, Painting upto 6 Floor Completed.</v>
      </c>
      <c r="J134" s="14"/>
    </row>
    <row r="135" spans="1:10" hidden="1" x14ac:dyDescent="0.35">
      <c r="A135" s="40" t="s">
        <v>148</v>
      </c>
      <c r="B135" s="45">
        <v>0</v>
      </c>
      <c r="C135" s="45" t="s">
        <v>76</v>
      </c>
      <c r="D135" s="45">
        <v>1</v>
      </c>
      <c r="E135" s="45" t="s">
        <v>75</v>
      </c>
      <c r="F135" s="45">
        <v>0</v>
      </c>
      <c r="G135" s="45" t="s">
        <v>85</v>
      </c>
      <c r="H135" s="41">
        <f ca="1">--TRIM(RIGHT(SUBSTITUTE(LEFT(C134,_xlfn.AGGREGATE(16,6,FIND({0,1,2,3,4,5,6,7,8,9},C134,ROW(INDIRECT("1:"&amp;LEN(C134)))),1))," ",REPT(" ",LEN(C134))),LEN(C134)))</f>
        <v>7</v>
      </c>
      <c r="I135" s="13"/>
      <c r="J135" s="15"/>
    </row>
    <row r="136" spans="1:10" ht="48.75" hidden="1" customHeight="1" x14ac:dyDescent="0.35">
      <c r="A136" s="68" t="s">
        <v>95</v>
      </c>
      <c r="B136" s="69"/>
      <c r="C136" s="70" t="str">
        <f>(IF($G$51="NA",I134,"All work Completed. OC Received."))</f>
        <v>All work Completed. OC Received.</v>
      </c>
      <c r="D136" s="70"/>
      <c r="E136" s="70"/>
      <c r="F136" s="70"/>
      <c r="G136" s="70"/>
      <c r="H136" s="71"/>
      <c r="I136" s="13" t="s">
        <v>107</v>
      </c>
      <c r="J136" s="15"/>
    </row>
    <row r="137" spans="1:10" ht="15.75" hidden="1" customHeight="1" x14ac:dyDescent="0.35">
      <c r="A137" s="72" t="s">
        <v>51</v>
      </c>
      <c r="B137" s="73"/>
      <c r="C137" s="48" t="s">
        <v>145</v>
      </c>
      <c r="D137" s="48" t="s">
        <v>88</v>
      </c>
      <c r="E137" s="73" t="s">
        <v>90</v>
      </c>
      <c r="F137" s="73"/>
      <c r="G137" s="73" t="s">
        <v>89</v>
      </c>
      <c r="H137" s="74"/>
      <c r="I137" s="31" t="s">
        <v>147</v>
      </c>
      <c r="J137" s="16">
        <f ca="1">H135*25%</f>
        <v>1.75</v>
      </c>
    </row>
    <row r="138" spans="1:10" hidden="1" x14ac:dyDescent="0.35">
      <c r="A138" s="72" t="s">
        <v>134</v>
      </c>
      <c r="B138" s="73"/>
      <c r="C138" s="49">
        <f ca="1">J139</f>
        <v>7</v>
      </c>
      <c r="D138" s="50">
        <f ca="1">((100/H135)*C138)/100</f>
        <v>1</v>
      </c>
      <c r="E138" s="75">
        <f ca="1">(((C139/H135*10)+(40/(D135+F135+H135)*C140)+(7.5/(H135)*C141)+(7.5/(H135)*C142)+(10/H135*C143)+(10/H135*C144)+(5/H135*C145)+(5/H135*C146)+(5/H135*C147))/100)</f>
        <v>0.87857142857142856</v>
      </c>
      <c r="F138" s="75"/>
      <c r="G138" s="75">
        <f ca="1">((((C138/H135)*20)+((C139/H135)*25)+(30/(H135+F135+D135)*C140)+(5/H135*C141)+(5/H135*C142)+(5/H135*C143)+(5/H135*C144)+(0/H135*C145)+(0/H135*C146)+(5/H135*C147))/100)</f>
        <v>0.94285714285714295</v>
      </c>
      <c r="H138" s="77"/>
      <c r="I138" s="31" t="s">
        <v>102</v>
      </c>
      <c r="J138" s="34">
        <f ca="1">H135*50%</f>
        <v>3.5</v>
      </c>
    </row>
    <row r="139" spans="1:10" hidden="1" x14ac:dyDescent="0.35">
      <c r="A139" s="72" t="s">
        <v>52</v>
      </c>
      <c r="B139" s="73"/>
      <c r="C139" s="51">
        <v>7</v>
      </c>
      <c r="D139" s="50">
        <f ca="1">((100/H135)*C139)/100</f>
        <v>1</v>
      </c>
      <c r="E139" s="75"/>
      <c r="F139" s="75"/>
      <c r="G139" s="75"/>
      <c r="H139" s="77"/>
      <c r="I139" s="31" t="s">
        <v>103</v>
      </c>
      <c r="J139" s="34">
        <f ca="1">H135</f>
        <v>7</v>
      </c>
    </row>
    <row r="140" spans="1:10" ht="15.75" hidden="1" customHeight="1" x14ac:dyDescent="0.35">
      <c r="A140" s="72" t="s">
        <v>135</v>
      </c>
      <c r="B140" s="73"/>
      <c r="C140" s="51">
        <v>8</v>
      </c>
      <c r="D140" s="50">
        <f ca="1">((100/(D135+F135+H135))*C140)/100</f>
        <v>1</v>
      </c>
      <c r="E140" s="75"/>
      <c r="F140" s="75"/>
      <c r="G140" s="75"/>
      <c r="H140" s="77"/>
      <c r="I140" s="31" t="s">
        <v>104</v>
      </c>
      <c r="J140" s="37">
        <f ca="1">(IF(B135&gt;1,(H135/(B135+2)),H135/4))</f>
        <v>1.75</v>
      </c>
    </row>
    <row r="141" spans="1:10" ht="15.75" hidden="1" customHeight="1" x14ac:dyDescent="0.35">
      <c r="A141" s="72" t="s">
        <v>142</v>
      </c>
      <c r="B141" s="73" t="s">
        <v>136</v>
      </c>
      <c r="C141" s="49">
        <v>7</v>
      </c>
      <c r="D141" s="50">
        <f ca="1">((100/H135)*C141)/100</f>
        <v>1</v>
      </c>
      <c r="E141" s="75"/>
      <c r="F141" s="75"/>
      <c r="G141" s="75"/>
      <c r="H141" s="77"/>
      <c r="I141" s="31" t="s">
        <v>105</v>
      </c>
      <c r="J141" s="37">
        <f ca="1">(IF(B135&gt;1,(H135/(B135+2)+J140),H135/4+J140))</f>
        <v>3.5</v>
      </c>
    </row>
    <row r="142" spans="1:10" ht="15.75" hidden="1" customHeight="1" x14ac:dyDescent="0.35">
      <c r="A142" s="72" t="s">
        <v>143</v>
      </c>
      <c r="B142" s="73" t="s">
        <v>136</v>
      </c>
      <c r="C142" s="49">
        <v>7</v>
      </c>
      <c r="D142" s="50">
        <f ca="1">((100/H135)*C142)/100</f>
        <v>1</v>
      </c>
      <c r="E142" s="75"/>
      <c r="F142" s="75"/>
      <c r="G142" s="75"/>
      <c r="H142" s="77"/>
      <c r="I142" s="31" t="s">
        <v>152</v>
      </c>
      <c r="J142" s="37">
        <f>(IF(B135&gt;1,(H135/(B135+2)+J141),0))</f>
        <v>0</v>
      </c>
    </row>
    <row r="143" spans="1:10" ht="15" hidden="1" customHeight="1" x14ac:dyDescent="0.35">
      <c r="A143" s="72" t="s">
        <v>141</v>
      </c>
      <c r="B143" s="73" t="s">
        <v>138</v>
      </c>
      <c r="C143" s="49">
        <v>7</v>
      </c>
      <c r="D143" s="50">
        <f ca="1">((100/(H135))*C143)/100</f>
        <v>1</v>
      </c>
      <c r="E143" s="75"/>
      <c r="F143" s="75"/>
      <c r="G143" s="75"/>
      <c r="H143" s="77"/>
      <c r="I143" s="31" t="s">
        <v>149</v>
      </c>
      <c r="J143" s="37">
        <f>(IF(B135&gt;2,(H135/(B135+2)+J142),0))</f>
        <v>0</v>
      </c>
    </row>
    <row r="144" spans="1:10" ht="15.75" hidden="1" customHeight="1" x14ac:dyDescent="0.35">
      <c r="A144" s="72" t="s">
        <v>137</v>
      </c>
      <c r="B144" s="73" t="s">
        <v>137</v>
      </c>
      <c r="C144" s="49">
        <v>6</v>
      </c>
      <c r="D144" s="50">
        <f ca="1">((100/H135)*C144)/100</f>
        <v>0.85714285714285721</v>
      </c>
      <c r="E144" s="75"/>
      <c r="F144" s="75"/>
      <c r="G144" s="75"/>
      <c r="H144" s="77"/>
      <c r="I144" s="31" t="s">
        <v>150</v>
      </c>
      <c r="J144" s="38">
        <f>(IF(B135&gt;3,(H135/(B135+2)+J143),0))</f>
        <v>0</v>
      </c>
    </row>
    <row r="145" spans="1:10" ht="15.75" hidden="1" customHeight="1" x14ac:dyDescent="0.35">
      <c r="A145" s="72" t="s">
        <v>144</v>
      </c>
      <c r="B145" s="73"/>
      <c r="C145" s="49">
        <v>6</v>
      </c>
      <c r="D145" s="50">
        <f ca="1">((100/H135)*C145)/100</f>
        <v>0.85714285714285721</v>
      </c>
      <c r="E145" s="75"/>
      <c r="F145" s="75"/>
      <c r="G145" s="75"/>
      <c r="H145" s="77"/>
      <c r="I145" s="31" t="s">
        <v>151</v>
      </c>
      <c r="J145" s="37">
        <f>(IF(B135&gt;4,(H135/(B135+2)+J144),0))</f>
        <v>0</v>
      </c>
    </row>
    <row r="146" spans="1:10" ht="15.75" hidden="1" customHeight="1" x14ac:dyDescent="0.35">
      <c r="A146" s="72" t="s">
        <v>139</v>
      </c>
      <c r="B146" s="73" t="s">
        <v>139</v>
      </c>
      <c r="C146" s="49">
        <v>0</v>
      </c>
      <c r="D146" s="50">
        <f ca="1">((100/(H135))*C146)/100</f>
        <v>0</v>
      </c>
      <c r="E146" s="75"/>
      <c r="F146" s="75"/>
      <c r="G146" s="75"/>
      <c r="H146" s="77"/>
      <c r="I146" s="31" t="s">
        <v>153</v>
      </c>
      <c r="J146" s="37">
        <f ca="1">(IF(B135=1,(H135/(B135+3)+J141),IF(B135=0,(H135/4+J141),IF(B135&gt;1,0))))</f>
        <v>5.25</v>
      </c>
    </row>
    <row r="147" spans="1:10" ht="16" hidden="1" thickBot="1" x14ac:dyDescent="0.4">
      <c r="A147" s="79" t="s">
        <v>140</v>
      </c>
      <c r="B147" s="80"/>
      <c r="C147" s="52">
        <v>0</v>
      </c>
      <c r="D147" s="53">
        <f ca="1">((100/(H135))*C147)/100</f>
        <v>0</v>
      </c>
      <c r="E147" s="76"/>
      <c r="F147" s="76"/>
      <c r="G147" s="76"/>
      <c r="H147" s="78"/>
      <c r="I147" s="36" t="s">
        <v>106</v>
      </c>
      <c r="J147" s="39">
        <f ca="1">(IF(B135&gt;1.5,(H135/(B135+2)+J141+MAX(0,J142-J141)+MAX(0,J143-J142)+MAX(0,J144-J143)+MAX(0,J145-J144)+MAX(0,J146-J145)),IF(B135=1,(H135/(B135+3)+J146),IF(B135=0,H135/4+J146))))</f>
        <v>7</v>
      </c>
    </row>
    <row r="148" spans="1:10" ht="15.75" hidden="1" customHeight="1" x14ac:dyDescent="0.35">
      <c r="A148" s="88" t="s">
        <v>146</v>
      </c>
      <c r="B148" s="89"/>
      <c r="C148" s="90" t="s">
        <v>223</v>
      </c>
      <c r="D148" s="91"/>
      <c r="E148" s="91"/>
      <c r="F148" s="91"/>
      <c r="G148" s="91"/>
      <c r="H148" s="92"/>
      <c r="I148" s="35" t="str">
        <f ca="1">(IF(E152&gt;99%,"All work completed. Please provide OC.",IF(E152&gt;89.8%,"Plinth, RCC, Brick, Plaster, Flooring, Painting work Completed. Finishing work is in process.",IF(E152&lt;94%,(IF(C152=0,"Work not yet Started.",IF(D152=25%,"Piling work in process",IF(D152=50%,"Excavation work in process",IF(D152=100%,"Excavation work Completed. ","0")))&amp;(IF(C153=0%,"",IF(C153=J154,"Footing work is process",IF(C153=J155,"Footing work Completed",IF(C153=J156,"1st Basement Completed",IF(C153=J157,"1st &amp; 2nd Basement Completed",IF(C153=J158,"1st to 3rd Basement Completed",IF(C153=J159,"1st to 4th Basement Completed",IF(C153=J160,"Plinth work is process",IF(C153=J161,"Plinth work completed","0")))))))))))&amp;(IF(C154=(D149+F149+H149),", RCC Slab Completed",IF(C154&gt;0,", RCC upto "&amp;C154&amp;" Slab Completed",""))&amp;(IF(C155=H149,", Brickwork Completed",IF(C155&gt;0,", Brickwork upto "&amp;C155&amp;" Floor Completed",""))&amp;(IF(C156=H149,", Internal Plaster Completed",IF(C156&gt;0,", Internal Plaster upto "&amp;C156&amp;" Floor Completed",""))&amp;(IF(C157=H149,", External Plaster Completed",IF(C157&gt;0,", External Plaster upto "&amp;C157&amp;" Floor Completed",""))&amp;(IF(C158=H149,", Flooring Completed",IF(C158&gt;0,", Flooring upto "&amp;C158&amp;" Floor Completed",""))&amp;(IF(C159=H149,", Painting Completed",IF(C159&gt;0,", Painting upto "&amp;C159&amp;" Floor Completed",""))&amp;(IF(C160&gt;0,", Finishing upto "&amp;C160&amp;" Floor Completed","")&amp;(IF(C154&gt;0.5,".",""))))))))))))))</f>
        <v>Excavation work Completed. Plinth work completed, RCC Slab Completed, Brickwork Completed, Internal Plaster Completed, External Plaster upto 5 Floor Completed, Flooring upto 2 Floor Completed.</v>
      </c>
      <c r="J148" s="14"/>
    </row>
    <row r="149" spans="1:10" hidden="1" x14ac:dyDescent="0.35">
      <c r="A149" s="40" t="s">
        <v>148</v>
      </c>
      <c r="B149" s="45">
        <v>0</v>
      </c>
      <c r="C149" s="45" t="s">
        <v>76</v>
      </c>
      <c r="D149" s="45">
        <v>1</v>
      </c>
      <c r="E149" s="45" t="s">
        <v>75</v>
      </c>
      <c r="F149" s="45">
        <v>0</v>
      </c>
      <c r="G149" s="45" t="s">
        <v>85</v>
      </c>
      <c r="H149" s="41">
        <f ca="1">--TRIM(RIGHT(SUBSTITUTE(LEFT(C148,_xlfn.AGGREGATE(16,6,FIND({0,1,2,3,4,5,6,7,8,9},C148,ROW(INDIRECT("1:"&amp;LEN(C148)))),1))," ",REPT(" ",LEN(C148))),LEN(C148)))</f>
        <v>7</v>
      </c>
      <c r="I149" s="13"/>
      <c r="J149" s="15"/>
    </row>
    <row r="150" spans="1:10" ht="48.75" hidden="1" customHeight="1" x14ac:dyDescent="0.35">
      <c r="A150" s="68" t="s">
        <v>95</v>
      </c>
      <c r="B150" s="69"/>
      <c r="C150" s="70" t="str">
        <f>(IF($G$51="NA",I148,"All work Completed. OC Received."))</f>
        <v>All work Completed. OC Received.</v>
      </c>
      <c r="D150" s="70"/>
      <c r="E150" s="70"/>
      <c r="F150" s="70"/>
      <c r="G150" s="70"/>
      <c r="H150" s="71"/>
      <c r="I150" s="13" t="s">
        <v>107</v>
      </c>
      <c r="J150" s="15"/>
    </row>
    <row r="151" spans="1:10" ht="15.75" hidden="1" customHeight="1" x14ac:dyDescent="0.35">
      <c r="A151" s="72" t="s">
        <v>51</v>
      </c>
      <c r="B151" s="73"/>
      <c r="C151" s="48" t="s">
        <v>145</v>
      </c>
      <c r="D151" s="48" t="s">
        <v>88</v>
      </c>
      <c r="E151" s="73" t="s">
        <v>90</v>
      </c>
      <c r="F151" s="73"/>
      <c r="G151" s="73" t="s">
        <v>89</v>
      </c>
      <c r="H151" s="74"/>
      <c r="I151" s="31" t="s">
        <v>147</v>
      </c>
      <c r="J151" s="16">
        <f ca="1">H149*25%</f>
        <v>1.75</v>
      </c>
    </row>
    <row r="152" spans="1:10" hidden="1" x14ac:dyDescent="0.35">
      <c r="A152" s="72" t="s">
        <v>134</v>
      </c>
      <c r="B152" s="73"/>
      <c r="C152" s="49">
        <f ca="1">J153</f>
        <v>7</v>
      </c>
      <c r="D152" s="50">
        <f ca="1">((100/H149)*C152)/100</f>
        <v>1</v>
      </c>
      <c r="E152" s="75">
        <f ca="1">(((C153/H149*10)+(40/(D149+F149+H149)*C154)+(7.5/(H149)*C155)+(7.5/(H149)*C156)+(10/H149*C157)+(10/H149*C158)+(5/H149*C159)+(5/H149*C160)+(5/H149*C161))/100)</f>
        <v>0.75</v>
      </c>
      <c r="F152" s="75"/>
      <c r="G152" s="75">
        <f ca="1">((((C152/H149)*20)+((C153/H149)*25)+(30/(H149+F149+D149)*C154)+(5/H149*C155)+(5/H149*C156)+(5/H149*C157)+(5/H149*C158)+(0/H149*C159)+(0/H149*C160)+(5/H149*C161))/100)</f>
        <v>0.9</v>
      </c>
      <c r="H152" s="77"/>
      <c r="I152" s="31" t="s">
        <v>102</v>
      </c>
      <c r="J152" s="34">
        <f ca="1">H149*50%</f>
        <v>3.5</v>
      </c>
    </row>
    <row r="153" spans="1:10" hidden="1" x14ac:dyDescent="0.35">
      <c r="A153" s="72" t="s">
        <v>52</v>
      </c>
      <c r="B153" s="73"/>
      <c r="C153" s="51">
        <v>7</v>
      </c>
      <c r="D153" s="50">
        <f ca="1">((100/H149)*C153)/100</f>
        <v>1</v>
      </c>
      <c r="E153" s="75"/>
      <c r="F153" s="75"/>
      <c r="G153" s="75"/>
      <c r="H153" s="77"/>
      <c r="I153" s="31" t="s">
        <v>103</v>
      </c>
      <c r="J153" s="34">
        <f ca="1">H149</f>
        <v>7</v>
      </c>
    </row>
    <row r="154" spans="1:10" ht="15.75" hidden="1" customHeight="1" x14ac:dyDescent="0.35">
      <c r="A154" s="72" t="s">
        <v>135</v>
      </c>
      <c r="B154" s="73"/>
      <c r="C154" s="51">
        <v>8</v>
      </c>
      <c r="D154" s="50">
        <f ca="1">((100/(D149+F149+H149))*C154)/100</f>
        <v>1</v>
      </c>
      <c r="E154" s="75"/>
      <c r="F154" s="75"/>
      <c r="G154" s="75"/>
      <c r="H154" s="77"/>
      <c r="I154" s="31" t="s">
        <v>104</v>
      </c>
      <c r="J154" s="37">
        <f ca="1">(IF(B149&gt;1,(H149/(B149+2)),H149/4))</f>
        <v>1.75</v>
      </c>
    </row>
    <row r="155" spans="1:10" ht="15.75" hidden="1" customHeight="1" x14ac:dyDescent="0.35">
      <c r="A155" s="72" t="s">
        <v>142</v>
      </c>
      <c r="B155" s="73" t="s">
        <v>136</v>
      </c>
      <c r="C155" s="49">
        <v>7</v>
      </c>
      <c r="D155" s="50">
        <f ca="1">((100/H149)*C155)/100</f>
        <v>1</v>
      </c>
      <c r="E155" s="75"/>
      <c r="F155" s="75"/>
      <c r="G155" s="75"/>
      <c r="H155" s="77"/>
      <c r="I155" s="31" t="s">
        <v>105</v>
      </c>
      <c r="J155" s="37">
        <f ca="1">(IF(B149&gt;1,(H149/(B149+2)+J154),H149/4+J154))</f>
        <v>3.5</v>
      </c>
    </row>
    <row r="156" spans="1:10" ht="15.75" hidden="1" customHeight="1" x14ac:dyDescent="0.35">
      <c r="A156" s="72" t="s">
        <v>143</v>
      </c>
      <c r="B156" s="73" t="s">
        <v>136</v>
      </c>
      <c r="C156" s="49">
        <v>7</v>
      </c>
      <c r="D156" s="50">
        <f ca="1">((100/H149)*C156)/100</f>
        <v>1</v>
      </c>
      <c r="E156" s="75"/>
      <c r="F156" s="75"/>
      <c r="G156" s="75"/>
      <c r="H156" s="77"/>
      <c r="I156" s="31" t="s">
        <v>152</v>
      </c>
      <c r="J156" s="37">
        <f>(IF(B149&gt;1,(H149/(B149+2)+J155),0))</f>
        <v>0</v>
      </c>
    </row>
    <row r="157" spans="1:10" ht="15" hidden="1" customHeight="1" x14ac:dyDescent="0.35">
      <c r="A157" s="72" t="s">
        <v>141</v>
      </c>
      <c r="B157" s="73" t="s">
        <v>138</v>
      </c>
      <c r="C157" s="49">
        <v>5</v>
      </c>
      <c r="D157" s="50">
        <f ca="1">((100/(H149))*C157)/100</f>
        <v>0.7142857142857143</v>
      </c>
      <c r="E157" s="75"/>
      <c r="F157" s="75"/>
      <c r="G157" s="75"/>
      <c r="H157" s="77"/>
      <c r="I157" s="31" t="s">
        <v>149</v>
      </c>
      <c r="J157" s="37">
        <f>(IF(B149&gt;2,(H149/(B149+2)+J156),0))</f>
        <v>0</v>
      </c>
    </row>
    <row r="158" spans="1:10" ht="15.75" hidden="1" customHeight="1" x14ac:dyDescent="0.35">
      <c r="A158" s="72" t="s">
        <v>137</v>
      </c>
      <c r="B158" s="73" t="s">
        <v>137</v>
      </c>
      <c r="C158" s="49">
        <v>2</v>
      </c>
      <c r="D158" s="50">
        <f ca="1">((100/H149)*C158)/100</f>
        <v>0.28571428571428575</v>
      </c>
      <c r="E158" s="75"/>
      <c r="F158" s="75"/>
      <c r="G158" s="75"/>
      <c r="H158" s="77"/>
      <c r="I158" s="31" t="s">
        <v>150</v>
      </c>
      <c r="J158" s="38">
        <f>(IF(B149&gt;3,(H149/(B149+2)+J157),0))</f>
        <v>0</v>
      </c>
    </row>
    <row r="159" spans="1:10" ht="15.75" hidden="1" customHeight="1" x14ac:dyDescent="0.35">
      <c r="A159" s="72" t="s">
        <v>144</v>
      </c>
      <c r="B159" s="73"/>
      <c r="C159" s="49">
        <v>0</v>
      </c>
      <c r="D159" s="50">
        <f ca="1">((100/H149)*C159)/100</f>
        <v>0</v>
      </c>
      <c r="E159" s="75"/>
      <c r="F159" s="75"/>
      <c r="G159" s="75"/>
      <c r="H159" s="77"/>
      <c r="I159" s="31" t="s">
        <v>151</v>
      </c>
      <c r="J159" s="37">
        <f>(IF(B149&gt;4,(H149/(B149+2)+J158),0))</f>
        <v>0</v>
      </c>
    </row>
    <row r="160" spans="1:10" ht="15.75" hidden="1" customHeight="1" x14ac:dyDescent="0.35">
      <c r="A160" s="72" t="s">
        <v>139</v>
      </c>
      <c r="B160" s="73" t="s">
        <v>139</v>
      </c>
      <c r="C160" s="49">
        <v>0</v>
      </c>
      <c r="D160" s="50">
        <f ca="1">((100/(H149))*C160)/100</f>
        <v>0</v>
      </c>
      <c r="E160" s="75"/>
      <c r="F160" s="75"/>
      <c r="G160" s="75"/>
      <c r="H160" s="77"/>
      <c r="I160" s="31" t="s">
        <v>153</v>
      </c>
      <c r="J160" s="37">
        <f ca="1">(IF(B149=1,(H149/(B149+3)+J155),IF(B149=0,(H149/4+J155),IF(B149&gt;1,0))))</f>
        <v>5.25</v>
      </c>
    </row>
    <row r="161" spans="1:12" ht="16" hidden="1" thickBot="1" x14ac:dyDescent="0.4">
      <c r="A161" s="79" t="s">
        <v>140</v>
      </c>
      <c r="B161" s="80"/>
      <c r="C161" s="52">
        <v>0</v>
      </c>
      <c r="D161" s="53">
        <f ca="1">((100/(H149))*C161)/100</f>
        <v>0</v>
      </c>
      <c r="E161" s="76"/>
      <c r="F161" s="76"/>
      <c r="G161" s="76"/>
      <c r="H161" s="78"/>
      <c r="I161" s="36" t="s">
        <v>106</v>
      </c>
      <c r="J161" s="39">
        <f ca="1">(IF(B149&gt;1.5,(H149/(B149+2)+J155+MAX(0,J156-J155)+MAX(0,J157-J156)+MAX(0,J158-J157)+MAX(0,J159-J158)+MAX(0,J160-J159)),IF(B149=1,(H149/(B149+3)+J160),IF(B149=0,H149/4+J160))))</f>
        <v>7</v>
      </c>
    </row>
    <row r="162" spans="1:12" x14ac:dyDescent="0.35">
      <c r="A162" s="115" t="s">
        <v>53</v>
      </c>
      <c r="B162" s="115"/>
      <c r="C162" s="115"/>
      <c r="D162" s="115"/>
      <c r="E162" s="115"/>
      <c r="F162" s="115"/>
      <c r="G162" s="115"/>
      <c r="H162" s="115"/>
    </row>
    <row r="163" spans="1:12" x14ac:dyDescent="0.35">
      <c r="A163" s="84" t="s">
        <v>160</v>
      </c>
      <c r="B163" s="84"/>
      <c r="C163" s="84"/>
      <c r="D163" s="84"/>
      <c r="E163" s="84"/>
      <c r="F163" s="84">
        <v>0</v>
      </c>
      <c r="G163" s="166">
        <v>5000</v>
      </c>
      <c r="H163" s="166"/>
      <c r="I163" s="54" t="s">
        <v>209</v>
      </c>
      <c r="J163" s="54" t="s">
        <v>210</v>
      </c>
      <c r="K163" s="54" t="s">
        <v>211</v>
      </c>
      <c r="L163" s="55">
        <v>44799</v>
      </c>
    </row>
    <row r="164" spans="1:12" x14ac:dyDescent="0.35">
      <c r="A164" s="84" t="s">
        <v>161</v>
      </c>
      <c r="B164" s="84"/>
      <c r="C164" s="84"/>
      <c r="D164" s="84"/>
      <c r="E164" s="84"/>
      <c r="F164" s="84">
        <v>0</v>
      </c>
      <c r="G164" s="166">
        <v>7000</v>
      </c>
      <c r="H164" s="166"/>
      <c r="I164" s="54" t="s">
        <v>213</v>
      </c>
    </row>
    <row r="165" spans="1:12" s="7" customFormat="1" x14ac:dyDescent="0.3">
      <c r="A165" s="84" t="s">
        <v>212</v>
      </c>
      <c r="B165" s="84"/>
      <c r="C165" s="84"/>
      <c r="D165" s="84"/>
      <c r="E165" s="84"/>
      <c r="F165" s="84">
        <v>0</v>
      </c>
      <c r="G165" s="166">
        <v>250000</v>
      </c>
      <c r="H165" s="166"/>
    </row>
    <row r="166" spans="1:12" s="7" customFormat="1" hidden="1" x14ac:dyDescent="0.3">
      <c r="A166" s="84" t="s">
        <v>205</v>
      </c>
      <c r="B166" s="84"/>
      <c r="C166" s="84"/>
      <c r="D166" s="84"/>
      <c r="E166" s="84"/>
      <c r="F166" s="84">
        <v>0</v>
      </c>
      <c r="G166" s="166">
        <v>8500</v>
      </c>
      <c r="H166" s="166"/>
    </row>
    <row r="167" spans="1:12" s="7" customFormat="1" hidden="1" x14ac:dyDescent="0.3">
      <c r="A167" s="84" t="s">
        <v>100</v>
      </c>
      <c r="B167" s="84"/>
      <c r="C167" s="84"/>
      <c r="D167" s="84"/>
      <c r="E167" s="84"/>
      <c r="F167" s="84">
        <v>0</v>
      </c>
      <c r="G167" s="166">
        <v>10000</v>
      </c>
      <c r="H167" s="166"/>
    </row>
    <row r="168" spans="1:12" s="7" customFormat="1" hidden="1" x14ac:dyDescent="0.3">
      <c r="A168" s="84" t="s">
        <v>101</v>
      </c>
      <c r="B168" s="84"/>
      <c r="C168" s="84"/>
      <c r="D168" s="84"/>
      <c r="E168" s="84"/>
      <c r="F168" s="84">
        <v>0</v>
      </c>
      <c r="G168" s="166">
        <v>15000</v>
      </c>
      <c r="H168" s="166"/>
    </row>
    <row r="169" spans="1:12" x14ac:dyDescent="0.35">
      <c r="A169" s="84" t="s">
        <v>54</v>
      </c>
      <c r="B169" s="84"/>
      <c r="C169" s="84"/>
      <c r="D169" s="84"/>
      <c r="E169" s="84"/>
      <c r="F169" s="84">
        <v>0</v>
      </c>
      <c r="G169" s="166">
        <v>100000</v>
      </c>
      <c r="H169" s="166"/>
    </row>
    <row r="170" spans="1:12" s="4" customFormat="1" x14ac:dyDescent="0.35">
      <c r="A170" s="115" t="s">
        <v>55</v>
      </c>
      <c r="B170" s="115"/>
      <c r="C170" s="115"/>
      <c r="D170" s="115"/>
      <c r="E170" s="115"/>
      <c r="F170" s="115">
        <f>F163*0.8</f>
        <v>0</v>
      </c>
      <c r="G170" s="168">
        <f>G163*0.8</f>
        <v>4000</v>
      </c>
      <c r="H170" s="168"/>
    </row>
    <row r="171" spans="1:12" s="1" customFormat="1" ht="15.75" customHeight="1" x14ac:dyDescent="0.35">
      <c r="A171" s="130" t="s">
        <v>80</v>
      </c>
      <c r="B171" s="130"/>
      <c r="C171" s="130"/>
      <c r="D171" s="130"/>
      <c r="E171" s="130"/>
      <c r="F171" s="130"/>
      <c r="G171" s="130"/>
      <c r="H171" s="130"/>
    </row>
    <row r="172" spans="1:12" s="1" customFormat="1" ht="15.75" customHeight="1" x14ac:dyDescent="0.35">
      <c r="A172" s="112" t="s">
        <v>56</v>
      </c>
      <c r="B172" s="112"/>
      <c r="C172" s="167" t="s">
        <v>83</v>
      </c>
      <c r="D172" s="167"/>
      <c r="E172" s="119" t="s">
        <v>57</v>
      </c>
      <c r="F172" s="119"/>
      <c r="G172" s="112" t="s">
        <v>58</v>
      </c>
      <c r="H172" s="112"/>
    </row>
    <row r="173" spans="1:12" s="1" customFormat="1" x14ac:dyDescent="0.35">
      <c r="A173" s="114" t="s">
        <v>193</v>
      </c>
      <c r="B173" s="114"/>
      <c r="C173" s="123">
        <f>COUNT(D195:D199)</f>
        <v>5</v>
      </c>
      <c r="D173" s="124"/>
      <c r="E173" s="116">
        <f>SUM(D195:D199)</f>
        <v>743.03891999999996</v>
      </c>
      <c r="F173" s="117"/>
      <c r="G173" s="116">
        <f>SUM(F195:F199)</f>
        <v>1151.7103260000001</v>
      </c>
      <c r="H173" s="117"/>
    </row>
    <row r="174" spans="1:12" s="1" customFormat="1" ht="15.75" customHeight="1" x14ac:dyDescent="0.35">
      <c r="A174" s="114" t="s">
        <v>194</v>
      </c>
      <c r="B174" s="114"/>
      <c r="C174" s="123">
        <f>COUNT(D202:D207)</f>
        <v>6</v>
      </c>
      <c r="D174" s="124"/>
      <c r="E174" s="116">
        <f>SUM(D202:D207)</f>
        <v>636.6905999999999</v>
      </c>
      <c r="F174" s="117"/>
      <c r="G174" s="116">
        <f>SUM(F202:F207)</f>
        <v>986.87043000000006</v>
      </c>
      <c r="H174" s="117"/>
    </row>
    <row r="175" spans="1:12" s="1" customFormat="1" x14ac:dyDescent="0.35">
      <c r="A175" s="114" t="s">
        <v>195</v>
      </c>
      <c r="B175" s="114"/>
      <c r="C175" s="123">
        <f>COUNT(D210:D214)</f>
        <v>5</v>
      </c>
      <c r="D175" s="124"/>
      <c r="E175" s="116">
        <f>SUM(D210:D214)</f>
        <v>512.79696000000001</v>
      </c>
      <c r="F175" s="117"/>
      <c r="G175" s="116">
        <f>SUM(F210:F214)</f>
        <v>794.83528799999988</v>
      </c>
      <c r="H175" s="117"/>
    </row>
    <row r="176" spans="1:12" s="1" customFormat="1" x14ac:dyDescent="0.35">
      <c r="A176" s="114" t="s">
        <v>196</v>
      </c>
      <c r="B176" s="114"/>
      <c r="C176" s="123">
        <f>COUNT(D217:D226)</f>
        <v>10</v>
      </c>
      <c r="D176" s="124"/>
      <c r="E176" s="116">
        <f>SUM(D217:D226)</f>
        <v>1069.4034000000001</v>
      </c>
      <c r="F176" s="117"/>
      <c r="G176" s="116">
        <f>SUM(F217:F226)</f>
        <v>1657.5752699999998</v>
      </c>
      <c r="H176" s="117"/>
    </row>
    <row r="177" spans="1:8" s="1" customFormat="1" x14ac:dyDescent="0.35">
      <c r="A177" s="130" t="s">
        <v>156</v>
      </c>
      <c r="B177" s="130"/>
      <c r="C177" s="169">
        <f>SUM(C173:D176)</f>
        <v>26</v>
      </c>
      <c r="D177" s="167"/>
      <c r="E177" s="118">
        <f>SUM(E173:F176)</f>
        <v>2961.9298800000001</v>
      </c>
      <c r="F177" s="119"/>
      <c r="G177" s="112">
        <f>SUM(G173:H176)</f>
        <v>4590.9913139999999</v>
      </c>
      <c r="H177" s="112"/>
    </row>
    <row r="178" spans="1:8" s="1" customFormat="1" x14ac:dyDescent="0.35">
      <c r="A178" s="130" t="s">
        <v>74</v>
      </c>
      <c r="B178" s="130"/>
      <c r="C178" s="130"/>
      <c r="D178" s="130"/>
      <c r="E178" s="130"/>
      <c r="F178" s="130"/>
      <c r="G178" s="130"/>
      <c r="H178" s="130"/>
    </row>
    <row r="179" spans="1:8" s="1" customFormat="1" ht="15.75" customHeight="1" x14ac:dyDescent="0.35">
      <c r="A179" s="112" t="s">
        <v>56</v>
      </c>
      <c r="B179" s="112"/>
      <c r="C179" s="167" t="s">
        <v>83</v>
      </c>
      <c r="D179" s="167"/>
      <c r="E179" s="119" t="s">
        <v>57</v>
      </c>
      <c r="F179" s="119"/>
      <c r="G179" s="112" t="s">
        <v>58</v>
      </c>
      <c r="H179" s="112"/>
    </row>
    <row r="180" spans="1:8" s="1" customFormat="1" x14ac:dyDescent="0.35">
      <c r="A180" s="114" t="s">
        <v>189</v>
      </c>
      <c r="B180" s="114"/>
      <c r="C180" s="124">
        <f>COUNT(D232:D236)+COUNT(D238:D243)*7</f>
        <v>47</v>
      </c>
      <c r="D180" s="124"/>
      <c r="E180" s="116">
        <f>SUM(D232:D236)+SUM(D238:D243)*7</f>
        <v>15128.371439999999</v>
      </c>
      <c r="F180" s="116"/>
      <c r="G180" s="116">
        <f>SUM(F232:F236)+SUM(F238:F243)*7</f>
        <v>22692.55716</v>
      </c>
      <c r="H180" s="116"/>
    </row>
    <row r="181" spans="1:8" s="1" customFormat="1" x14ac:dyDescent="0.35">
      <c r="A181" s="114" t="s">
        <v>190</v>
      </c>
      <c r="B181" s="114"/>
      <c r="C181" s="124">
        <f>COUNT(D246:D249)+COUNT(D251:D254)*7</f>
        <v>32</v>
      </c>
      <c r="D181" s="124"/>
      <c r="E181" s="116">
        <f>SUM(D246:D249)+SUM(D251:D254)*7</f>
        <v>10278.328319999999</v>
      </c>
      <c r="F181" s="116"/>
      <c r="G181" s="116">
        <f>SUM(F246:F249)+SUM(F251:F254)*7</f>
        <v>15417.492479999997</v>
      </c>
      <c r="H181" s="116"/>
    </row>
    <row r="182" spans="1:8" s="1" customFormat="1" x14ac:dyDescent="0.35">
      <c r="A182" s="114" t="s">
        <v>191</v>
      </c>
      <c r="B182" s="114"/>
      <c r="C182" s="124">
        <f>COUNT(D246:D249)+COUNT(D251:D254)*7</f>
        <v>32</v>
      </c>
      <c r="D182" s="124"/>
      <c r="E182" s="116">
        <f>SUM(D246:D249)+SUM(D251:D254)*7</f>
        <v>10278.328319999999</v>
      </c>
      <c r="F182" s="116"/>
      <c r="G182" s="116">
        <f>SUM(F246:F249)+SUM(F251:F254)*7</f>
        <v>15417.492479999997</v>
      </c>
      <c r="H182" s="116"/>
    </row>
    <row r="183" spans="1:8" s="1" customFormat="1" x14ac:dyDescent="0.35">
      <c r="A183" s="114" t="s">
        <v>192</v>
      </c>
      <c r="B183" s="114"/>
      <c r="C183" s="124">
        <f>COUNT(D246:D249)+COUNT(D251:D254)*7</f>
        <v>32</v>
      </c>
      <c r="D183" s="124"/>
      <c r="E183" s="116">
        <f>SUM(D246:D249)+SUM(D251:D254)*7</f>
        <v>10278.328319999999</v>
      </c>
      <c r="F183" s="116"/>
      <c r="G183" s="116">
        <f>SUM(F246:F249)+SUM(F251:F254)*7</f>
        <v>15417.492479999997</v>
      </c>
      <c r="H183" s="116"/>
    </row>
    <row r="184" spans="1:8" s="1" customFormat="1" x14ac:dyDescent="0.35">
      <c r="A184" s="114" t="s">
        <v>193</v>
      </c>
      <c r="B184" s="114"/>
      <c r="C184" s="124">
        <f>COUNT(D257:D260)*7</f>
        <v>28</v>
      </c>
      <c r="D184" s="124"/>
      <c r="E184" s="116">
        <f>SUM(D257:D260)*7</f>
        <v>15970.76208</v>
      </c>
      <c r="F184" s="116"/>
      <c r="G184" s="116">
        <f>SUM(F257:F260)*7</f>
        <v>23956.143120000001</v>
      </c>
      <c r="H184" s="116"/>
    </row>
    <row r="185" spans="1:8" s="1" customFormat="1" x14ac:dyDescent="0.35">
      <c r="A185" s="114" t="s">
        <v>194</v>
      </c>
      <c r="B185" s="114"/>
      <c r="C185" s="124">
        <f>COUNT(D263)+COUNT(D265:D268)*7</f>
        <v>29</v>
      </c>
      <c r="D185" s="124"/>
      <c r="E185" s="116">
        <f>SUM(D263)+SUM(D265:D268)*7</f>
        <v>10805.118479999997</v>
      </c>
      <c r="F185" s="116"/>
      <c r="G185" s="116">
        <f>SUM(F263)+SUM(F265:F268)*7</f>
        <v>16223.737607999999</v>
      </c>
      <c r="H185" s="116"/>
    </row>
    <row r="186" spans="1:8" s="1" customFormat="1" x14ac:dyDescent="0.35">
      <c r="A186" s="114" t="s">
        <v>195</v>
      </c>
      <c r="B186" s="114"/>
      <c r="C186" s="124">
        <f>COUNT(D271)+COUNT(D273:D276)*7</f>
        <v>29</v>
      </c>
      <c r="D186" s="124"/>
      <c r="E186" s="116">
        <f>SUM(D271)+SUM(D273:D276)*7</f>
        <v>10805.118479999997</v>
      </c>
      <c r="F186" s="116"/>
      <c r="G186" s="116">
        <f>SUM(F271)+SUM(F273:F276)*7</f>
        <v>16223.737607999999</v>
      </c>
      <c r="H186" s="116"/>
    </row>
    <row r="187" spans="1:8" s="1" customFormat="1" ht="15.75" customHeight="1" x14ac:dyDescent="0.35">
      <c r="A187" s="114" t="s">
        <v>196</v>
      </c>
      <c r="B187" s="114"/>
      <c r="C187" s="124">
        <f>COUNT(D279:D284)*6+COUNT(D286:D291)</f>
        <v>42</v>
      </c>
      <c r="D187" s="124"/>
      <c r="E187" s="116">
        <f>SUM(D279:D284)*6+SUM(D286:D291)</f>
        <v>17045.439839999995</v>
      </c>
      <c r="F187" s="116"/>
      <c r="G187" s="116">
        <f>SUM(F279:F284)*6+SUM(F286:F291)</f>
        <v>25568.159759999995</v>
      </c>
      <c r="H187" s="116"/>
    </row>
    <row r="188" spans="1:8" s="1" customFormat="1" x14ac:dyDescent="0.35">
      <c r="A188" s="130" t="s">
        <v>156</v>
      </c>
      <c r="B188" s="130"/>
      <c r="C188" s="167">
        <f>SUM(C180:D187)</f>
        <v>271</v>
      </c>
      <c r="D188" s="167"/>
      <c r="E188" s="118">
        <f>SUM(E180:F187)</f>
        <v>100589.79527999998</v>
      </c>
      <c r="F188" s="119"/>
      <c r="G188" s="112">
        <f>SUM(G180:H187)</f>
        <v>150916.81269599998</v>
      </c>
      <c r="H188" s="112"/>
    </row>
    <row r="189" spans="1:8" s="4" customFormat="1" x14ac:dyDescent="0.35">
      <c r="A189" s="147" t="s">
        <v>59</v>
      </c>
      <c r="B189" s="147"/>
      <c r="C189" s="147"/>
      <c r="D189" s="147"/>
      <c r="E189" s="147"/>
      <c r="F189" s="147"/>
      <c r="G189" s="147"/>
      <c r="H189" s="147"/>
    </row>
    <row r="190" spans="1:8" x14ac:dyDescent="0.35">
      <c r="A190" s="147" t="s">
        <v>60</v>
      </c>
      <c r="B190" s="147"/>
      <c r="C190" s="147"/>
      <c r="D190" s="147"/>
      <c r="E190" s="147"/>
      <c r="F190" s="147"/>
      <c r="G190" s="147"/>
      <c r="H190" s="147"/>
    </row>
    <row r="191" spans="1:8" ht="47.25" customHeight="1" x14ac:dyDescent="0.35">
      <c r="A191" s="113" t="s">
        <v>123</v>
      </c>
      <c r="B191" s="113" t="s">
        <v>122</v>
      </c>
      <c r="C191" s="113" t="s">
        <v>61</v>
      </c>
      <c r="D191" s="113" t="s">
        <v>62</v>
      </c>
      <c r="E191" s="110" t="s">
        <v>63</v>
      </c>
      <c r="F191" s="60" t="s">
        <v>155</v>
      </c>
      <c r="G191" s="113" t="s">
        <v>64</v>
      </c>
      <c r="H191" s="113"/>
    </row>
    <row r="192" spans="1:8" s="2" customFormat="1" x14ac:dyDescent="0.35">
      <c r="A192" s="113"/>
      <c r="B192" s="113"/>
      <c r="C192" s="113"/>
      <c r="D192" s="113"/>
      <c r="E192" s="110"/>
      <c r="F192" s="61">
        <v>0.55000000000000004</v>
      </c>
      <c r="G192" s="113"/>
      <c r="H192" s="113"/>
    </row>
    <row r="193" spans="1:14" s="4" customFormat="1" x14ac:dyDescent="0.35">
      <c r="A193" s="125" t="s">
        <v>179</v>
      </c>
      <c r="B193" s="126"/>
      <c r="C193" s="126"/>
      <c r="D193" s="126"/>
      <c r="E193" s="126"/>
      <c r="F193" s="126"/>
      <c r="G193" s="126"/>
      <c r="H193" s="127"/>
    </row>
    <row r="194" spans="1:14" s="2" customFormat="1" x14ac:dyDescent="0.35">
      <c r="A194" s="107" t="s">
        <v>183</v>
      </c>
      <c r="B194" s="108"/>
      <c r="C194" s="108"/>
      <c r="D194" s="108"/>
      <c r="E194" s="108"/>
      <c r="F194" s="108"/>
      <c r="G194" s="108"/>
      <c r="H194" s="109"/>
      <c r="J194" s="30"/>
    </row>
    <row r="195" spans="1:14" s="2" customFormat="1" ht="15.75" customHeight="1" x14ac:dyDescent="0.35">
      <c r="A195" s="44">
        <v>1</v>
      </c>
      <c r="B195" s="29" t="s">
        <v>206</v>
      </c>
      <c r="C195" s="29" t="s">
        <v>180</v>
      </c>
      <c r="D195" s="29">
        <f>(12.61*10.764)</f>
        <v>135.73403999999999</v>
      </c>
      <c r="E195" s="29">
        <v>0</v>
      </c>
      <c r="F195" s="29">
        <f>D195*(($F$192)+1)+(IF(E195&lt;101,E195,IF(E195&lt;201,E195/2,IF(E195&lt;=301,E195/3,E195/4))))</f>
        <v>210.38776200000001</v>
      </c>
      <c r="G195" s="158" t="str">
        <f>A194</f>
        <v>Ground Floor for Commercial &amp; Parking</v>
      </c>
      <c r="H195" s="159"/>
      <c r="I195" s="30"/>
      <c r="L195" s="165"/>
      <c r="M195" s="165"/>
      <c r="N195" s="30"/>
    </row>
    <row r="196" spans="1:14" s="2" customFormat="1" ht="15.75" customHeight="1" x14ac:dyDescent="0.35">
      <c r="A196" s="44">
        <f t="shared" ref="A196:A199" si="0">A195+1</f>
        <v>2</v>
      </c>
      <c r="B196" s="29" t="s">
        <v>206</v>
      </c>
      <c r="C196" s="29" t="s">
        <v>180</v>
      </c>
      <c r="D196" s="29">
        <f>(12.61*10.764)</f>
        <v>135.73403999999999</v>
      </c>
      <c r="E196" s="29">
        <v>0</v>
      </c>
      <c r="F196" s="29">
        <f t="shared" ref="F196:F199" si="1">D196*(($F$192)+1)+(IF(E196&lt;101,E196,IF(E196&lt;201,E196/2,IF(E196&lt;=301,E196/3,E196/4))))</f>
        <v>210.38776200000001</v>
      </c>
      <c r="G196" s="160"/>
      <c r="H196" s="161"/>
      <c r="I196" s="30"/>
      <c r="L196" s="165"/>
      <c r="M196" s="165"/>
      <c r="N196" s="30"/>
    </row>
    <row r="197" spans="1:14" s="2" customFormat="1" ht="15.75" customHeight="1" x14ac:dyDescent="0.35">
      <c r="A197" s="44">
        <f t="shared" si="0"/>
        <v>3</v>
      </c>
      <c r="B197" s="29" t="s">
        <v>206</v>
      </c>
      <c r="C197" s="29" t="s">
        <v>180</v>
      </c>
      <c r="D197" s="29">
        <f>(21.37*10.764)</f>
        <v>230.02668</v>
      </c>
      <c r="E197" s="29">
        <v>0</v>
      </c>
      <c r="F197" s="29">
        <f t="shared" si="1"/>
        <v>356.54135400000001</v>
      </c>
      <c r="G197" s="160"/>
      <c r="H197" s="161"/>
      <c r="I197" s="30"/>
      <c r="L197" s="165"/>
      <c r="M197" s="165"/>
      <c r="N197" s="30"/>
    </row>
    <row r="198" spans="1:14" s="2" customFormat="1" ht="15.75" customHeight="1" x14ac:dyDescent="0.35">
      <c r="A198" s="44">
        <f t="shared" si="0"/>
        <v>4</v>
      </c>
      <c r="B198" s="29" t="s">
        <v>206</v>
      </c>
      <c r="C198" s="29" t="s">
        <v>180</v>
      </c>
      <c r="D198" s="29">
        <f>(11.22*10.764)</f>
        <v>120.77208</v>
      </c>
      <c r="E198" s="29">
        <v>0</v>
      </c>
      <c r="F198" s="29">
        <f t="shared" si="1"/>
        <v>187.19672400000002</v>
      </c>
      <c r="G198" s="160"/>
      <c r="H198" s="161"/>
      <c r="I198" s="30"/>
      <c r="L198" s="165"/>
      <c r="M198" s="165"/>
      <c r="N198" s="30"/>
    </row>
    <row r="199" spans="1:14" s="2" customFormat="1" ht="15.75" customHeight="1" x14ac:dyDescent="0.35">
      <c r="A199" s="44">
        <f t="shared" si="0"/>
        <v>5</v>
      </c>
      <c r="B199" s="29" t="s">
        <v>206</v>
      </c>
      <c r="C199" s="29" t="s">
        <v>180</v>
      </c>
      <c r="D199" s="29">
        <f>(11.22*10.764)</f>
        <v>120.77208</v>
      </c>
      <c r="E199" s="29">
        <v>0</v>
      </c>
      <c r="F199" s="29">
        <f t="shared" si="1"/>
        <v>187.19672400000002</v>
      </c>
      <c r="G199" s="162"/>
      <c r="H199" s="163"/>
      <c r="I199" s="30"/>
      <c r="L199" s="165"/>
      <c r="M199" s="165"/>
      <c r="N199" s="30"/>
    </row>
    <row r="200" spans="1:14" s="4" customFormat="1" x14ac:dyDescent="0.35">
      <c r="A200" s="125" t="s">
        <v>184</v>
      </c>
      <c r="B200" s="126"/>
      <c r="C200" s="126"/>
      <c r="D200" s="126"/>
      <c r="E200" s="126"/>
      <c r="F200" s="126"/>
      <c r="G200" s="126"/>
      <c r="H200" s="127"/>
    </row>
    <row r="201" spans="1:14" s="2" customFormat="1" x14ac:dyDescent="0.35">
      <c r="A201" s="107" t="s">
        <v>185</v>
      </c>
      <c r="B201" s="108"/>
      <c r="C201" s="108"/>
      <c r="D201" s="108"/>
      <c r="E201" s="108"/>
      <c r="F201" s="108"/>
      <c r="G201" s="108"/>
      <c r="H201" s="109"/>
      <c r="J201" s="30"/>
    </row>
    <row r="202" spans="1:14" s="2" customFormat="1" ht="15.75" customHeight="1" x14ac:dyDescent="0.35">
      <c r="A202" s="44">
        <v>6</v>
      </c>
      <c r="B202" s="29" t="s">
        <v>206</v>
      </c>
      <c r="C202" s="29" t="s">
        <v>180</v>
      </c>
      <c r="D202" s="29">
        <f>(11.51*10.764)</f>
        <v>123.89363999999999</v>
      </c>
      <c r="E202" s="29">
        <v>0</v>
      </c>
      <c r="F202" s="29">
        <f>D202*(($F$192)+1)+(IF(E202&lt;101,E202,IF(E202&lt;201,E202/2,IF(E202&lt;=301,E202/3,E202/4))))</f>
        <v>192.03514199999998</v>
      </c>
      <c r="G202" s="158" t="str">
        <f>A201</f>
        <v xml:space="preserve">Ground Floor </v>
      </c>
      <c r="H202" s="159"/>
      <c r="I202" s="30"/>
      <c r="L202" s="165"/>
      <c r="M202" s="165"/>
      <c r="N202" s="30"/>
    </row>
    <row r="203" spans="1:14" s="2" customFormat="1" ht="15.75" customHeight="1" x14ac:dyDescent="0.35">
      <c r="A203" s="44">
        <f t="shared" ref="A203:A207" si="2">A202+1</f>
        <v>7</v>
      </c>
      <c r="B203" s="29" t="s">
        <v>206</v>
      </c>
      <c r="C203" s="29" t="s">
        <v>180</v>
      </c>
      <c r="D203" s="29">
        <f>(8.99*10.764)</f>
        <v>96.768360000000001</v>
      </c>
      <c r="E203" s="29">
        <v>0</v>
      </c>
      <c r="F203" s="29">
        <f t="shared" ref="F203:F206" si="3">D203*(($F$192)+1)+(IF(E203&lt;101,E203,IF(E203&lt;201,E203/2,IF(E203&lt;=301,E203/3,E203/4))))</f>
        <v>149.99095800000001</v>
      </c>
      <c r="G203" s="160"/>
      <c r="H203" s="161"/>
      <c r="I203" s="30"/>
      <c r="L203" s="165"/>
      <c r="M203" s="165"/>
      <c r="N203" s="30"/>
    </row>
    <row r="204" spans="1:14" s="2" customFormat="1" ht="15.75" customHeight="1" x14ac:dyDescent="0.35">
      <c r="A204" s="44">
        <f t="shared" si="2"/>
        <v>8</v>
      </c>
      <c r="B204" s="29" t="s">
        <v>206</v>
      </c>
      <c r="C204" s="29" t="s">
        <v>180</v>
      </c>
      <c r="D204" s="29">
        <f>(8.99*10.764)</f>
        <v>96.768360000000001</v>
      </c>
      <c r="E204" s="29">
        <v>0</v>
      </c>
      <c r="F204" s="29">
        <f t="shared" si="3"/>
        <v>149.99095800000001</v>
      </c>
      <c r="G204" s="160"/>
      <c r="H204" s="161"/>
      <c r="I204" s="30"/>
      <c r="L204" s="165"/>
      <c r="M204" s="165"/>
      <c r="N204" s="30"/>
    </row>
    <row r="205" spans="1:14" s="2" customFormat="1" ht="15.75" customHeight="1" x14ac:dyDescent="0.35">
      <c r="A205" s="44">
        <f t="shared" si="2"/>
        <v>9</v>
      </c>
      <c r="B205" s="29" t="s">
        <v>206</v>
      </c>
      <c r="C205" s="29" t="s">
        <v>180</v>
      </c>
      <c r="D205" s="29">
        <f>(11.51*10.764)</f>
        <v>123.89363999999999</v>
      </c>
      <c r="E205" s="29">
        <v>0</v>
      </c>
      <c r="F205" s="29">
        <f t="shared" si="3"/>
        <v>192.03514199999998</v>
      </c>
      <c r="G205" s="160"/>
      <c r="H205" s="161"/>
      <c r="I205" s="30"/>
      <c r="L205" s="165"/>
      <c r="M205" s="165"/>
      <c r="N205" s="30"/>
    </row>
    <row r="206" spans="1:14" s="2" customFormat="1" ht="15.75" customHeight="1" x14ac:dyDescent="0.35">
      <c r="A206" s="44">
        <f t="shared" si="2"/>
        <v>10</v>
      </c>
      <c r="B206" s="29" t="s">
        <v>206</v>
      </c>
      <c r="C206" s="29" t="s">
        <v>180</v>
      </c>
      <c r="D206" s="29">
        <f>(8.74*10.764)</f>
        <v>94.077359999999999</v>
      </c>
      <c r="E206" s="29">
        <v>0</v>
      </c>
      <c r="F206" s="29">
        <f t="shared" si="3"/>
        <v>145.819908</v>
      </c>
      <c r="G206" s="160"/>
      <c r="H206" s="161"/>
      <c r="I206" s="30"/>
      <c r="L206" s="165"/>
      <c r="M206" s="165"/>
      <c r="N206" s="30"/>
    </row>
    <row r="207" spans="1:14" s="2" customFormat="1" ht="15.75" customHeight="1" x14ac:dyDescent="0.35">
      <c r="A207" s="44">
        <f t="shared" si="2"/>
        <v>11</v>
      </c>
      <c r="B207" s="29" t="s">
        <v>206</v>
      </c>
      <c r="C207" s="29" t="s">
        <v>180</v>
      </c>
      <c r="D207" s="29">
        <f>(9.41*10.764)</f>
        <v>101.28923999999999</v>
      </c>
      <c r="E207" s="29">
        <v>0</v>
      </c>
      <c r="F207" s="29">
        <f t="shared" ref="F207" si="4">D207*(($F$192)+1)+(IF(E207&lt;101,E207,IF(E207&lt;201,E207/2,IF(E207&lt;=301,E207/3,E207/4))))</f>
        <v>156.998322</v>
      </c>
      <c r="G207" s="162"/>
      <c r="H207" s="163"/>
      <c r="I207" s="30"/>
      <c r="L207" s="165"/>
      <c r="M207" s="165"/>
      <c r="N207" s="30"/>
    </row>
    <row r="208" spans="1:14" s="4" customFormat="1" x14ac:dyDescent="0.35">
      <c r="A208" s="125" t="s">
        <v>186</v>
      </c>
      <c r="B208" s="126"/>
      <c r="C208" s="126"/>
      <c r="D208" s="126"/>
      <c r="E208" s="126"/>
      <c r="F208" s="126"/>
      <c r="G208" s="126"/>
      <c r="H208" s="127"/>
    </row>
    <row r="209" spans="1:14" s="2" customFormat="1" x14ac:dyDescent="0.35">
      <c r="A209" s="107" t="s">
        <v>185</v>
      </c>
      <c r="B209" s="108"/>
      <c r="C209" s="108"/>
      <c r="D209" s="108"/>
      <c r="E209" s="108"/>
      <c r="F209" s="108"/>
      <c r="G209" s="108"/>
      <c r="H209" s="109"/>
      <c r="J209" s="30"/>
    </row>
    <row r="210" spans="1:14" s="2" customFormat="1" ht="15.75" customHeight="1" x14ac:dyDescent="0.35">
      <c r="A210" s="44">
        <v>12</v>
      </c>
      <c r="B210" s="29" t="s">
        <v>206</v>
      </c>
      <c r="C210" s="29" t="s">
        <v>180</v>
      </c>
      <c r="D210" s="29">
        <f>(9.07*10.764)</f>
        <v>97.629480000000001</v>
      </c>
      <c r="E210" s="29">
        <v>0</v>
      </c>
      <c r="F210" s="29">
        <f>D210*(($F$192)+1)+(IF(E210&lt;101,E210,IF(E210&lt;201,E210/2,IF(E210&lt;=301,E210/3,E210/4))))</f>
        <v>151.325694</v>
      </c>
      <c r="G210" s="158" t="str">
        <f>A209</f>
        <v xml:space="preserve">Ground Floor </v>
      </c>
      <c r="H210" s="159"/>
      <c r="I210" s="30"/>
      <c r="L210" s="165"/>
      <c r="M210" s="165"/>
      <c r="N210" s="30"/>
    </row>
    <row r="211" spans="1:14" s="2" customFormat="1" ht="15.75" customHeight="1" x14ac:dyDescent="0.35">
      <c r="A211" s="44">
        <f t="shared" ref="A211:A214" si="5">A210+1</f>
        <v>13</v>
      </c>
      <c r="B211" s="29" t="s">
        <v>206</v>
      </c>
      <c r="C211" s="29" t="s">
        <v>180</v>
      </c>
      <c r="D211" s="29">
        <f>(9.07*10.764)</f>
        <v>97.629480000000001</v>
      </c>
      <c r="E211" s="29">
        <v>0</v>
      </c>
      <c r="F211" s="29">
        <f t="shared" ref="F211:F214" si="6">D211*(($F$192)+1)+(IF(E211&lt;101,E211,IF(E211&lt;201,E211/2,IF(E211&lt;=301,E211/3,E211/4))))</f>
        <v>151.325694</v>
      </c>
      <c r="G211" s="160"/>
      <c r="H211" s="161"/>
      <c r="I211" s="30"/>
      <c r="L211" s="165"/>
      <c r="M211" s="165"/>
      <c r="N211" s="30"/>
    </row>
    <row r="212" spans="1:14" s="2" customFormat="1" ht="15.75" customHeight="1" x14ac:dyDescent="0.35">
      <c r="A212" s="44">
        <f t="shared" si="5"/>
        <v>14</v>
      </c>
      <c r="B212" s="29" t="s">
        <v>206</v>
      </c>
      <c r="C212" s="29" t="s">
        <v>180</v>
      </c>
      <c r="D212" s="29">
        <f>(11.51*10.764)</f>
        <v>123.89363999999999</v>
      </c>
      <c r="E212" s="29">
        <v>0</v>
      </c>
      <c r="F212" s="29">
        <f t="shared" si="6"/>
        <v>192.03514199999998</v>
      </c>
      <c r="G212" s="160"/>
      <c r="H212" s="161"/>
      <c r="I212" s="30"/>
      <c r="L212" s="165"/>
      <c r="M212" s="165"/>
      <c r="N212" s="30"/>
    </row>
    <row r="213" spans="1:14" s="2" customFormat="1" ht="15.75" customHeight="1" x14ac:dyDescent="0.35">
      <c r="A213" s="44">
        <f t="shared" si="5"/>
        <v>15</v>
      </c>
      <c r="B213" s="29" t="s">
        <v>206</v>
      </c>
      <c r="C213" s="29" t="s">
        <v>180</v>
      </c>
      <c r="D213" s="29">
        <f>(8.78*10.764)</f>
        <v>94.507919999999984</v>
      </c>
      <c r="E213" s="29">
        <v>0</v>
      </c>
      <c r="F213" s="29">
        <f t="shared" si="6"/>
        <v>146.48727599999998</v>
      </c>
      <c r="G213" s="160"/>
      <c r="H213" s="161"/>
      <c r="I213" s="30"/>
      <c r="L213" s="165"/>
      <c r="M213" s="165"/>
      <c r="N213" s="30"/>
    </row>
    <row r="214" spans="1:14" s="2" customFormat="1" ht="15.75" customHeight="1" x14ac:dyDescent="0.35">
      <c r="A214" s="44">
        <f t="shared" si="5"/>
        <v>16</v>
      </c>
      <c r="B214" s="29" t="s">
        <v>206</v>
      </c>
      <c r="C214" s="29" t="s">
        <v>180</v>
      </c>
      <c r="D214" s="29">
        <f>(9.21*10.764)</f>
        <v>99.136440000000007</v>
      </c>
      <c r="E214" s="29">
        <v>0</v>
      </c>
      <c r="F214" s="29">
        <f t="shared" si="6"/>
        <v>153.66148200000001</v>
      </c>
      <c r="G214" s="160"/>
      <c r="H214" s="161"/>
      <c r="I214" s="30"/>
      <c r="L214" s="165"/>
      <c r="M214" s="165"/>
      <c r="N214" s="30"/>
    </row>
    <row r="215" spans="1:14" s="4" customFormat="1" x14ac:dyDescent="0.35">
      <c r="A215" s="125" t="s">
        <v>187</v>
      </c>
      <c r="B215" s="126"/>
      <c r="C215" s="126"/>
      <c r="D215" s="126"/>
      <c r="E215" s="126"/>
      <c r="F215" s="126"/>
      <c r="G215" s="126"/>
      <c r="H215" s="127"/>
    </row>
    <row r="216" spans="1:14" s="2" customFormat="1" x14ac:dyDescent="0.35">
      <c r="A216" s="107" t="s">
        <v>185</v>
      </c>
      <c r="B216" s="108"/>
      <c r="C216" s="108"/>
      <c r="D216" s="108"/>
      <c r="E216" s="108"/>
      <c r="F216" s="108"/>
      <c r="G216" s="108"/>
      <c r="H216" s="109"/>
      <c r="J216" s="30"/>
    </row>
    <row r="217" spans="1:14" s="2" customFormat="1" ht="15.75" customHeight="1" x14ac:dyDescent="0.35">
      <c r="A217" s="44">
        <v>17</v>
      </c>
      <c r="B217" s="29" t="s">
        <v>206</v>
      </c>
      <c r="C217" s="29" t="s">
        <v>180</v>
      </c>
      <c r="D217" s="29">
        <f>(13.08*10.764)</f>
        <v>140.79311999999999</v>
      </c>
      <c r="E217" s="29">
        <v>0</v>
      </c>
      <c r="F217" s="29">
        <f>D217*(($F$192)+1)+(IF(E217&lt;101,E217,IF(E217&lt;201,E217/2,IF(E217&lt;=301,E217/3,E217/4))))</f>
        <v>218.22933599999999</v>
      </c>
      <c r="G217" s="158" t="str">
        <f>A216</f>
        <v xml:space="preserve">Ground Floor </v>
      </c>
      <c r="H217" s="159"/>
      <c r="I217" s="30"/>
      <c r="L217" s="165"/>
      <c r="M217" s="165"/>
      <c r="N217" s="30"/>
    </row>
    <row r="218" spans="1:14" s="2" customFormat="1" ht="15.75" customHeight="1" x14ac:dyDescent="0.35">
      <c r="A218" s="44">
        <f t="shared" ref="A218:A226" si="7">A217+1</f>
        <v>18</v>
      </c>
      <c r="B218" s="29" t="s">
        <v>206</v>
      </c>
      <c r="C218" s="29" t="s">
        <v>180</v>
      </c>
      <c r="D218" s="29">
        <f>(8.99*10.764)</f>
        <v>96.768360000000001</v>
      </c>
      <c r="E218" s="29">
        <v>0</v>
      </c>
      <c r="F218" s="29">
        <f t="shared" ref="F218:F221" si="8">D218*(($F$192)+1)+(IF(E218&lt;101,E218,IF(E218&lt;201,E218/2,IF(E218&lt;=301,E218/3,E218/4))))</f>
        <v>149.99095800000001</v>
      </c>
      <c r="G218" s="160"/>
      <c r="H218" s="161"/>
      <c r="I218" s="30"/>
      <c r="L218" s="165"/>
      <c r="M218" s="165"/>
      <c r="N218" s="30"/>
    </row>
    <row r="219" spans="1:14" s="2" customFormat="1" ht="15.75" customHeight="1" x14ac:dyDescent="0.35">
      <c r="A219" s="44">
        <f t="shared" si="7"/>
        <v>19</v>
      </c>
      <c r="B219" s="29" t="s">
        <v>206</v>
      </c>
      <c r="C219" s="29" t="s">
        <v>180</v>
      </c>
      <c r="D219" s="29">
        <f>(8.99*10.764)</f>
        <v>96.768360000000001</v>
      </c>
      <c r="E219" s="29">
        <v>0</v>
      </c>
      <c r="F219" s="29">
        <f t="shared" si="8"/>
        <v>149.99095800000001</v>
      </c>
      <c r="G219" s="160"/>
      <c r="H219" s="161"/>
      <c r="I219" s="30"/>
      <c r="L219" s="165"/>
      <c r="M219" s="165"/>
      <c r="N219" s="30"/>
    </row>
    <row r="220" spans="1:14" s="2" customFormat="1" ht="15.75" customHeight="1" x14ac:dyDescent="0.35">
      <c r="A220" s="44">
        <f t="shared" si="7"/>
        <v>20</v>
      </c>
      <c r="B220" s="29" t="s">
        <v>206</v>
      </c>
      <c r="C220" s="29" t="s">
        <v>180</v>
      </c>
      <c r="D220" s="29">
        <f>(11.51*10.764)</f>
        <v>123.89363999999999</v>
      </c>
      <c r="E220" s="29">
        <v>0</v>
      </c>
      <c r="F220" s="29">
        <f t="shared" si="8"/>
        <v>192.03514199999998</v>
      </c>
      <c r="G220" s="160"/>
      <c r="H220" s="161"/>
      <c r="I220" s="30"/>
      <c r="L220" s="165"/>
      <c r="M220" s="165"/>
      <c r="N220" s="30"/>
    </row>
    <row r="221" spans="1:14" s="2" customFormat="1" ht="15.75" customHeight="1" x14ac:dyDescent="0.35">
      <c r="A221" s="44">
        <f t="shared" si="7"/>
        <v>21</v>
      </c>
      <c r="B221" s="29" t="s">
        <v>206</v>
      </c>
      <c r="C221" s="29" t="s">
        <v>180</v>
      </c>
      <c r="D221" s="29">
        <f>(9.07*10.764)</f>
        <v>97.629480000000001</v>
      </c>
      <c r="E221" s="29">
        <v>0</v>
      </c>
      <c r="F221" s="29">
        <f t="shared" si="8"/>
        <v>151.325694</v>
      </c>
      <c r="G221" s="160"/>
      <c r="H221" s="161"/>
      <c r="I221" s="30"/>
      <c r="L221" s="165"/>
      <c r="M221" s="165"/>
      <c r="N221" s="30"/>
    </row>
    <row r="222" spans="1:14" s="2" customFormat="1" ht="15.75" customHeight="1" x14ac:dyDescent="0.35">
      <c r="A222" s="44">
        <f t="shared" si="7"/>
        <v>22</v>
      </c>
      <c r="B222" s="29" t="s">
        <v>206</v>
      </c>
      <c r="C222" s="29" t="s">
        <v>180</v>
      </c>
      <c r="D222" s="29">
        <f>(9.07*10.764)</f>
        <v>97.629480000000001</v>
      </c>
      <c r="E222" s="29">
        <v>0</v>
      </c>
      <c r="F222" s="29">
        <f t="shared" ref="F222:F225" si="9">D222*(($F$192)+1)+(IF(E222&lt;101,E222,IF(E222&lt;201,E222/2,IF(E222&lt;=301,E222/3,E222/4))))</f>
        <v>151.325694</v>
      </c>
      <c r="G222" s="160"/>
      <c r="H222" s="161"/>
      <c r="I222" s="30"/>
      <c r="L222" s="165"/>
      <c r="M222" s="165"/>
      <c r="N222" s="30"/>
    </row>
    <row r="223" spans="1:14" s="2" customFormat="1" ht="15.75" customHeight="1" x14ac:dyDescent="0.35">
      <c r="A223" s="44">
        <f t="shared" si="7"/>
        <v>23</v>
      </c>
      <c r="B223" s="29" t="s">
        <v>206</v>
      </c>
      <c r="C223" s="29" t="s">
        <v>180</v>
      </c>
      <c r="D223" s="29">
        <f t="shared" ref="D223:D224" si="10">(9.07*10.764)</f>
        <v>97.629480000000001</v>
      </c>
      <c r="E223" s="29">
        <v>0</v>
      </c>
      <c r="F223" s="29">
        <f t="shared" si="9"/>
        <v>151.325694</v>
      </c>
      <c r="G223" s="160"/>
      <c r="H223" s="161"/>
      <c r="I223" s="30"/>
      <c r="L223" s="165"/>
      <c r="M223" s="165"/>
      <c r="N223" s="30"/>
    </row>
    <row r="224" spans="1:14" s="2" customFormat="1" ht="15.75" customHeight="1" x14ac:dyDescent="0.35">
      <c r="A224" s="44">
        <f t="shared" si="7"/>
        <v>24</v>
      </c>
      <c r="B224" s="29" t="s">
        <v>206</v>
      </c>
      <c r="C224" s="29" t="s">
        <v>180</v>
      </c>
      <c r="D224" s="29">
        <f t="shared" si="10"/>
        <v>97.629480000000001</v>
      </c>
      <c r="E224" s="29">
        <v>0</v>
      </c>
      <c r="F224" s="29">
        <f t="shared" si="9"/>
        <v>151.325694</v>
      </c>
      <c r="G224" s="160"/>
      <c r="H224" s="161"/>
      <c r="I224" s="30"/>
      <c r="L224" s="165"/>
      <c r="M224" s="165"/>
      <c r="N224" s="30"/>
    </row>
    <row r="225" spans="1:14" s="2" customFormat="1" ht="15.75" customHeight="1" x14ac:dyDescent="0.35">
      <c r="A225" s="44">
        <f t="shared" si="7"/>
        <v>25</v>
      </c>
      <c r="B225" s="29" t="s">
        <v>206</v>
      </c>
      <c r="C225" s="29" t="s">
        <v>180</v>
      </c>
      <c r="D225" s="29">
        <f>(11.51*10.764)</f>
        <v>123.89363999999999</v>
      </c>
      <c r="E225" s="29">
        <v>0</v>
      </c>
      <c r="F225" s="29">
        <f t="shared" si="9"/>
        <v>192.03514199999998</v>
      </c>
      <c r="G225" s="160"/>
      <c r="H225" s="161"/>
      <c r="I225" s="30"/>
      <c r="L225" s="165"/>
      <c r="M225" s="165"/>
      <c r="N225" s="30"/>
    </row>
    <row r="226" spans="1:14" s="2" customFormat="1" ht="15.75" customHeight="1" x14ac:dyDescent="0.35">
      <c r="A226" s="44">
        <f t="shared" si="7"/>
        <v>26</v>
      </c>
      <c r="B226" s="29" t="s">
        <v>206</v>
      </c>
      <c r="C226" s="29" t="s">
        <v>180</v>
      </c>
      <c r="D226" s="29">
        <f>(8.99*10.764)</f>
        <v>96.768360000000001</v>
      </c>
      <c r="E226" s="29">
        <v>0</v>
      </c>
      <c r="F226" s="29">
        <f t="shared" ref="F226" si="11">D226*(($F$192)+1)+(IF(E226&lt;101,E226,IF(E226&lt;201,E226/2,IF(E226&lt;=301,E226/3,E226/4))))</f>
        <v>149.99095800000001</v>
      </c>
      <c r="G226" s="162"/>
      <c r="H226" s="163"/>
      <c r="I226" s="30"/>
      <c r="L226" s="165"/>
      <c r="M226" s="165"/>
      <c r="N226" s="30"/>
    </row>
    <row r="227" spans="1:14" s="4" customFormat="1" x14ac:dyDescent="0.35">
      <c r="A227" s="147"/>
      <c r="B227" s="147"/>
      <c r="C227" s="147"/>
      <c r="D227" s="147"/>
      <c r="E227" s="147"/>
      <c r="F227" s="147"/>
      <c r="G227" s="147"/>
      <c r="H227" s="147"/>
    </row>
    <row r="228" spans="1:14" ht="47.25" customHeight="1" x14ac:dyDescent="0.35">
      <c r="A228" s="113" t="s">
        <v>124</v>
      </c>
      <c r="B228" s="113" t="s">
        <v>125</v>
      </c>
      <c r="C228" s="113" t="s">
        <v>61</v>
      </c>
      <c r="D228" s="113" t="s">
        <v>62</v>
      </c>
      <c r="E228" s="110" t="s">
        <v>63</v>
      </c>
      <c r="F228" s="60" t="s">
        <v>155</v>
      </c>
      <c r="G228" s="113" t="s">
        <v>64</v>
      </c>
      <c r="H228" s="113"/>
      <c r="I228" s="30"/>
    </row>
    <row r="229" spans="1:14" s="2" customFormat="1" x14ac:dyDescent="0.35">
      <c r="A229" s="113"/>
      <c r="B229" s="113"/>
      <c r="C229" s="113"/>
      <c r="D229" s="113"/>
      <c r="E229" s="110"/>
      <c r="F229" s="61">
        <v>0.5</v>
      </c>
      <c r="G229" s="113"/>
      <c r="H229" s="113"/>
      <c r="I229" s="30"/>
    </row>
    <row r="230" spans="1:14" s="4" customFormat="1" x14ac:dyDescent="0.35">
      <c r="A230" s="147" t="s">
        <v>177</v>
      </c>
      <c r="B230" s="147"/>
      <c r="C230" s="147"/>
      <c r="D230" s="147"/>
      <c r="E230" s="147"/>
      <c r="F230" s="147"/>
      <c r="G230" s="147"/>
      <c r="H230" s="147"/>
    </row>
    <row r="231" spans="1:14" s="2" customFormat="1" x14ac:dyDescent="0.35">
      <c r="A231" s="131" t="s">
        <v>172</v>
      </c>
      <c r="B231" s="131"/>
      <c r="C231" s="131"/>
      <c r="D231" s="131"/>
      <c r="E231" s="131"/>
      <c r="F231" s="131"/>
      <c r="G231" s="131"/>
      <c r="H231" s="131"/>
      <c r="I231" s="30"/>
      <c r="L231" s="165"/>
      <c r="M231" s="165"/>
    </row>
    <row r="232" spans="1:14" s="2" customFormat="1" ht="15.75" customHeight="1" x14ac:dyDescent="0.35">
      <c r="A232" s="29">
        <v>1</v>
      </c>
      <c r="B232" s="29" t="s">
        <v>174</v>
      </c>
      <c r="C232" s="29" t="s">
        <v>173</v>
      </c>
      <c r="D232" s="29">
        <f>(29.84)*10.764</f>
        <v>321.19775999999996</v>
      </c>
      <c r="E232" s="29">
        <v>0</v>
      </c>
      <c r="F232" s="29">
        <f t="shared" ref="F232:F233" si="12">D232*(($F$229)+1)+(IF(E232&lt;101,E232,IF(E232&lt;201,E232/2,IF(E232&lt;=301,E232/3,E232/4))))</f>
        <v>481.79663999999991</v>
      </c>
      <c r="G232" s="158" t="str">
        <f>A231</f>
        <v>Ground Floor for Residential</v>
      </c>
      <c r="H232" s="159"/>
      <c r="I232" s="30"/>
      <c r="N232" s="30"/>
    </row>
    <row r="233" spans="1:14" s="2" customFormat="1" ht="15.75" customHeight="1" x14ac:dyDescent="0.35">
      <c r="A233" s="29">
        <f>A232+1</f>
        <v>2</v>
      </c>
      <c r="B233" s="29" t="s">
        <v>174</v>
      </c>
      <c r="C233" s="29" t="s">
        <v>173</v>
      </c>
      <c r="D233" s="29">
        <f>(29.98*10.764)</f>
        <v>322.70472000000001</v>
      </c>
      <c r="E233" s="29">
        <v>0</v>
      </c>
      <c r="F233" s="29">
        <f t="shared" si="12"/>
        <v>484.05708000000004</v>
      </c>
      <c r="G233" s="160"/>
      <c r="H233" s="161"/>
      <c r="I233" s="30"/>
      <c r="N233" s="30"/>
    </row>
    <row r="234" spans="1:14" s="2" customFormat="1" ht="15.75" customHeight="1" x14ac:dyDescent="0.35">
      <c r="A234" s="29">
        <f>A233+1</f>
        <v>3</v>
      </c>
      <c r="B234" s="29" t="s">
        <v>174</v>
      </c>
      <c r="C234" s="29" t="s">
        <v>173</v>
      </c>
      <c r="D234" s="29">
        <f>(29.98*10.764)</f>
        <v>322.70472000000001</v>
      </c>
      <c r="E234" s="29">
        <v>0</v>
      </c>
      <c r="F234" s="29">
        <f>D234*(($F$229)+1)+(IF(E234&lt;101,E234,IF(E234&lt;201,E234/2,IF(E234&lt;=301,E234/3,E234/4))))</f>
        <v>484.05708000000004</v>
      </c>
      <c r="G234" s="160"/>
      <c r="H234" s="161"/>
      <c r="I234" s="30"/>
      <c r="N234" s="30"/>
    </row>
    <row r="235" spans="1:14" s="2" customFormat="1" ht="15.75" customHeight="1" x14ac:dyDescent="0.35">
      <c r="A235" s="29">
        <f>A234+1</f>
        <v>4</v>
      </c>
      <c r="B235" s="29" t="s">
        <v>174</v>
      </c>
      <c r="C235" s="29" t="s">
        <v>173</v>
      </c>
      <c r="D235" s="29">
        <f>(29.81*10.764)</f>
        <v>320.87483999999995</v>
      </c>
      <c r="E235" s="29">
        <v>0</v>
      </c>
      <c r="F235" s="29">
        <f>D235*(($F$229)+1)+(IF(E235&lt;101,E235,IF(E235&lt;201,E235/2,IF(E235&lt;=301,E235/3,E235/4))))</f>
        <v>481.31225999999992</v>
      </c>
      <c r="G235" s="160"/>
      <c r="H235" s="161"/>
      <c r="I235" s="30"/>
      <c r="N235" s="30"/>
    </row>
    <row r="236" spans="1:14" s="2" customFormat="1" ht="15.75" customHeight="1" x14ac:dyDescent="0.35">
      <c r="A236" s="29">
        <f>A235+1</f>
        <v>5</v>
      </c>
      <c r="B236" s="29" t="s">
        <v>174</v>
      </c>
      <c r="C236" s="29" t="s">
        <v>173</v>
      </c>
      <c r="D236" s="29">
        <f>(29.84*10.764)</f>
        <v>321.19775999999996</v>
      </c>
      <c r="E236" s="29">
        <v>0</v>
      </c>
      <c r="F236" s="29">
        <f>D236*(($F$229)+1)+(IF(E236&lt;101,E236,IF(E236&lt;201,E236/2,IF(E236&lt;=301,E236/3,E236/4))))</f>
        <v>481.79663999999991</v>
      </c>
      <c r="G236" s="162"/>
      <c r="H236" s="163"/>
      <c r="I236" s="30"/>
      <c r="N236" s="30"/>
    </row>
    <row r="237" spans="1:14" s="2" customFormat="1" x14ac:dyDescent="0.35">
      <c r="A237" s="107" t="s">
        <v>175</v>
      </c>
      <c r="B237" s="108"/>
      <c r="C237" s="108"/>
      <c r="D237" s="108"/>
      <c r="E237" s="108"/>
      <c r="F237" s="108"/>
      <c r="G237" s="108"/>
      <c r="H237" s="109"/>
      <c r="I237" s="30"/>
    </row>
    <row r="238" spans="1:14" s="2" customFormat="1" ht="15.75" customHeight="1" x14ac:dyDescent="0.35">
      <c r="A238" s="29">
        <v>1</v>
      </c>
      <c r="B238" s="29" t="s">
        <v>174</v>
      </c>
      <c r="C238" s="29" t="s">
        <v>173</v>
      </c>
      <c r="D238" s="29">
        <f>(29.84*10.764)</f>
        <v>321.19775999999996</v>
      </c>
      <c r="E238" s="29">
        <v>0</v>
      </c>
      <c r="F238" s="29">
        <f t="shared" ref="F238:F243" si="13">D238*(($F$229)+1)+(IF(E238&lt;101,E238,IF(E238&lt;201,E238/2,IF(E238&lt;=301,E238/3,E238/4))))</f>
        <v>481.79663999999991</v>
      </c>
      <c r="G238" s="158" t="str">
        <f>A237</f>
        <v>1st to 7th Floor</v>
      </c>
      <c r="H238" s="159"/>
      <c r="I238" s="30"/>
    </row>
    <row r="239" spans="1:14" s="2" customFormat="1" ht="15.75" customHeight="1" x14ac:dyDescent="0.35">
      <c r="A239" s="29">
        <v>2</v>
      </c>
      <c r="B239" s="29" t="s">
        <v>174</v>
      </c>
      <c r="C239" s="29" t="s">
        <v>173</v>
      </c>
      <c r="D239" s="29">
        <f>(29.98*10.764)</f>
        <v>322.70472000000001</v>
      </c>
      <c r="E239" s="29">
        <v>0</v>
      </c>
      <c r="F239" s="29">
        <f t="shared" si="13"/>
        <v>484.05708000000004</v>
      </c>
      <c r="G239" s="160"/>
      <c r="H239" s="161"/>
      <c r="I239" s="30">
        <f>2000000/F239</f>
        <v>4131.7441323242292</v>
      </c>
    </row>
    <row r="240" spans="1:14" s="2" customFormat="1" ht="15.75" customHeight="1" x14ac:dyDescent="0.35">
      <c r="A240" s="29">
        <v>3</v>
      </c>
      <c r="B240" s="29" t="s">
        <v>174</v>
      </c>
      <c r="C240" s="29" t="s">
        <v>173</v>
      </c>
      <c r="D240" s="29">
        <f>(29.98*10.764)</f>
        <v>322.70472000000001</v>
      </c>
      <c r="E240" s="29">
        <v>0</v>
      </c>
      <c r="F240" s="29">
        <f t="shared" si="13"/>
        <v>484.05708000000004</v>
      </c>
      <c r="G240" s="160"/>
      <c r="H240" s="161"/>
      <c r="I240" s="30"/>
    </row>
    <row r="241" spans="1:14" s="2" customFormat="1" ht="15.75" customHeight="1" x14ac:dyDescent="0.35">
      <c r="A241" s="29">
        <v>4</v>
      </c>
      <c r="B241" s="29" t="s">
        <v>174</v>
      </c>
      <c r="C241" s="29" t="s">
        <v>173</v>
      </c>
      <c r="D241" s="29">
        <f>(29.98*10.764)</f>
        <v>322.70472000000001</v>
      </c>
      <c r="E241" s="29">
        <v>0</v>
      </c>
      <c r="F241" s="29">
        <f t="shared" si="13"/>
        <v>484.05708000000004</v>
      </c>
      <c r="G241" s="160"/>
      <c r="H241" s="161"/>
      <c r="I241" s="30"/>
    </row>
    <row r="242" spans="1:14" s="2" customFormat="1" ht="15.75" customHeight="1" x14ac:dyDescent="0.35">
      <c r="A242" s="29">
        <v>5</v>
      </c>
      <c r="B242" s="29" t="s">
        <v>174</v>
      </c>
      <c r="C242" s="29" t="s">
        <v>173</v>
      </c>
      <c r="D242" s="29">
        <f>(29.81*10.764)</f>
        <v>320.87483999999995</v>
      </c>
      <c r="E242" s="29">
        <v>0</v>
      </c>
      <c r="F242" s="29">
        <f t="shared" si="13"/>
        <v>481.31225999999992</v>
      </c>
      <c r="G242" s="160"/>
      <c r="H242" s="161"/>
      <c r="I242" s="30"/>
    </row>
    <row r="243" spans="1:14" s="2" customFormat="1" ht="15.75" customHeight="1" x14ac:dyDescent="0.35">
      <c r="A243" s="29">
        <v>6</v>
      </c>
      <c r="B243" s="29" t="s">
        <v>174</v>
      </c>
      <c r="C243" s="29" t="s">
        <v>173</v>
      </c>
      <c r="D243" s="29">
        <f>(29.84*10.764)</f>
        <v>321.19775999999996</v>
      </c>
      <c r="E243" s="29">
        <v>0</v>
      </c>
      <c r="F243" s="29">
        <f t="shared" si="13"/>
        <v>481.79663999999991</v>
      </c>
      <c r="G243" s="162"/>
      <c r="H243" s="163"/>
      <c r="I243" s="30"/>
    </row>
    <row r="244" spans="1:14" s="4" customFormat="1" x14ac:dyDescent="0.35">
      <c r="A244" s="125" t="s">
        <v>178</v>
      </c>
      <c r="B244" s="126"/>
      <c r="C244" s="126"/>
      <c r="D244" s="126"/>
      <c r="E244" s="126"/>
      <c r="F244" s="126"/>
      <c r="G244" s="126"/>
      <c r="H244" s="127"/>
    </row>
    <row r="245" spans="1:14" s="2" customFormat="1" x14ac:dyDescent="0.35">
      <c r="A245" s="131" t="s">
        <v>172</v>
      </c>
      <c r="B245" s="131"/>
      <c r="C245" s="131"/>
      <c r="D245" s="131"/>
      <c r="E245" s="131"/>
      <c r="F245" s="131"/>
      <c r="G245" s="131"/>
      <c r="H245" s="131"/>
      <c r="I245" s="30"/>
      <c r="L245" s="165"/>
      <c r="M245" s="165"/>
    </row>
    <row r="246" spans="1:14" s="2" customFormat="1" ht="15.75" customHeight="1" x14ac:dyDescent="0.35">
      <c r="A246" s="29">
        <v>1</v>
      </c>
      <c r="B246" s="29" t="s">
        <v>174</v>
      </c>
      <c r="C246" s="29" t="s">
        <v>173</v>
      </c>
      <c r="D246" s="29">
        <f>(29.84*10.764)</f>
        <v>321.19775999999996</v>
      </c>
      <c r="E246" s="29">
        <v>0</v>
      </c>
      <c r="F246" s="29">
        <f t="shared" ref="F246:F247" si="14">D246*(($F$229)+1)+(IF(E246&lt;101,E246,IF(E246&lt;201,E246/2,IF(E246&lt;=301,E246/3,E246/4))))</f>
        <v>481.79663999999991</v>
      </c>
      <c r="G246" s="158" t="str">
        <f>A245</f>
        <v>Ground Floor for Residential</v>
      </c>
      <c r="H246" s="159"/>
      <c r="I246" s="30"/>
      <c r="N246" s="30"/>
    </row>
    <row r="247" spans="1:14" s="2" customFormat="1" ht="15.75" customHeight="1" x14ac:dyDescent="0.35">
      <c r="A247" s="29">
        <f>A246+1</f>
        <v>2</v>
      </c>
      <c r="B247" s="29" t="s">
        <v>174</v>
      </c>
      <c r="C247" s="29" t="s">
        <v>173</v>
      </c>
      <c r="D247" s="29">
        <f t="shared" ref="D247:D249" si="15">(29.84*10.764)</f>
        <v>321.19775999999996</v>
      </c>
      <c r="E247" s="29">
        <v>0</v>
      </c>
      <c r="F247" s="29">
        <f t="shared" si="14"/>
        <v>481.79663999999991</v>
      </c>
      <c r="G247" s="160"/>
      <c r="H247" s="161"/>
      <c r="I247" s="30"/>
      <c r="N247" s="30"/>
    </row>
    <row r="248" spans="1:14" s="2" customFormat="1" ht="15.75" customHeight="1" x14ac:dyDescent="0.35">
      <c r="A248" s="29">
        <f>A247+1</f>
        <v>3</v>
      </c>
      <c r="B248" s="29" t="s">
        <v>174</v>
      </c>
      <c r="C248" s="29" t="s">
        <v>173</v>
      </c>
      <c r="D248" s="29">
        <f t="shared" si="15"/>
        <v>321.19775999999996</v>
      </c>
      <c r="E248" s="29">
        <v>0</v>
      </c>
      <c r="F248" s="29">
        <f>D248*(($F$229)+1)+(IF(E248&lt;101,E248,IF(E248&lt;201,E248/2,IF(E248&lt;=301,E248/3,E248/4))))</f>
        <v>481.79663999999991</v>
      </c>
      <c r="G248" s="160"/>
      <c r="H248" s="161"/>
      <c r="I248" s="30"/>
      <c r="N248" s="30"/>
    </row>
    <row r="249" spans="1:14" s="2" customFormat="1" ht="15.75" customHeight="1" x14ac:dyDescent="0.35">
      <c r="A249" s="29">
        <f>A248+1</f>
        <v>4</v>
      </c>
      <c r="B249" s="29" t="s">
        <v>174</v>
      </c>
      <c r="C249" s="29" t="s">
        <v>173</v>
      </c>
      <c r="D249" s="29">
        <f t="shared" si="15"/>
        <v>321.19775999999996</v>
      </c>
      <c r="E249" s="29">
        <v>0</v>
      </c>
      <c r="F249" s="29">
        <f>D249*(($F$229)+1)+(IF(E249&lt;101,E249,IF(E249&lt;201,E249/2,IF(E249&lt;=301,E249/3,E249/4))))</f>
        <v>481.79663999999991</v>
      </c>
      <c r="G249" s="160"/>
      <c r="H249" s="161"/>
      <c r="I249" s="30"/>
      <c r="N249" s="30"/>
    </row>
    <row r="250" spans="1:14" s="2" customFormat="1" x14ac:dyDescent="0.35">
      <c r="A250" s="107" t="s">
        <v>175</v>
      </c>
      <c r="B250" s="108"/>
      <c r="C250" s="108"/>
      <c r="D250" s="108"/>
      <c r="E250" s="108"/>
      <c r="F250" s="108"/>
      <c r="G250" s="108"/>
      <c r="H250" s="109"/>
      <c r="I250" s="30"/>
    </row>
    <row r="251" spans="1:14" s="2" customFormat="1" ht="15.75" customHeight="1" x14ac:dyDescent="0.35">
      <c r="A251" s="29">
        <v>1</v>
      </c>
      <c r="B251" s="29" t="s">
        <v>174</v>
      </c>
      <c r="C251" s="29" t="s">
        <v>173</v>
      </c>
      <c r="D251" s="29">
        <f>(29.84*10.764)</f>
        <v>321.19775999999996</v>
      </c>
      <c r="E251" s="29">
        <v>0</v>
      </c>
      <c r="F251" s="29">
        <f>D251*(($F$229)+1)+(IF(E251&lt;101,E251,IF(E251&lt;201,E251/2,IF(E251&lt;=301,E251/3,E251/4))))</f>
        <v>481.79663999999991</v>
      </c>
      <c r="G251" s="158" t="str">
        <f>A250</f>
        <v>1st to 7th Floor</v>
      </c>
      <c r="H251" s="159"/>
      <c r="I251" s="30"/>
    </row>
    <row r="252" spans="1:14" s="2" customFormat="1" ht="15.75" customHeight="1" x14ac:dyDescent="0.35">
      <c r="A252" s="29">
        <v>2</v>
      </c>
      <c r="B252" s="29" t="s">
        <v>174</v>
      </c>
      <c r="C252" s="29" t="s">
        <v>173</v>
      </c>
      <c r="D252" s="29">
        <f t="shared" ref="D252:D254" si="16">(29.84*10.764)</f>
        <v>321.19775999999996</v>
      </c>
      <c r="E252" s="29">
        <v>0</v>
      </c>
      <c r="F252" s="29">
        <f>D252*(($F$229)+1)+(IF(E252&lt;101,E252,IF(E252&lt;201,E252/2,IF(E252&lt;=301,E252/3,E252/4))))</f>
        <v>481.79663999999991</v>
      </c>
      <c r="G252" s="160"/>
      <c r="H252" s="161"/>
      <c r="I252" s="30"/>
    </row>
    <row r="253" spans="1:14" s="2" customFormat="1" ht="15.75" customHeight="1" x14ac:dyDescent="0.35">
      <c r="A253" s="29">
        <v>3</v>
      </c>
      <c r="B253" s="29" t="s">
        <v>174</v>
      </c>
      <c r="C253" s="29" t="s">
        <v>173</v>
      </c>
      <c r="D253" s="29">
        <f t="shared" si="16"/>
        <v>321.19775999999996</v>
      </c>
      <c r="E253" s="29">
        <v>0</v>
      </c>
      <c r="F253" s="29">
        <f>D253*(($F$229)+1)+(IF(E253&lt;101,E253,IF(E253&lt;201,E253/2,IF(E253&lt;=301,E253/3,E253/4))))</f>
        <v>481.79663999999991</v>
      </c>
      <c r="G253" s="160"/>
      <c r="H253" s="161"/>
      <c r="I253" s="30"/>
    </row>
    <row r="254" spans="1:14" s="2" customFormat="1" ht="15.75" customHeight="1" x14ac:dyDescent="0.35">
      <c r="A254" s="29">
        <v>4</v>
      </c>
      <c r="B254" s="29" t="s">
        <v>174</v>
      </c>
      <c r="C254" s="29" t="s">
        <v>173</v>
      </c>
      <c r="D254" s="29">
        <f t="shared" si="16"/>
        <v>321.19775999999996</v>
      </c>
      <c r="E254" s="29">
        <v>0</v>
      </c>
      <c r="F254" s="29">
        <f>D254*(($F$229)+1)+(IF(E254&lt;101,E254,IF(E254&lt;201,E254/2,IF(E254&lt;=301,E254/3,E254/4))))</f>
        <v>481.79663999999991</v>
      </c>
      <c r="G254" s="160"/>
      <c r="H254" s="161"/>
      <c r="I254" s="30"/>
    </row>
    <row r="255" spans="1:14" s="4" customFormat="1" x14ac:dyDescent="0.35">
      <c r="A255" s="125" t="s">
        <v>179</v>
      </c>
      <c r="B255" s="126"/>
      <c r="C255" s="126"/>
      <c r="D255" s="126"/>
      <c r="E255" s="126"/>
      <c r="F255" s="126"/>
      <c r="G255" s="126"/>
      <c r="H255" s="127"/>
    </row>
    <row r="256" spans="1:14" s="2" customFormat="1" x14ac:dyDescent="0.35">
      <c r="A256" s="107" t="s">
        <v>175</v>
      </c>
      <c r="B256" s="108"/>
      <c r="C256" s="108"/>
      <c r="D256" s="108"/>
      <c r="E256" s="108"/>
      <c r="F256" s="108"/>
      <c r="G256" s="108"/>
      <c r="H256" s="109"/>
      <c r="I256" s="30"/>
    </row>
    <row r="257" spans="1:14" s="2" customFormat="1" ht="15.75" customHeight="1" x14ac:dyDescent="0.35">
      <c r="A257" s="29">
        <v>1</v>
      </c>
      <c r="B257" s="29" t="s">
        <v>181</v>
      </c>
      <c r="C257" s="29" t="s">
        <v>182</v>
      </c>
      <c r="D257" s="29">
        <f>(46.67*10.764)</f>
        <v>502.35588000000001</v>
      </c>
      <c r="E257" s="29">
        <v>0</v>
      </c>
      <c r="F257" s="29">
        <f t="shared" ref="F257:F260" si="17">D257*(($F$229)+1)+(IF(E257&lt;101,E257,IF(E257&lt;201,E257/2,IF(E257&lt;=301,E257/3,E257/4))))</f>
        <v>753.53381999999999</v>
      </c>
      <c r="G257" s="158" t="str">
        <f>A256</f>
        <v>1st to 7th Floor</v>
      </c>
      <c r="H257" s="159"/>
      <c r="I257" s="30">
        <f>(2.74*4.47+1.75*2.75+2.75*3.3+2.75*3.35+1.2*2.05+1.2*1.85+1.35*2.75+1.35*1.75+1.35*2.2)</f>
        <v>49.072799999999994</v>
      </c>
    </row>
    <row r="258" spans="1:14" s="2" customFormat="1" ht="15.75" customHeight="1" x14ac:dyDescent="0.35">
      <c r="A258" s="29">
        <v>2</v>
      </c>
      <c r="B258" s="29" t="s">
        <v>181</v>
      </c>
      <c r="C258" s="29" t="s">
        <v>182</v>
      </c>
      <c r="D258" s="29">
        <f>(59.31*10.764)</f>
        <v>638.41283999999996</v>
      </c>
      <c r="E258" s="29">
        <v>0</v>
      </c>
      <c r="F258" s="29">
        <f t="shared" si="17"/>
        <v>957.61925999999994</v>
      </c>
      <c r="G258" s="160"/>
      <c r="H258" s="161"/>
      <c r="I258" s="30"/>
    </row>
    <row r="259" spans="1:14" s="2" customFormat="1" ht="15.75" customHeight="1" x14ac:dyDescent="0.35">
      <c r="A259" s="29">
        <v>3</v>
      </c>
      <c r="B259" s="29" t="s">
        <v>181</v>
      </c>
      <c r="C259" s="29" t="s">
        <v>182</v>
      </c>
      <c r="D259" s="29">
        <f>(59.31*10.764)</f>
        <v>638.41283999999996</v>
      </c>
      <c r="E259" s="29">
        <v>0</v>
      </c>
      <c r="F259" s="29">
        <f t="shared" si="17"/>
        <v>957.61925999999994</v>
      </c>
      <c r="G259" s="160"/>
      <c r="H259" s="161"/>
      <c r="I259" s="30"/>
    </row>
    <row r="260" spans="1:14" s="2" customFormat="1" ht="15.75" customHeight="1" x14ac:dyDescent="0.35">
      <c r="A260" s="29">
        <v>4</v>
      </c>
      <c r="B260" s="29" t="s">
        <v>181</v>
      </c>
      <c r="C260" s="29" t="s">
        <v>182</v>
      </c>
      <c r="D260" s="29">
        <f>(46.67*10.764)</f>
        <v>502.35588000000001</v>
      </c>
      <c r="E260" s="29">
        <v>0</v>
      </c>
      <c r="F260" s="29">
        <f t="shared" si="17"/>
        <v>753.53381999999999</v>
      </c>
      <c r="G260" s="160"/>
      <c r="H260" s="161"/>
      <c r="I260" s="30"/>
    </row>
    <row r="261" spans="1:14" s="4" customFormat="1" x14ac:dyDescent="0.35">
      <c r="A261" s="147" t="s">
        <v>184</v>
      </c>
      <c r="B261" s="147"/>
      <c r="C261" s="147"/>
      <c r="D261" s="147"/>
      <c r="E261" s="147"/>
      <c r="F261" s="147"/>
      <c r="G261" s="147"/>
      <c r="H261" s="147"/>
    </row>
    <row r="262" spans="1:14" s="2" customFormat="1" x14ac:dyDescent="0.35">
      <c r="A262" s="131" t="s">
        <v>121</v>
      </c>
      <c r="B262" s="131"/>
      <c r="C262" s="131"/>
      <c r="D262" s="131"/>
      <c r="E262" s="131"/>
      <c r="F262" s="131"/>
      <c r="G262" s="131"/>
      <c r="H262" s="131"/>
      <c r="J262" s="30"/>
    </row>
    <row r="263" spans="1:14" s="2" customFormat="1" ht="15.75" customHeight="1" x14ac:dyDescent="0.35">
      <c r="A263" s="29">
        <v>6</v>
      </c>
      <c r="B263" s="29" t="s">
        <v>174</v>
      </c>
      <c r="C263" s="29" t="s">
        <v>173</v>
      </c>
      <c r="D263" s="29">
        <f>(29.84)*10.764</f>
        <v>321.19775999999996</v>
      </c>
      <c r="E263" s="29">
        <v>0</v>
      </c>
      <c r="F263" s="29">
        <f>D263*(($F$192)+1)+(IF(E263&lt;101,E263,IF(E263&lt;201,E263/2,IF(E263&lt;=301,E263/3,E263/4))))</f>
        <v>497.85652799999997</v>
      </c>
      <c r="G263" s="164" t="str">
        <f>A262</f>
        <v>Ground Floor</v>
      </c>
      <c r="H263" s="164"/>
      <c r="I263" s="30"/>
      <c r="L263" s="165"/>
      <c r="M263" s="165"/>
      <c r="N263" s="30"/>
    </row>
    <row r="264" spans="1:14" s="2" customFormat="1" x14ac:dyDescent="0.35">
      <c r="A264" s="131" t="s">
        <v>175</v>
      </c>
      <c r="B264" s="131"/>
      <c r="C264" s="131"/>
      <c r="D264" s="131"/>
      <c r="E264" s="131"/>
      <c r="F264" s="131"/>
      <c r="G264" s="131"/>
      <c r="H264" s="131"/>
      <c r="I264" s="30"/>
    </row>
    <row r="265" spans="1:14" s="2" customFormat="1" ht="15.75" customHeight="1" x14ac:dyDescent="0.35">
      <c r="A265" s="29">
        <v>1</v>
      </c>
      <c r="B265" s="29" t="s">
        <v>174</v>
      </c>
      <c r="C265" s="29" t="s">
        <v>173</v>
      </c>
      <c r="D265" s="29">
        <f>(29.84*10.764)</f>
        <v>321.19775999999996</v>
      </c>
      <c r="E265" s="29">
        <v>0</v>
      </c>
      <c r="F265" s="29">
        <f t="shared" ref="F265:F268" si="18">D265*(($F$229)+1)+(IF(E265&lt;101,E265,IF(E265&lt;201,E265/2,IF(E265&lt;=301,E265/3,E265/4))))</f>
        <v>481.79663999999991</v>
      </c>
      <c r="G265" s="164" t="str">
        <f>A264</f>
        <v>1st to 7th Floor</v>
      </c>
      <c r="H265" s="164"/>
      <c r="I265" s="30">
        <f>(2.74*4.47+1.75*2.75+2.75*3.3+2.75*3.35+1.2*2.05+1.2*1.85+1.35*2.75+1.35*1.75+1.35*2.2)</f>
        <v>49.072799999999994</v>
      </c>
    </row>
    <row r="266" spans="1:14" s="2" customFormat="1" ht="15.75" customHeight="1" x14ac:dyDescent="0.35">
      <c r="A266" s="29">
        <v>2</v>
      </c>
      <c r="B266" s="29" t="s">
        <v>181</v>
      </c>
      <c r="C266" s="29" t="s">
        <v>182</v>
      </c>
      <c r="D266" s="29">
        <f>(39.73*10.764)</f>
        <v>427.65371999999996</v>
      </c>
      <c r="E266" s="29">
        <v>0</v>
      </c>
      <c r="F266" s="29">
        <f t="shared" si="18"/>
        <v>641.48057999999992</v>
      </c>
      <c r="G266" s="164"/>
      <c r="H266" s="164"/>
      <c r="I266" s="30"/>
    </row>
    <row r="267" spans="1:14" s="2" customFormat="1" ht="15.75" customHeight="1" x14ac:dyDescent="0.35">
      <c r="A267" s="29">
        <v>3</v>
      </c>
      <c r="B267" s="29" t="s">
        <v>181</v>
      </c>
      <c r="C267" s="29" t="s">
        <v>182</v>
      </c>
      <c r="D267" s="29">
        <f>(39.73*10.764)</f>
        <v>427.65371999999996</v>
      </c>
      <c r="E267" s="29">
        <v>0</v>
      </c>
      <c r="F267" s="29">
        <f t="shared" si="18"/>
        <v>641.48057999999992</v>
      </c>
      <c r="G267" s="164"/>
      <c r="H267" s="164"/>
      <c r="I267" s="30"/>
    </row>
    <row r="268" spans="1:14" s="2" customFormat="1" ht="15.75" customHeight="1" x14ac:dyDescent="0.35">
      <c r="A268" s="29">
        <v>4</v>
      </c>
      <c r="B268" s="29" t="s">
        <v>174</v>
      </c>
      <c r="C268" s="29" t="s">
        <v>173</v>
      </c>
      <c r="D268" s="29">
        <f>(29.84*10.764)</f>
        <v>321.19775999999996</v>
      </c>
      <c r="E268" s="29">
        <v>0</v>
      </c>
      <c r="F268" s="29">
        <f t="shared" si="18"/>
        <v>481.79663999999991</v>
      </c>
      <c r="G268" s="164"/>
      <c r="H268" s="164"/>
      <c r="I268" s="30"/>
    </row>
    <row r="269" spans="1:14" s="4" customFormat="1" x14ac:dyDescent="0.35">
      <c r="A269" s="147" t="s">
        <v>186</v>
      </c>
      <c r="B269" s="147"/>
      <c r="C269" s="147"/>
      <c r="D269" s="147"/>
      <c r="E269" s="147"/>
      <c r="F269" s="147"/>
      <c r="G269" s="147"/>
      <c r="H269" s="147"/>
    </row>
    <row r="270" spans="1:14" s="2" customFormat="1" x14ac:dyDescent="0.35">
      <c r="A270" s="131" t="s">
        <v>185</v>
      </c>
      <c r="B270" s="131"/>
      <c r="C270" s="131"/>
      <c r="D270" s="131"/>
      <c r="E270" s="131"/>
      <c r="F270" s="131"/>
      <c r="G270" s="131"/>
      <c r="H270" s="131"/>
      <c r="J270" s="30"/>
    </row>
    <row r="271" spans="1:14" s="2" customFormat="1" ht="15.75" customHeight="1" x14ac:dyDescent="0.35">
      <c r="A271" s="29">
        <v>1</v>
      </c>
      <c r="B271" s="29" t="s">
        <v>174</v>
      </c>
      <c r="C271" s="29" t="s">
        <v>173</v>
      </c>
      <c r="D271" s="29">
        <f>(29.84*10.764)</f>
        <v>321.19775999999996</v>
      </c>
      <c r="E271" s="29">
        <v>0</v>
      </c>
      <c r="F271" s="29">
        <f>D271*(($F$192)+1)+(IF(E271&lt;101,E271,IF(E271&lt;201,E271/2,IF(E271&lt;=301,E271/3,E271/4))))</f>
        <v>497.85652799999997</v>
      </c>
      <c r="G271" s="164" t="str">
        <f>A270</f>
        <v xml:space="preserve">Ground Floor </v>
      </c>
      <c r="H271" s="164"/>
      <c r="I271" s="30"/>
      <c r="L271" s="165"/>
      <c r="M271" s="165"/>
      <c r="N271" s="30"/>
    </row>
    <row r="272" spans="1:14" s="2" customFormat="1" x14ac:dyDescent="0.35">
      <c r="A272" s="131" t="s">
        <v>175</v>
      </c>
      <c r="B272" s="131"/>
      <c r="C272" s="131"/>
      <c r="D272" s="131"/>
      <c r="E272" s="131"/>
      <c r="F272" s="131"/>
      <c r="G272" s="131"/>
      <c r="H272" s="131"/>
      <c r="I272" s="30"/>
    </row>
    <row r="273" spans="1:14" s="2" customFormat="1" ht="15.75" customHeight="1" x14ac:dyDescent="0.35">
      <c r="A273" s="29">
        <v>1</v>
      </c>
      <c r="B273" s="29" t="s">
        <v>174</v>
      </c>
      <c r="C273" s="29" t="s">
        <v>173</v>
      </c>
      <c r="D273" s="29">
        <f>(29.84*10.764)</f>
        <v>321.19775999999996</v>
      </c>
      <c r="E273" s="29">
        <v>0</v>
      </c>
      <c r="F273" s="29">
        <f t="shared" ref="F273:F276" si="19">D273*(($F$229)+1)+(IF(E273&lt;101,E273,IF(E273&lt;201,E273/2,IF(E273&lt;=301,E273/3,E273/4))))</f>
        <v>481.79663999999991</v>
      </c>
      <c r="G273" s="158" t="str">
        <f>A272</f>
        <v>1st to 7th Floor</v>
      </c>
      <c r="H273" s="159"/>
      <c r="I273" s="30">
        <f>(2.74*4.47+1.75*2.75+2.75*3.3+2.75*3.35+1.2*2.05+1.2*1.85+1.35*2.75+1.35*1.75+1.35*2.2)</f>
        <v>49.072799999999994</v>
      </c>
    </row>
    <row r="274" spans="1:14" s="2" customFormat="1" ht="15.75" customHeight="1" x14ac:dyDescent="0.35">
      <c r="A274" s="29">
        <v>2</v>
      </c>
      <c r="B274" s="29" t="s">
        <v>181</v>
      </c>
      <c r="C274" s="29" t="s">
        <v>182</v>
      </c>
      <c r="D274" s="29">
        <f>(39.73*10.764)</f>
        <v>427.65371999999996</v>
      </c>
      <c r="E274" s="29">
        <v>0</v>
      </c>
      <c r="F274" s="29">
        <f t="shared" si="19"/>
        <v>641.48057999999992</v>
      </c>
      <c r="G274" s="160"/>
      <c r="H274" s="161"/>
      <c r="I274" s="30"/>
    </row>
    <row r="275" spans="1:14" s="2" customFormat="1" ht="15.75" customHeight="1" x14ac:dyDescent="0.35">
      <c r="A275" s="29">
        <v>3</v>
      </c>
      <c r="B275" s="29" t="s">
        <v>181</v>
      </c>
      <c r="C275" s="29" t="s">
        <v>182</v>
      </c>
      <c r="D275" s="29">
        <f>(39.73*10.764)</f>
        <v>427.65371999999996</v>
      </c>
      <c r="E275" s="29">
        <v>0</v>
      </c>
      <c r="F275" s="29">
        <f t="shared" si="19"/>
        <v>641.48057999999992</v>
      </c>
      <c r="G275" s="160"/>
      <c r="H275" s="161"/>
      <c r="I275" s="30"/>
    </row>
    <row r="276" spans="1:14" s="2" customFormat="1" ht="15.75" customHeight="1" x14ac:dyDescent="0.35">
      <c r="A276" s="29">
        <v>4</v>
      </c>
      <c r="B276" s="29" t="s">
        <v>174</v>
      </c>
      <c r="C276" s="29" t="s">
        <v>173</v>
      </c>
      <c r="D276" s="29">
        <f>(29.84*10.764)</f>
        <v>321.19775999999996</v>
      </c>
      <c r="E276" s="29">
        <v>0</v>
      </c>
      <c r="F276" s="29">
        <f t="shared" si="19"/>
        <v>481.79663999999991</v>
      </c>
      <c r="G276" s="160"/>
      <c r="H276" s="161"/>
      <c r="I276" s="30"/>
    </row>
    <row r="277" spans="1:14" s="4" customFormat="1" x14ac:dyDescent="0.35">
      <c r="A277" s="125" t="s">
        <v>187</v>
      </c>
      <c r="B277" s="126"/>
      <c r="C277" s="126"/>
      <c r="D277" s="126"/>
      <c r="E277" s="126"/>
      <c r="F277" s="126"/>
      <c r="G277" s="126"/>
      <c r="H277" s="127"/>
    </row>
    <row r="278" spans="1:14" s="2" customFormat="1" x14ac:dyDescent="0.35">
      <c r="A278" s="107" t="s">
        <v>176</v>
      </c>
      <c r="B278" s="108"/>
      <c r="C278" s="108"/>
      <c r="D278" s="108"/>
      <c r="E278" s="108"/>
      <c r="F278" s="108"/>
      <c r="G278" s="108"/>
      <c r="H278" s="109"/>
      <c r="I278" s="30"/>
    </row>
    <row r="279" spans="1:14" s="2" customFormat="1" ht="15.75" customHeight="1" x14ac:dyDescent="0.35">
      <c r="A279" s="29">
        <v>1</v>
      </c>
      <c r="B279" s="29" t="s">
        <v>181</v>
      </c>
      <c r="C279" s="29" t="s">
        <v>182</v>
      </c>
      <c r="D279" s="29">
        <f>(39.81*10.764)</f>
        <v>428.51483999999999</v>
      </c>
      <c r="E279" s="29">
        <v>0</v>
      </c>
      <c r="F279" s="29">
        <f t="shared" ref="F279:F282" si="20">D279*(($F$229)+1)+(IF(E279&lt;101,E279,IF(E279&lt;201,E279/2,IF(E279&lt;=301,E279/3,E279/4))))</f>
        <v>642.77225999999996</v>
      </c>
      <c r="G279" s="158" t="str">
        <f>A278</f>
        <v>1st to 6th Floor</v>
      </c>
      <c r="H279" s="159"/>
      <c r="I279" s="30">
        <f>(2.74*4.47+1.75*2.75+2.75*3.3+2.75*3.35+1.2*2.05+1.2*1.85+1.35*2.75+1.35*1.75+1.35*2.2)</f>
        <v>49.072799999999994</v>
      </c>
    </row>
    <row r="280" spans="1:14" s="2" customFormat="1" ht="15.75" customHeight="1" x14ac:dyDescent="0.35">
      <c r="A280" s="29">
        <v>2</v>
      </c>
      <c r="B280" s="29" t="s">
        <v>181</v>
      </c>
      <c r="C280" s="29" t="s">
        <v>173</v>
      </c>
      <c r="D280" s="29">
        <f>(31.3*10.764)</f>
        <v>336.91319999999996</v>
      </c>
      <c r="E280" s="29">
        <v>0</v>
      </c>
      <c r="F280" s="29">
        <f t="shared" si="20"/>
        <v>505.36979999999994</v>
      </c>
      <c r="G280" s="160"/>
      <c r="H280" s="161"/>
      <c r="I280" s="30"/>
    </row>
    <row r="281" spans="1:14" s="2" customFormat="1" ht="15.75" customHeight="1" x14ac:dyDescent="0.35">
      <c r="A281" s="29">
        <v>3</v>
      </c>
      <c r="B281" s="29" t="s">
        <v>181</v>
      </c>
      <c r="C281" s="29" t="s">
        <v>173</v>
      </c>
      <c r="D281" s="29">
        <f>(36.9*10.764)</f>
        <v>397.19159999999994</v>
      </c>
      <c r="E281" s="29">
        <v>0</v>
      </c>
      <c r="F281" s="29">
        <f t="shared" si="20"/>
        <v>595.78739999999993</v>
      </c>
      <c r="G281" s="160"/>
      <c r="H281" s="161"/>
      <c r="I281" s="30"/>
    </row>
    <row r="282" spans="1:14" s="2" customFormat="1" ht="15.75" customHeight="1" x14ac:dyDescent="0.35">
      <c r="A282" s="29">
        <v>4</v>
      </c>
      <c r="B282" s="29" t="s">
        <v>181</v>
      </c>
      <c r="C282" s="29" t="s">
        <v>182</v>
      </c>
      <c r="D282" s="29">
        <f>(39.97*10.764)</f>
        <v>430.23707999999993</v>
      </c>
      <c r="E282" s="29">
        <v>0</v>
      </c>
      <c r="F282" s="29">
        <f t="shared" si="20"/>
        <v>645.35561999999993</v>
      </c>
      <c r="G282" s="160"/>
      <c r="H282" s="161"/>
      <c r="I282" s="30"/>
    </row>
    <row r="283" spans="1:14" s="2" customFormat="1" ht="15.75" customHeight="1" x14ac:dyDescent="0.35">
      <c r="A283" s="29">
        <v>5</v>
      </c>
      <c r="B283" s="29" t="s">
        <v>181</v>
      </c>
      <c r="C283" s="29" t="s">
        <v>182</v>
      </c>
      <c r="D283" s="29">
        <f>(39.8*10.764)</f>
        <v>428.40719999999993</v>
      </c>
      <c r="E283" s="29">
        <v>0</v>
      </c>
      <c r="F283" s="29">
        <f t="shared" ref="F283:F284" si="21">D283*(($F$229)+1)+(IF(E283&lt;101,E283,IF(E283&lt;201,E283/2,IF(E283&lt;=301,E283/3,E283/4))))</f>
        <v>642.61079999999993</v>
      </c>
      <c r="G283" s="160"/>
      <c r="H283" s="161"/>
      <c r="I283" s="30"/>
    </row>
    <row r="284" spans="1:14" s="2" customFormat="1" ht="15.75" customHeight="1" x14ac:dyDescent="0.35">
      <c r="A284" s="29">
        <v>6</v>
      </c>
      <c r="B284" s="29" t="s">
        <v>181</v>
      </c>
      <c r="C284" s="29" t="s">
        <v>182</v>
      </c>
      <c r="D284" s="29">
        <f>(39.66*10.764)</f>
        <v>426.90023999999994</v>
      </c>
      <c r="E284" s="29">
        <v>0</v>
      </c>
      <c r="F284" s="29">
        <f t="shared" si="21"/>
        <v>640.35035999999991</v>
      </c>
      <c r="G284" s="162"/>
      <c r="H284" s="163"/>
      <c r="I284" s="30"/>
    </row>
    <row r="285" spans="1:14" s="2" customFormat="1" x14ac:dyDescent="0.35">
      <c r="A285" s="131" t="s">
        <v>188</v>
      </c>
      <c r="B285" s="131"/>
      <c r="C285" s="131"/>
      <c r="D285" s="131"/>
      <c r="E285" s="131"/>
      <c r="F285" s="131"/>
      <c r="G285" s="131"/>
      <c r="H285" s="131"/>
      <c r="I285" s="30"/>
      <c r="L285" s="165"/>
      <c r="M285" s="165"/>
    </row>
    <row r="286" spans="1:14" s="2" customFormat="1" ht="15.75" customHeight="1" x14ac:dyDescent="0.35">
      <c r="A286" s="29">
        <v>1</v>
      </c>
      <c r="B286" s="29" t="s">
        <v>181</v>
      </c>
      <c r="C286" s="29" t="s">
        <v>182</v>
      </c>
      <c r="D286" s="29">
        <f>(39.81*10.764)</f>
        <v>428.51483999999999</v>
      </c>
      <c r="E286" s="29">
        <v>0</v>
      </c>
      <c r="F286" s="29">
        <f t="shared" ref="F286:F287" si="22">D286*(($F$229)+1)+(IF(E286&lt;101,E286,IF(E286&lt;201,E286/2,IF(E286&lt;=301,E286/3,E286/4))))</f>
        <v>642.77225999999996</v>
      </c>
      <c r="G286" s="158" t="str">
        <f>A285</f>
        <v>7th Floor</v>
      </c>
      <c r="H286" s="159"/>
      <c r="I286" s="30"/>
      <c r="N286" s="30"/>
    </row>
    <row r="287" spans="1:14" s="2" customFormat="1" ht="15.75" customHeight="1" x14ac:dyDescent="0.35">
      <c r="A287" s="29">
        <f>A286+1</f>
        <v>2</v>
      </c>
      <c r="B287" s="29" t="s">
        <v>174</v>
      </c>
      <c r="C287" s="29" t="s">
        <v>173</v>
      </c>
      <c r="D287" s="29">
        <f>(29.84*10.764)</f>
        <v>321.19775999999996</v>
      </c>
      <c r="E287" s="29">
        <v>0</v>
      </c>
      <c r="F287" s="29">
        <f t="shared" si="22"/>
        <v>481.79663999999991</v>
      </c>
      <c r="G287" s="160"/>
      <c r="H287" s="161"/>
      <c r="I287" s="30"/>
      <c r="N287" s="30"/>
    </row>
    <row r="288" spans="1:14" s="2" customFormat="1" ht="15.75" customHeight="1" x14ac:dyDescent="0.35">
      <c r="A288" s="29">
        <f>A287+1</f>
        <v>3</v>
      </c>
      <c r="B288" s="29" t="s">
        <v>174</v>
      </c>
      <c r="C288" s="29" t="s">
        <v>173</v>
      </c>
      <c r="D288" s="29">
        <f>(29.84*10.764)</f>
        <v>321.19775999999996</v>
      </c>
      <c r="E288" s="29">
        <v>0</v>
      </c>
      <c r="F288" s="29">
        <f>D288*(($F$229)+1)+(IF(E288&lt;101,E288,IF(E288&lt;201,E288/2,IF(E288&lt;=301,E288/3,E288/4))))</f>
        <v>481.79663999999991</v>
      </c>
      <c r="G288" s="160"/>
      <c r="H288" s="161"/>
      <c r="I288" s="30"/>
      <c r="N288" s="30"/>
    </row>
    <row r="289" spans="1:14" s="2" customFormat="1" ht="15.75" customHeight="1" x14ac:dyDescent="0.35">
      <c r="A289" s="29">
        <f>A288+1</f>
        <v>4</v>
      </c>
      <c r="B289" s="29" t="s">
        <v>181</v>
      </c>
      <c r="C289" s="29" t="s">
        <v>182</v>
      </c>
      <c r="D289" s="29">
        <f>(39.97*10.764)</f>
        <v>430.23707999999993</v>
      </c>
      <c r="E289" s="29">
        <v>0</v>
      </c>
      <c r="F289" s="29">
        <f>D289*(($F$229)+1)+(IF(E289&lt;101,E289,IF(E289&lt;201,E289/2,IF(E289&lt;=301,E289/3,E289/4))))</f>
        <v>645.35561999999993</v>
      </c>
      <c r="G289" s="160"/>
      <c r="H289" s="161"/>
      <c r="I289" s="30"/>
      <c r="N289" s="30"/>
    </row>
    <row r="290" spans="1:14" s="2" customFormat="1" ht="15.75" customHeight="1" x14ac:dyDescent="0.35">
      <c r="A290" s="29">
        <f>A289+1</f>
        <v>5</v>
      </c>
      <c r="B290" s="29" t="s">
        <v>181</v>
      </c>
      <c r="C290" s="29" t="s">
        <v>182</v>
      </c>
      <c r="D290" s="29">
        <f>(39.8*10.764)</f>
        <v>428.40719999999993</v>
      </c>
      <c r="E290" s="29">
        <v>0</v>
      </c>
      <c r="F290" s="29">
        <f>D290*(($F$229)+1)+(IF(E290&lt;101,E290,IF(E290&lt;201,E290/2,IF(E290&lt;=301,E290/3,E290/4))))</f>
        <v>642.61079999999993</v>
      </c>
      <c r="G290" s="160"/>
      <c r="H290" s="161"/>
      <c r="I290" s="30"/>
      <c r="N290" s="30"/>
    </row>
    <row r="291" spans="1:14" s="2" customFormat="1" ht="15.75" customHeight="1" x14ac:dyDescent="0.35">
      <c r="A291" s="29">
        <f>A290+1</f>
        <v>6</v>
      </c>
      <c r="B291" s="29" t="s">
        <v>181</v>
      </c>
      <c r="C291" s="29" t="s">
        <v>182</v>
      </c>
      <c r="D291" s="29">
        <f>(39.66*10.764)</f>
        <v>426.90023999999994</v>
      </c>
      <c r="E291" s="29">
        <v>0</v>
      </c>
      <c r="F291" s="29">
        <f>D291*(($F$229)+1)+(IF(E291&lt;101,E291,IF(E291&lt;201,E291/2,IF(E291&lt;=301,E291/3,E291/4))))</f>
        <v>640.35035999999991</v>
      </c>
      <c r="G291" s="162"/>
      <c r="H291" s="163"/>
      <c r="I291" s="30">
        <f>2011111/F291</f>
        <v>3140.6416324963106</v>
      </c>
      <c r="N291" s="30"/>
    </row>
    <row r="292" spans="1:14" s="1" customFormat="1" x14ac:dyDescent="0.35">
      <c r="A292" s="132" t="s">
        <v>72</v>
      </c>
      <c r="B292" s="132"/>
      <c r="C292" s="132"/>
      <c r="D292" s="132"/>
      <c r="E292" s="132"/>
      <c r="F292" s="132"/>
      <c r="G292" s="132"/>
      <c r="H292" s="132"/>
    </row>
    <row r="293" spans="1:14" s="1" customFormat="1" x14ac:dyDescent="0.35">
      <c r="A293" s="43" t="s">
        <v>159</v>
      </c>
      <c r="B293" s="94" t="s">
        <v>107</v>
      </c>
      <c r="C293" s="95"/>
      <c r="D293" s="95"/>
      <c r="E293" s="95"/>
      <c r="F293" s="95"/>
      <c r="G293" s="95"/>
      <c r="H293" s="96"/>
    </row>
    <row r="294" spans="1:14" s="1" customFormat="1" x14ac:dyDescent="0.35">
      <c r="A294" s="43" t="s">
        <v>159</v>
      </c>
      <c r="B294" s="94" t="str">
        <f>(IF(F228="Saleable area Loading :","We have considered Saleable area of Flats as per our Calculation.","We considered Saleable area of Flat as per Builder area Sheet."))</f>
        <v>We have considered Saleable area of Flats as per our Calculation.</v>
      </c>
      <c r="C294" s="95"/>
      <c r="D294" s="95"/>
      <c r="E294" s="95"/>
      <c r="F294" s="95"/>
      <c r="G294" s="95"/>
      <c r="H294" s="96"/>
    </row>
    <row r="295" spans="1:14" s="1" customFormat="1" x14ac:dyDescent="0.35">
      <c r="A295" s="43" t="s">
        <v>159</v>
      </c>
      <c r="B295" s="94" t="str">
        <f>(IF(F191="Saleable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95" s="95"/>
      <c r="D295" s="95"/>
      <c r="E295" s="95"/>
      <c r="F295" s="95"/>
      <c r="G295" s="95"/>
      <c r="H295" s="96"/>
    </row>
    <row r="296" spans="1:14" s="1" customFormat="1" x14ac:dyDescent="0.35">
      <c r="A296" s="43" t="s">
        <v>159</v>
      </c>
      <c r="B296" s="120" t="s">
        <v>128</v>
      </c>
      <c r="C296" s="121"/>
      <c r="D296" s="121"/>
      <c r="E296" s="121"/>
      <c r="F296" s="121"/>
      <c r="G296" s="121"/>
      <c r="H296" s="122"/>
    </row>
    <row r="297" spans="1:14" s="1" customFormat="1" x14ac:dyDescent="0.35">
      <c r="A297" s="43" t="s">
        <v>159</v>
      </c>
      <c r="B297" s="120" t="s">
        <v>129</v>
      </c>
      <c r="C297" s="121"/>
      <c r="D297" s="121"/>
      <c r="E297" s="121"/>
      <c r="F297" s="121"/>
      <c r="G297" s="121"/>
      <c r="H297" s="122"/>
    </row>
    <row r="298" spans="1:14" s="1" customFormat="1" x14ac:dyDescent="0.35">
      <c r="A298" s="43" t="s">
        <v>159</v>
      </c>
      <c r="B298" s="120" t="s">
        <v>158</v>
      </c>
      <c r="C298" s="121"/>
      <c r="D298" s="121"/>
      <c r="E298" s="121"/>
      <c r="F298" s="121"/>
      <c r="G298" s="121"/>
      <c r="H298" s="122"/>
    </row>
    <row r="299" spans="1:14" s="1" customFormat="1" x14ac:dyDescent="0.35">
      <c r="A299" s="43" t="s">
        <v>159</v>
      </c>
      <c r="B299" s="120" t="s">
        <v>130</v>
      </c>
      <c r="C299" s="121"/>
      <c r="D299" s="121"/>
      <c r="E299" s="121"/>
      <c r="F299" s="121"/>
      <c r="G299" s="121"/>
      <c r="H299" s="122"/>
    </row>
    <row r="300" spans="1:14" s="1" customFormat="1" x14ac:dyDescent="0.35">
      <c r="A300" s="43" t="s">
        <v>159</v>
      </c>
      <c r="B300" s="120" t="s">
        <v>131</v>
      </c>
      <c r="C300" s="121"/>
      <c r="D300" s="121"/>
      <c r="E300" s="121"/>
      <c r="F300" s="121"/>
      <c r="G300" s="121"/>
      <c r="H300" s="122"/>
    </row>
    <row r="301" spans="1:14" s="1" customFormat="1" x14ac:dyDescent="0.35">
      <c r="A301" s="43" t="s">
        <v>159</v>
      </c>
      <c r="B301" s="94" t="s">
        <v>232</v>
      </c>
      <c r="C301" s="95"/>
      <c r="D301" s="95"/>
      <c r="E301" s="95"/>
      <c r="F301" s="95"/>
      <c r="G301" s="95"/>
      <c r="H301" s="96"/>
    </row>
    <row r="302" spans="1:14" s="1" customFormat="1" x14ac:dyDescent="0.35">
      <c r="A302" s="43" t="s">
        <v>159</v>
      </c>
      <c r="B302" s="94" t="s">
        <v>236</v>
      </c>
      <c r="C302" s="95"/>
      <c r="D302" s="95"/>
      <c r="E302" s="95"/>
      <c r="F302" s="95"/>
      <c r="G302" s="95"/>
      <c r="H302" s="96"/>
    </row>
    <row r="303" spans="1:14" x14ac:dyDescent="0.35">
      <c r="A303" s="133" t="s">
        <v>65</v>
      </c>
      <c r="B303" s="133"/>
      <c r="C303" s="133"/>
      <c r="D303" s="133"/>
      <c r="E303" s="133"/>
      <c r="F303" s="133"/>
      <c r="G303" s="133"/>
      <c r="H303" s="133"/>
    </row>
    <row r="304" spans="1:14" x14ac:dyDescent="0.35">
      <c r="A304" s="84" t="s">
        <v>66</v>
      </c>
      <c r="B304" s="84"/>
      <c r="C304" s="84"/>
      <c r="D304" s="84"/>
      <c r="E304" s="84"/>
      <c r="F304" s="84"/>
      <c r="G304" s="84"/>
      <c r="H304" s="84"/>
    </row>
    <row r="305" spans="1:8" ht="15.75" customHeight="1" x14ac:dyDescent="0.35">
      <c r="A305" s="111" t="s">
        <v>67</v>
      </c>
      <c r="B305" s="111"/>
      <c r="C305" s="111"/>
      <c r="D305" s="111"/>
      <c r="E305" s="111"/>
      <c r="F305" s="111"/>
      <c r="G305" s="111"/>
      <c r="H305" s="111"/>
    </row>
    <row r="306" spans="1:8" x14ac:dyDescent="0.35">
      <c r="A306" s="84" t="s">
        <v>68</v>
      </c>
      <c r="B306" s="84"/>
      <c r="C306" s="84"/>
      <c r="D306" s="84"/>
      <c r="E306" s="84"/>
      <c r="F306" s="84"/>
      <c r="G306" s="84"/>
      <c r="H306" s="84"/>
    </row>
    <row r="307" spans="1:8" x14ac:dyDescent="0.35">
      <c r="A307" s="84" t="s">
        <v>69</v>
      </c>
      <c r="B307" s="84"/>
      <c r="C307" s="84"/>
      <c r="D307" s="84"/>
      <c r="E307" s="84"/>
      <c r="F307" s="84"/>
      <c r="G307" s="84"/>
      <c r="H307" s="84"/>
    </row>
    <row r="308" spans="1:8" x14ac:dyDescent="0.35">
      <c r="A308" s="84" t="s">
        <v>132</v>
      </c>
      <c r="B308" s="84"/>
      <c r="C308" s="84"/>
      <c r="D308" s="84"/>
      <c r="E308" s="84"/>
      <c r="F308" s="84"/>
      <c r="G308" s="84"/>
      <c r="H308" s="84"/>
    </row>
    <row r="309" spans="1:8" ht="30" customHeight="1" x14ac:dyDescent="0.35">
      <c r="A309" s="99" t="s">
        <v>133</v>
      </c>
      <c r="B309" s="99"/>
      <c r="C309" s="99"/>
      <c r="D309" s="99"/>
      <c r="E309" s="99"/>
      <c r="F309" s="99"/>
      <c r="G309" s="99"/>
      <c r="H309" s="99"/>
    </row>
    <row r="310" spans="1:8" x14ac:dyDescent="0.35">
      <c r="A310" s="129" t="s">
        <v>82</v>
      </c>
      <c r="B310" s="129"/>
      <c r="C310" s="129" t="s">
        <v>228</v>
      </c>
      <c r="D310" s="129"/>
      <c r="E310" s="129" t="s">
        <v>108</v>
      </c>
      <c r="F310" s="129"/>
      <c r="G310" s="129" t="s">
        <v>239</v>
      </c>
      <c r="H310" s="129"/>
    </row>
    <row r="311" spans="1:8" x14ac:dyDescent="0.35">
      <c r="A311" s="128" t="s">
        <v>84</v>
      </c>
      <c r="B311" s="128"/>
      <c r="C311" s="128"/>
      <c r="D311" s="128"/>
      <c r="E311" s="128"/>
      <c r="F311" s="128"/>
      <c r="G311" s="128"/>
      <c r="H311" s="128"/>
    </row>
    <row r="312" spans="1:8" x14ac:dyDescent="0.35">
      <c r="A312" s="128"/>
      <c r="B312" s="128"/>
      <c r="C312" s="128"/>
      <c r="D312" s="128"/>
      <c r="E312" s="128"/>
      <c r="F312" s="128"/>
      <c r="G312" s="128"/>
      <c r="H312" s="128"/>
    </row>
    <row r="313" spans="1:8" x14ac:dyDescent="0.35">
      <c r="A313" s="128"/>
      <c r="B313" s="128"/>
      <c r="C313" s="128"/>
      <c r="D313" s="128"/>
      <c r="E313" s="128"/>
      <c r="F313" s="128"/>
      <c r="G313" s="128"/>
      <c r="H313" s="128"/>
    </row>
    <row r="314" spans="1:8" x14ac:dyDescent="0.35">
      <c r="A314" s="128"/>
      <c r="B314" s="128"/>
      <c r="C314" s="128"/>
      <c r="D314" s="128"/>
      <c r="E314" s="128"/>
      <c r="F314" s="128"/>
      <c r="G314" s="128"/>
      <c r="H314" s="128"/>
    </row>
    <row r="315" spans="1:8" x14ac:dyDescent="0.35">
      <c r="A315" s="9" t="s">
        <v>70</v>
      </c>
      <c r="B315" s="10"/>
      <c r="C315" s="10"/>
      <c r="D315" s="9" t="str">
        <f>E8</f>
        <v>Swapnalok</v>
      </c>
      <c r="F315" s="10"/>
      <c r="G315" s="10"/>
      <c r="H315" s="10"/>
    </row>
    <row r="316" spans="1:8" x14ac:dyDescent="0.35">
      <c r="A316" s="10"/>
      <c r="B316" s="10"/>
      <c r="C316" s="10"/>
      <c r="D316" s="10"/>
      <c r="E316" s="10"/>
      <c r="F316" s="10"/>
      <c r="G316" s="10"/>
      <c r="H316" s="10"/>
    </row>
    <row r="317" spans="1:8" x14ac:dyDescent="0.35">
      <c r="A317" s="10"/>
      <c r="B317" s="10"/>
      <c r="C317" s="10"/>
      <c r="D317" s="10"/>
      <c r="E317" s="10"/>
      <c r="F317" s="10"/>
      <c r="G317" s="10"/>
      <c r="H317" s="10"/>
    </row>
    <row r="318" spans="1:8" ht="15" customHeight="1" x14ac:dyDescent="0.35"/>
    <row r="358" spans="1:1" x14ac:dyDescent="0.35">
      <c r="A358" s="12" t="s">
        <v>71</v>
      </c>
    </row>
  </sheetData>
  <mergeCells count="459">
    <mergeCell ref="B302:H302"/>
    <mergeCell ref="A10:D10"/>
    <mergeCell ref="E10:H10"/>
    <mergeCell ref="A137:B137"/>
    <mergeCell ref="E137:F137"/>
    <mergeCell ref="G137:H137"/>
    <mergeCell ref="A138:B138"/>
    <mergeCell ref="E138:F147"/>
    <mergeCell ref="G138:H147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00:B100"/>
    <mergeCell ref="A101:B101"/>
    <mergeCell ref="A102:B102"/>
    <mergeCell ref="A103:B103"/>
    <mergeCell ref="A104:B104"/>
    <mergeCell ref="A105:B105"/>
    <mergeCell ref="A134:B134"/>
    <mergeCell ref="C136:H136"/>
    <mergeCell ref="D56:H56"/>
    <mergeCell ref="A64:B64"/>
    <mergeCell ref="C64:H64"/>
    <mergeCell ref="A66:B66"/>
    <mergeCell ref="C66:H66"/>
    <mergeCell ref="A67:B67"/>
    <mergeCell ref="E67:F67"/>
    <mergeCell ref="G67:H67"/>
    <mergeCell ref="A68:B68"/>
    <mergeCell ref="E68:F77"/>
    <mergeCell ref="G68:H77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D61:H61"/>
    <mergeCell ref="C106:H106"/>
    <mergeCell ref="A108:B108"/>
    <mergeCell ref="G279:H284"/>
    <mergeCell ref="L285:M285"/>
    <mergeCell ref="G286:H291"/>
    <mergeCell ref="C182:D182"/>
    <mergeCell ref="E182:F182"/>
    <mergeCell ref="G182:H182"/>
    <mergeCell ref="C183:D183"/>
    <mergeCell ref="E183:F183"/>
    <mergeCell ref="G183:H183"/>
    <mergeCell ref="C184:D184"/>
    <mergeCell ref="E184:F184"/>
    <mergeCell ref="G184:H184"/>
    <mergeCell ref="C185:D185"/>
    <mergeCell ref="E185:F185"/>
    <mergeCell ref="G185:H185"/>
    <mergeCell ref="C186:D186"/>
    <mergeCell ref="E186:F186"/>
    <mergeCell ref="G186:H186"/>
    <mergeCell ref="C187:D187"/>
    <mergeCell ref="E187:F187"/>
    <mergeCell ref="L271:M271"/>
    <mergeCell ref="G271:H271"/>
    <mergeCell ref="L263:M263"/>
    <mergeCell ref="L245:M245"/>
    <mergeCell ref="G246:H249"/>
    <mergeCell ref="A250:H250"/>
    <mergeCell ref="L219:M219"/>
    <mergeCell ref="L220:M220"/>
    <mergeCell ref="L221:M221"/>
    <mergeCell ref="L222:M222"/>
    <mergeCell ref="L223:M223"/>
    <mergeCell ref="L224:M224"/>
    <mergeCell ref="L225:M225"/>
    <mergeCell ref="L226:M226"/>
    <mergeCell ref="G217:H226"/>
    <mergeCell ref="A227:H227"/>
    <mergeCell ref="G232:H236"/>
    <mergeCell ref="A237:H237"/>
    <mergeCell ref="A159:B159"/>
    <mergeCell ref="E152:F161"/>
    <mergeCell ref="G152:H161"/>
    <mergeCell ref="A160:B160"/>
    <mergeCell ref="A161:B161"/>
    <mergeCell ref="A156:B156"/>
    <mergeCell ref="A152:B152"/>
    <mergeCell ref="A166:F166"/>
    <mergeCell ref="G166:H166"/>
    <mergeCell ref="A155:B155"/>
    <mergeCell ref="G163:H163"/>
    <mergeCell ref="A164:F164"/>
    <mergeCell ref="G164:H164"/>
    <mergeCell ref="A165:F165"/>
    <mergeCell ref="G165:H165"/>
    <mergeCell ref="A163:F163"/>
    <mergeCell ref="C173:D173"/>
    <mergeCell ref="G188:H188"/>
    <mergeCell ref="G174:H174"/>
    <mergeCell ref="A189:H189"/>
    <mergeCell ref="A172:B172"/>
    <mergeCell ref="E173:F173"/>
    <mergeCell ref="G175:H175"/>
    <mergeCell ref="A177:B177"/>
    <mergeCell ref="E177:F177"/>
    <mergeCell ref="G177:H177"/>
    <mergeCell ref="C181:D181"/>
    <mergeCell ref="E181:F181"/>
    <mergeCell ref="G181:H181"/>
    <mergeCell ref="C179:D179"/>
    <mergeCell ref="G179:H179"/>
    <mergeCell ref="C177:D177"/>
    <mergeCell ref="E172:F172"/>
    <mergeCell ref="C174:D174"/>
    <mergeCell ref="C176:D176"/>
    <mergeCell ref="A168:F168"/>
    <mergeCell ref="G168:H168"/>
    <mergeCell ref="A167:F167"/>
    <mergeCell ref="G167:H167"/>
    <mergeCell ref="L199:M199"/>
    <mergeCell ref="C228:C229"/>
    <mergeCell ref="L202:M202"/>
    <mergeCell ref="L203:M203"/>
    <mergeCell ref="L207:M207"/>
    <mergeCell ref="G202:H207"/>
    <mergeCell ref="C188:D188"/>
    <mergeCell ref="A187:B187"/>
    <mergeCell ref="G180:H180"/>
    <mergeCell ref="A175:B175"/>
    <mergeCell ref="C172:D172"/>
    <mergeCell ref="A169:F169"/>
    <mergeCell ref="G169:H169"/>
    <mergeCell ref="A170:F170"/>
    <mergeCell ref="G170:H170"/>
    <mergeCell ref="C180:D180"/>
    <mergeCell ref="E180:F180"/>
    <mergeCell ref="A228:A229"/>
    <mergeCell ref="A190:H190"/>
    <mergeCell ref="G172:H172"/>
    <mergeCell ref="L198:M198"/>
    <mergeCell ref="L197:M197"/>
    <mergeCell ref="L196:M196"/>
    <mergeCell ref="L195:M195"/>
    <mergeCell ref="G251:H254"/>
    <mergeCell ref="A256:H256"/>
    <mergeCell ref="G257:H260"/>
    <mergeCell ref="A255:H255"/>
    <mergeCell ref="L204:M204"/>
    <mergeCell ref="L205:M205"/>
    <mergeCell ref="L206:M206"/>
    <mergeCell ref="G210:H214"/>
    <mergeCell ref="L210:M210"/>
    <mergeCell ref="L211:M211"/>
    <mergeCell ref="L212:M212"/>
    <mergeCell ref="L213:M213"/>
    <mergeCell ref="L214:M214"/>
    <mergeCell ref="L231:M231"/>
    <mergeCell ref="G238:H243"/>
    <mergeCell ref="A215:H215"/>
    <mergeCell ref="A216:H216"/>
    <mergeCell ref="L217:M217"/>
    <mergeCell ref="L218:M218"/>
    <mergeCell ref="A244:H244"/>
    <mergeCell ref="A208:H208"/>
    <mergeCell ref="A209:H209"/>
    <mergeCell ref="A269:H269"/>
    <mergeCell ref="A261:H261"/>
    <mergeCell ref="A262:H262"/>
    <mergeCell ref="G195:H199"/>
    <mergeCell ref="A230:H230"/>
    <mergeCell ref="A200:H200"/>
    <mergeCell ref="A201:H201"/>
    <mergeCell ref="G263:H263"/>
    <mergeCell ref="A264:H264"/>
    <mergeCell ref="G265:H268"/>
    <mergeCell ref="A245:H245"/>
    <mergeCell ref="A38:H38"/>
    <mergeCell ref="C34:E34"/>
    <mergeCell ref="B299:H299"/>
    <mergeCell ref="B295:H295"/>
    <mergeCell ref="B293:H293"/>
    <mergeCell ref="B294:H294"/>
    <mergeCell ref="B296:H296"/>
    <mergeCell ref="B297:H297"/>
    <mergeCell ref="A270:H270"/>
    <mergeCell ref="B298:H298"/>
    <mergeCell ref="A176:B176"/>
    <mergeCell ref="D191:D192"/>
    <mergeCell ref="A181:B181"/>
    <mergeCell ref="A182:B182"/>
    <mergeCell ref="A184:B184"/>
    <mergeCell ref="A185:B185"/>
    <mergeCell ref="A191:A192"/>
    <mergeCell ref="A272:H272"/>
    <mergeCell ref="G273:H276"/>
    <mergeCell ref="A277:H277"/>
    <mergeCell ref="A278:H278"/>
    <mergeCell ref="A188:B188"/>
    <mergeCell ref="E176:F176"/>
    <mergeCell ref="G176:H176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A53:C53"/>
    <mergeCell ref="A54:C54"/>
    <mergeCell ref="D54:H5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51:B51"/>
    <mergeCell ref="C51:E51"/>
    <mergeCell ref="A48:B48"/>
    <mergeCell ref="G151:H151"/>
    <mergeCell ref="A150:B150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46:B46"/>
    <mergeCell ref="C46:H46"/>
    <mergeCell ref="A56:C56"/>
    <mergeCell ref="A57:C57"/>
    <mergeCell ref="A58:C58"/>
    <mergeCell ref="D57:H57"/>
    <mergeCell ref="D58:H58"/>
    <mergeCell ref="A148:B148"/>
    <mergeCell ref="C148:H148"/>
    <mergeCell ref="A52:H52"/>
    <mergeCell ref="A60:C60"/>
    <mergeCell ref="D60:H60"/>
    <mergeCell ref="A63:C63"/>
    <mergeCell ref="D63:H63"/>
    <mergeCell ref="A61:C61"/>
    <mergeCell ref="A92:B92"/>
    <mergeCell ref="C92:H92"/>
    <mergeCell ref="A94:B94"/>
    <mergeCell ref="C94:H94"/>
    <mergeCell ref="A62:C62"/>
    <mergeCell ref="D62:H62"/>
    <mergeCell ref="A95:B95"/>
    <mergeCell ref="E95:F95"/>
    <mergeCell ref="G95:H95"/>
    <mergeCell ref="A96:B96"/>
    <mergeCell ref="E96:F105"/>
    <mergeCell ref="G96:H105"/>
    <mergeCell ref="A97:B97"/>
    <mergeCell ref="A98:B98"/>
    <mergeCell ref="A99:B99"/>
    <mergeCell ref="C134:H134"/>
    <mergeCell ref="A136:B136"/>
    <mergeCell ref="A106:B106"/>
    <mergeCell ref="B191:B192"/>
    <mergeCell ref="A311:H314"/>
    <mergeCell ref="A310:B310"/>
    <mergeCell ref="E310:F310"/>
    <mergeCell ref="C310:D310"/>
    <mergeCell ref="G310:H310"/>
    <mergeCell ref="A171:H171"/>
    <mergeCell ref="A231:H231"/>
    <mergeCell ref="A180:B180"/>
    <mergeCell ref="A173:B173"/>
    <mergeCell ref="A306:H306"/>
    <mergeCell ref="A178:H178"/>
    <mergeCell ref="A309:H309"/>
    <mergeCell ref="A307:H307"/>
    <mergeCell ref="A292:H292"/>
    <mergeCell ref="C191:C192"/>
    <mergeCell ref="B228:B229"/>
    <mergeCell ref="A285:H285"/>
    <mergeCell ref="A303:H303"/>
    <mergeCell ref="A304:H304"/>
    <mergeCell ref="E179:F179"/>
    <mergeCell ref="A194:H194"/>
    <mergeCell ref="E191:E192"/>
    <mergeCell ref="E151:F151"/>
    <mergeCell ref="A308:H308"/>
    <mergeCell ref="A305:H305"/>
    <mergeCell ref="A179:B179"/>
    <mergeCell ref="D228:D229"/>
    <mergeCell ref="E228:E229"/>
    <mergeCell ref="G228:H229"/>
    <mergeCell ref="A183:B183"/>
    <mergeCell ref="A157:B157"/>
    <mergeCell ref="A162:H162"/>
    <mergeCell ref="G173:H173"/>
    <mergeCell ref="A186:B186"/>
    <mergeCell ref="E188:F188"/>
    <mergeCell ref="B300:H300"/>
    <mergeCell ref="C175:D175"/>
    <mergeCell ref="E175:F175"/>
    <mergeCell ref="A158:B158"/>
    <mergeCell ref="G191:H192"/>
    <mergeCell ref="A174:B174"/>
    <mergeCell ref="E174:F174"/>
    <mergeCell ref="A193:H193"/>
    <mergeCell ref="G187:H187"/>
    <mergeCell ref="C108:H108"/>
    <mergeCell ref="C49:E49"/>
    <mergeCell ref="B301:H301"/>
    <mergeCell ref="G51:H51"/>
    <mergeCell ref="E40:H40"/>
    <mergeCell ref="A40:D40"/>
    <mergeCell ref="A47:B47"/>
    <mergeCell ref="C47:E47"/>
    <mergeCell ref="G47:H47"/>
    <mergeCell ref="G49:H49"/>
    <mergeCell ref="D53:H53"/>
    <mergeCell ref="D55:H55"/>
    <mergeCell ref="A55:C55"/>
    <mergeCell ref="G48:H48"/>
    <mergeCell ref="A49:B50"/>
    <mergeCell ref="A151:B151"/>
    <mergeCell ref="A154:B154"/>
    <mergeCell ref="A59:C59"/>
    <mergeCell ref="D59:H59"/>
    <mergeCell ref="C150:H150"/>
    <mergeCell ref="A153:B153"/>
    <mergeCell ref="A109:B109"/>
    <mergeCell ref="E109:F109"/>
    <mergeCell ref="G109:H109"/>
    <mergeCell ref="A110:B110"/>
    <mergeCell ref="E110:F119"/>
    <mergeCell ref="G110:H119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C120:H120"/>
    <mergeCell ref="A122:B122"/>
    <mergeCell ref="C122:H122"/>
    <mergeCell ref="A123:B123"/>
    <mergeCell ref="E123:F123"/>
    <mergeCell ref="G123:H123"/>
    <mergeCell ref="A124:B124"/>
    <mergeCell ref="E124:F133"/>
    <mergeCell ref="G124:H133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C36:H36"/>
    <mergeCell ref="A78:B78"/>
    <mergeCell ref="C78:H78"/>
    <mergeCell ref="A80:B80"/>
    <mergeCell ref="C80:H80"/>
    <mergeCell ref="A81:B81"/>
    <mergeCell ref="E81:F81"/>
    <mergeCell ref="G81:H81"/>
    <mergeCell ref="A82:B82"/>
    <mergeCell ref="E82:F91"/>
    <mergeCell ref="G82:H91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C50:H50"/>
    <mergeCell ref="A37:B37"/>
    <mergeCell ref="C37:H37"/>
    <mergeCell ref="C48:E48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7" max="16383" man="1"/>
    <brk id="63" max="16383" man="1"/>
    <brk id="188" max="7" man="1"/>
    <brk id="314" max="16383" man="1"/>
    <brk id="35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6328125" defaultRowHeight="14.5" x14ac:dyDescent="0.35"/>
  <cols>
    <col min="1" max="1" width="8.6328125" style="17"/>
    <col min="2" max="2" width="22.36328125" style="17" customWidth="1"/>
    <col min="3" max="3" width="37" style="17" customWidth="1"/>
    <col min="4" max="5" width="11.453125" style="17" customWidth="1"/>
    <col min="6" max="6" width="14" style="17" customWidth="1"/>
    <col min="7" max="7" width="20" style="17" customWidth="1"/>
    <col min="8" max="8" width="16.453125" style="17" customWidth="1"/>
    <col min="9" max="16384" width="8.6328125" style="17"/>
  </cols>
  <sheetData>
    <row r="1" spans="1:9" ht="15" customHeight="1" x14ac:dyDescent="0.35"/>
    <row r="2" spans="1:9" ht="15" customHeight="1" x14ac:dyDescent="0.35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35">
      <c r="A3" s="18"/>
      <c r="B3" s="173" t="s">
        <v>109</v>
      </c>
      <c r="C3" s="173"/>
      <c r="D3" s="173"/>
      <c r="E3" s="173"/>
      <c r="F3" s="173"/>
      <c r="G3" s="173"/>
      <c r="H3" s="173"/>
    </row>
    <row r="4" spans="1:9" x14ac:dyDescent="0.35">
      <c r="A4" s="18"/>
      <c r="B4" s="19" t="s">
        <v>110</v>
      </c>
      <c r="C4" s="19" t="s">
        <v>111</v>
      </c>
      <c r="D4" s="19" t="s">
        <v>73</v>
      </c>
      <c r="E4" s="19" t="s">
        <v>112</v>
      </c>
      <c r="F4" s="19" t="s">
        <v>118</v>
      </c>
      <c r="G4" s="19" t="s">
        <v>119</v>
      </c>
      <c r="H4" s="19" t="s">
        <v>113</v>
      </c>
    </row>
    <row r="5" spans="1:9" ht="15" customHeight="1" x14ac:dyDescent="0.35">
      <c r="A5" s="18"/>
      <c r="B5" s="21" t="s">
        <v>114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35">
      <c r="A6" s="18"/>
      <c r="B6" s="21" t="s">
        <v>114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35">
      <c r="A7" s="18"/>
      <c r="B7" s="21" t="s">
        <v>114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35">
      <c r="A8" s="18"/>
      <c r="B8" s="21" t="s">
        <v>114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35">
      <c r="A9" s="18"/>
      <c r="B9" s="21" t="s">
        <v>114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35">
      <c r="A10" s="18"/>
      <c r="B10" s="21" t="s">
        <v>115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35">
      <c r="A11" s="18"/>
      <c r="B11" s="21" t="s">
        <v>115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35">
      <c r="A12" s="18"/>
      <c r="B12" s="26" t="s">
        <v>116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35">
      <c r="B13" s="26" t="s">
        <v>117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2025-08-05T08:03:18Z</cp:lastPrinted>
  <dcterms:created xsi:type="dcterms:W3CDTF">2019-07-16T09:29:46Z</dcterms:created>
  <dcterms:modified xsi:type="dcterms:W3CDTF">2025-08-05T08:05:06Z</dcterms:modified>
</cp:coreProperties>
</file>