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5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Report!$A$1:$H$840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0" i="1" l="1"/>
  <c r="J104" i="1"/>
  <c r="J103" i="1"/>
  <c r="J102" i="1"/>
  <c r="J101" i="1"/>
  <c r="H94" i="1"/>
  <c r="D105" i="1" l="1"/>
  <c r="D101" i="1"/>
  <c r="D104" i="1"/>
  <c r="D100" i="1"/>
  <c r="J99" i="1"/>
  <c r="J93" i="1"/>
  <c r="J95" i="1" s="1"/>
  <c r="D103" i="1"/>
  <c r="D99" i="1"/>
  <c r="J98" i="1"/>
  <c r="C97" i="1" s="1"/>
  <c r="D106" i="1"/>
  <c r="D102" i="1"/>
  <c r="J96" i="1"/>
  <c r="J97" i="1"/>
  <c r="C240" i="1"/>
  <c r="C242" i="1" s="1"/>
  <c r="L239" i="1"/>
  <c r="N239" i="1" s="1"/>
  <c r="C241" i="1" l="1"/>
  <c r="D97" i="1"/>
  <c r="J100" i="1"/>
  <c r="J105" i="1" s="1"/>
  <c r="J106" i="1" s="1"/>
  <c r="C98" i="1"/>
  <c r="G97" i="1" s="1"/>
  <c r="D611" i="1"/>
  <c r="D609" i="1"/>
  <c r="D608" i="1"/>
  <c r="D607" i="1"/>
  <c r="D606" i="1"/>
  <c r="D604" i="1"/>
  <c r="D603" i="1"/>
  <c r="D602" i="1"/>
  <c r="D601" i="1"/>
  <c r="D600" i="1"/>
  <c r="D599" i="1"/>
  <c r="D596" i="1"/>
  <c r="D594" i="1"/>
  <c r="D593" i="1"/>
  <c r="D592" i="1"/>
  <c r="D591" i="1"/>
  <c r="D589" i="1"/>
  <c r="D588" i="1"/>
  <c r="D587" i="1"/>
  <c r="D586" i="1"/>
  <c r="D585" i="1"/>
  <c r="D584" i="1"/>
  <c r="D580" i="1"/>
  <c r="D578" i="1"/>
  <c r="D577" i="1"/>
  <c r="D576" i="1"/>
  <c r="D575" i="1"/>
  <c r="D573" i="1"/>
  <c r="D572" i="1"/>
  <c r="D571" i="1"/>
  <c r="D570" i="1"/>
  <c r="D569" i="1"/>
  <c r="D568" i="1"/>
  <c r="D565" i="1"/>
  <c r="D563" i="1"/>
  <c r="D562" i="1"/>
  <c r="D561" i="1"/>
  <c r="D560" i="1"/>
  <c r="D558" i="1"/>
  <c r="D557" i="1"/>
  <c r="D556" i="1"/>
  <c r="D555" i="1"/>
  <c r="D554" i="1"/>
  <c r="D553" i="1"/>
  <c r="D549" i="1"/>
  <c r="D547" i="1"/>
  <c r="D546" i="1"/>
  <c r="D545" i="1"/>
  <c r="D544" i="1"/>
  <c r="D542" i="1"/>
  <c r="D541" i="1"/>
  <c r="D540" i="1"/>
  <c r="D539" i="1"/>
  <c r="D538" i="1"/>
  <c r="D537" i="1"/>
  <c r="D534" i="1"/>
  <c r="D532" i="1"/>
  <c r="D531" i="1"/>
  <c r="D530" i="1"/>
  <c r="D529" i="1"/>
  <c r="D523" i="1"/>
  <c r="D524" i="1"/>
  <c r="D525" i="1"/>
  <c r="D526" i="1"/>
  <c r="D527" i="1"/>
  <c r="D522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J94" i="1" l="1"/>
  <c r="D98" i="1"/>
  <c r="I94" i="1" s="1"/>
  <c r="I95" i="1" s="1"/>
  <c r="E97" i="1"/>
  <c r="C156" i="1"/>
  <c r="I93" i="1" l="1"/>
  <c r="C95" i="1" s="1"/>
  <c r="J230" i="1"/>
  <c r="J229" i="1"/>
  <c r="J228" i="1"/>
  <c r="J227" i="1"/>
  <c r="H220" i="1"/>
  <c r="D228" i="1" l="1"/>
  <c r="D231" i="1"/>
  <c r="D227" i="1"/>
  <c r="J223" i="1"/>
  <c r="D230" i="1"/>
  <c r="D226" i="1"/>
  <c r="J224" i="1"/>
  <c r="J225" i="1"/>
  <c r="J226" i="1" s="1"/>
  <c r="J231" i="1" s="1"/>
  <c r="J232" i="1" s="1"/>
  <c r="C224" i="1" s="1"/>
  <c r="D223" i="1"/>
  <c r="J219" i="1"/>
  <c r="J221" i="1" s="1"/>
  <c r="D229" i="1"/>
  <c r="D225" i="1"/>
  <c r="J222" i="1"/>
  <c r="D232" i="1"/>
  <c r="D712" i="1"/>
  <c r="J118" i="1"/>
  <c r="J117" i="1"/>
  <c r="J116" i="1"/>
  <c r="J115" i="1"/>
  <c r="H108" i="1"/>
  <c r="J220" i="1" l="1"/>
  <c r="E223" i="1"/>
  <c r="D224" i="1"/>
  <c r="I220" i="1" s="1"/>
  <c r="I221" i="1" s="1"/>
  <c r="G223" i="1"/>
  <c r="J113" i="1"/>
  <c r="J114" i="1" s="1"/>
  <c r="J119" i="1" s="1"/>
  <c r="J120" i="1" s="1"/>
  <c r="C112" i="1" s="1"/>
  <c r="D111" i="1"/>
  <c r="J107" i="1"/>
  <c r="J109" i="1" s="1"/>
  <c r="D119" i="1"/>
  <c r="D115" i="1"/>
  <c r="J111" i="1"/>
  <c r="D118" i="1"/>
  <c r="D114" i="1"/>
  <c r="D117" i="1"/>
  <c r="D113" i="1"/>
  <c r="J110" i="1"/>
  <c r="J112" i="1"/>
  <c r="D120" i="1"/>
  <c r="D116" i="1"/>
  <c r="C142" i="1"/>
  <c r="I219" i="1" l="1"/>
  <c r="C221" i="1" s="1"/>
  <c r="J108" i="1"/>
  <c r="E111" i="1"/>
  <c r="D112" i="1"/>
  <c r="I108" i="1" s="1"/>
  <c r="I109" i="1" s="1"/>
  <c r="G111" i="1"/>
  <c r="J132" i="1"/>
  <c r="J131" i="1"/>
  <c r="J130" i="1"/>
  <c r="J129" i="1"/>
  <c r="H122" i="1"/>
  <c r="I107" i="1" l="1"/>
  <c r="C109" i="1" s="1"/>
  <c r="J127" i="1"/>
  <c r="J128" i="1" s="1"/>
  <c r="J133" i="1" s="1"/>
  <c r="J134" i="1" s="1"/>
  <c r="J125" i="1"/>
  <c r="J121" i="1"/>
  <c r="J123" i="1" s="1"/>
  <c r="D133" i="1"/>
  <c r="D131" i="1"/>
  <c r="D129" i="1"/>
  <c r="D127" i="1"/>
  <c r="J124" i="1"/>
  <c r="J126" i="1"/>
  <c r="C125" i="1" s="1"/>
  <c r="D125" i="1" s="1"/>
  <c r="E125" i="1"/>
  <c r="D134" i="1"/>
  <c r="D132" i="1"/>
  <c r="D130" i="1"/>
  <c r="D128" i="1"/>
  <c r="D126" i="1"/>
  <c r="J90" i="1"/>
  <c r="J89" i="1"/>
  <c r="J88" i="1"/>
  <c r="J87" i="1"/>
  <c r="H80" i="1"/>
  <c r="I122" i="1" l="1"/>
  <c r="I123" i="1" s="1"/>
  <c r="G125" i="1"/>
  <c r="J122" i="1"/>
  <c r="J85" i="1"/>
  <c r="J83" i="1"/>
  <c r="C83" i="1" s="1"/>
  <c r="J82" i="1"/>
  <c r="D91" i="1"/>
  <c r="D89" i="1"/>
  <c r="D87" i="1"/>
  <c r="D85" i="1"/>
  <c r="J84" i="1"/>
  <c r="D92" i="1"/>
  <c r="D90" i="1"/>
  <c r="D88" i="1"/>
  <c r="D86" i="1"/>
  <c r="J79" i="1"/>
  <c r="J81" i="1" s="1"/>
  <c r="J244" i="1"/>
  <c r="J243" i="1"/>
  <c r="J242" i="1"/>
  <c r="J241" i="1"/>
  <c r="H234" i="1"/>
  <c r="J86" i="1" l="1"/>
  <c r="J91" i="1" s="1"/>
  <c r="J92" i="1" s="1"/>
  <c r="E83" i="1"/>
  <c r="D83" i="1"/>
  <c r="I121" i="1"/>
  <c r="C123" i="1" s="1"/>
  <c r="J238" i="1"/>
  <c r="D246" i="1"/>
  <c r="D244" i="1"/>
  <c r="D242" i="1"/>
  <c r="D240" i="1"/>
  <c r="D237" i="1"/>
  <c r="J233" i="1"/>
  <c r="J235" i="1" s="1"/>
  <c r="D245" i="1"/>
  <c r="D243" i="1"/>
  <c r="D241" i="1"/>
  <c r="J237" i="1"/>
  <c r="J236" i="1"/>
  <c r="J239" i="1"/>
  <c r="J240" i="1" s="1"/>
  <c r="J245" i="1" s="1"/>
  <c r="J246" i="1" s="1"/>
  <c r="C238" i="1" s="1"/>
  <c r="D239" i="1"/>
  <c r="J80" i="1" l="1"/>
  <c r="D84" i="1"/>
  <c r="I80" i="1" s="1"/>
  <c r="I81" i="1" s="1"/>
  <c r="G83" i="1"/>
  <c r="E237" i="1"/>
  <c r="J234" i="1"/>
  <c r="D238" i="1"/>
  <c r="I234" i="1" s="1"/>
  <c r="I235" i="1" s="1"/>
  <c r="G237" i="1"/>
  <c r="J188" i="1"/>
  <c r="J187" i="1"/>
  <c r="J186" i="1"/>
  <c r="J185" i="1"/>
  <c r="C191" i="1"/>
  <c r="C163" i="1"/>
  <c r="J202" i="1"/>
  <c r="J201" i="1"/>
  <c r="J200" i="1"/>
  <c r="J199" i="1"/>
  <c r="C149" i="1"/>
  <c r="J160" i="1"/>
  <c r="J159" i="1"/>
  <c r="J158" i="1"/>
  <c r="J157" i="1"/>
  <c r="I79" i="1" l="1"/>
  <c r="C81" i="1" s="1"/>
  <c r="I233" i="1"/>
  <c r="C235" i="1" s="1"/>
  <c r="C799" i="1"/>
  <c r="B755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F532" i="1"/>
  <c r="I295" i="1"/>
  <c r="I294" i="1"/>
  <c r="J174" i="1" l="1"/>
  <c r="J173" i="1"/>
  <c r="J172" i="1"/>
  <c r="J171" i="1"/>
  <c r="C14" i="1" l="1"/>
  <c r="K390" i="1" l="1"/>
  <c r="K397" i="1"/>
  <c r="K398" i="1"/>
  <c r="K403" i="1"/>
  <c r="K410" i="1"/>
  <c r="K411" i="1"/>
  <c r="K412" i="1"/>
  <c r="K417" i="1"/>
  <c r="K424" i="1"/>
  <c r="K425" i="1"/>
  <c r="K430" i="1"/>
  <c r="K437" i="1"/>
  <c r="K438" i="1"/>
  <c r="K439" i="1"/>
  <c r="K444" i="1"/>
  <c r="I386" i="1"/>
  <c r="D669" i="1" l="1"/>
  <c r="D377" i="1" l="1"/>
  <c r="D378" i="1"/>
  <c r="D361" i="1"/>
  <c r="D638" i="1"/>
  <c r="F638" i="1" s="1"/>
  <c r="D637" i="1"/>
  <c r="F637" i="1" s="1"/>
  <c r="D636" i="1"/>
  <c r="F636" i="1" s="1"/>
  <c r="D635" i="1"/>
  <c r="F635" i="1" s="1"/>
  <c r="D634" i="1"/>
  <c r="F634" i="1" s="1"/>
  <c r="G633" i="1"/>
  <c r="D633" i="1"/>
  <c r="F633" i="1" s="1"/>
  <c r="D631" i="1"/>
  <c r="F631" i="1" s="1"/>
  <c r="D630" i="1"/>
  <c r="F630" i="1" s="1"/>
  <c r="D629" i="1"/>
  <c r="F629" i="1" s="1"/>
  <c r="G628" i="1"/>
  <c r="D628" i="1"/>
  <c r="F628" i="1" s="1"/>
  <c r="D625" i="1"/>
  <c r="F625" i="1" s="1"/>
  <c r="D624" i="1"/>
  <c r="F624" i="1" s="1"/>
  <c r="D623" i="1"/>
  <c r="F623" i="1" s="1"/>
  <c r="D622" i="1"/>
  <c r="F622" i="1" s="1"/>
  <c r="D621" i="1"/>
  <c r="F621" i="1" s="1"/>
  <c r="G620" i="1"/>
  <c r="D620" i="1"/>
  <c r="F620" i="1" s="1"/>
  <c r="D618" i="1"/>
  <c r="F618" i="1" s="1"/>
  <c r="D617" i="1"/>
  <c r="F617" i="1" s="1"/>
  <c r="D616" i="1"/>
  <c r="F616" i="1" s="1"/>
  <c r="G615" i="1"/>
  <c r="D615" i="1"/>
  <c r="F615" i="1" s="1"/>
  <c r="I522" i="1"/>
  <c r="F335" i="1"/>
  <c r="F334" i="1"/>
  <c r="F333" i="1"/>
  <c r="F332" i="1"/>
  <c r="F331" i="1"/>
  <c r="F330" i="1"/>
  <c r="F329" i="1"/>
  <c r="F328" i="1"/>
  <c r="F327" i="1"/>
  <c r="F326" i="1"/>
  <c r="F325" i="1"/>
  <c r="G324" i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F324" i="1"/>
  <c r="F320" i="1"/>
  <c r="F319" i="1"/>
  <c r="F318" i="1"/>
  <c r="F317" i="1"/>
  <c r="F316" i="1"/>
  <c r="F315" i="1"/>
  <c r="F314" i="1"/>
  <c r="F313" i="1"/>
  <c r="F312" i="1"/>
  <c r="F311" i="1"/>
  <c r="F310" i="1"/>
  <c r="G309" i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F309" i="1"/>
  <c r="G284" i="1" l="1"/>
  <c r="G283" i="1"/>
  <c r="G259" i="1"/>
  <c r="D263" i="1"/>
  <c r="E263" i="1"/>
  <c r="E283" i="1"/>
  <c r="G257" i="1"/>
  <c r="E284" i="1"/>
  <c r="D283" i="1"/>
  <c r="D284" i="1"/>
  <c r="E257" i="1"/>
  <c r="E259" i="1"/>
  <c r="D257" i="1"/>
  <c r="E261" i="1"/>
  <c r="D259" i="1"/>
  <c r="D261" i="1"/>
  <c r="B642" i="1" l="1"/>
  <c r="F604" i="1"/>
  <c r="F603" i="1"/>
  <c r="F602" i="1"/>
  <c r="F601" i="1"/>
  <c r="F600" i="1"/>
  <c r="G599" i="1"/>
  <c r="F611" i="1"/>
  <c r="F609" i="1"/>
  <c r="F608" i="1"/>
  <c r="F607" i="1"/>
  <c r="G606" i="1"/>
  <c r="F606" i="1"/>
  <c r="F596" i="1"/>
  <c r="F594" i="1"/>
  <c r="F593" i="1"/>
  <c r="F592" i="1"/>
  <c r="G591" i="1"/>
  <c r="F591" i="1"/>
  <c r="F589" i="1"/>
  <c r="F588" i="1"/>
  <c r="F587" i="1"/>
  <c r="F586" i="1"/>
  <c r="F585" i="1"/>
  <c r="G584" i="1"/>
  <c r="F580" i="1"/>
  <c r="F578" i="1"/>
  <c r="F577" i="1"/>
  <c r="F576" i="1"/>
  <c r="G575" i="1"/>
  <c r="F575" i="1"/>
  <c r="F573" i="1"/>
  <c r="F572" i="1"/>
  <c r="F571" i="1"/>
  <c r="F570" i="1"/>
  <c r="F569" i="1"/>
  <c r="G568" i="1"/>
  <c r="F565" i="1"/>
  <c r="F563" i="1"/>
  <c r="F562" i="1"/>
  <c r="F561" i="1"/>
  <c r="G560" i="1"/>
  <c r="F560" i="1"/>
  <c r="F558" i="1"/>
  <c r="F557" i="1"/>
  <c r="F556" i="1"/>
  <c r="F555" i="1"/>
  <c r="F554" i="1"/>
  <c r="G553" i="1"/>
  <c r="D517" i="1"/>
  <c r="F517" i="1" s="1"/>
  <c r="D516" i="1"/>
  <c r="F516" i="1" s="1"/>
  <c r="D515" i="1"/>
  <c r="F515" i="1" s="1"/>
  <c r="D514" i="1"/>
  <c r="F514" i="1" s="1"/>
  <c r="D513" i="1"/>
  <c r="F513" i="1" s="1"/>
  <c r="G512" i="1"/>
  <c r="D512" i="1"/>
  <c r="F512" i="1" s="1"/>
  <c r="D510" i="1"/>
  <c r="F510" i="1" s="1"/>
  <c r="D509" i="1"/>
  <c r="F509" i="1" s="1"/>
  <c r="D508" i="1"/>
  <c r="F508" i="1" s="1"/>
  <c r="G507" i="1"/>
  <c r="D507" i="1"/>
  <c r="D504" i="1"/>
  <c r="F504" i="1" s="1"/>
  <c r="D503" i="1"/>
  <c r="F503" i="1" s="1"/>
  <c r="D502" i="1"/>
  <c r="F502" i="1" s="1"/>
  <c r="D501" i="1"/>
  <c r="F501" i="1" s="1"/>
  <c r="D500" i="1"/>
  <c r="F500" i="1" s="1"/>
  <c r="G499" i="1"/>
  <c r="D499" i="1"/>
  <c r="F499" i="1" s="1"/>
  <c r="D497" i="1"/>
  <c r="F497" i="1" s="1"/>
  <c r="D496" i="1"/>
  <c r="F496" i="1" s="1"/>
  <c r="D495" i="1"/>
  <c r="F495" i="1" s="1"/>
  <c r="G494" i="1"/>
  <c r="D494" i="1"/>
  <c r="D490" i="1"/>
  <c r="F490" i="1" s="1"/>
  <c r="D489" i="1"/>
  <c r="F489" i="1" s="1"/>
  <c r="D488" i="1"/>
  <c r="F488" i="1" s="1"/>
  <c r="D487" i="1"/>
  <c r="F487" i="1" s="1"/>
  <c r="D486" i="1"/>
  <c r="F486" i="1" s="1"/>
  <c r="G485" i="1"/>
  <c r="D485" i="1"/>
  <c r="F485" i="1" s="1"/>
  <c r="D483" i="1"/>
  <c r="F483" i="1" s="1"/>
  <c r="D482" i="1"/>
  <c r="F482" i="1" s="1"/>
  <c r="D481" i="1"/>
  <c r="F481" i="1" s="1"/>
  <c r="G480" i="1"/>
  <c r="D480" i="1"/>
  <c r="D477" i="1"/>
  <c r="F477" i="1" s="1"/>
  <c r="D476" i="1"/>
  <c r="F476" i="1" s="1"/>
  <c r="D475" i="1"/>
  <c r="F475" i="1" s="1"/>
  <c r="D474" i="1"/>
  <c r="F474" i="1" s="1"/>
  <c r="D473" i="1"/>
  <c r="F473" i="1" s="1"/>
  <c r="G472" i="1"/>
  <c r="D472" i="1"/>
  <c r="F472" i="1" s="1"/>
  <c r="D470" i="1"/>
  <c r="F470" i="1" s="1"/>
  <c r="D469" i="1"/>
  <c r="F469" i="1" s="1"/>
  <c r="D468" i="1"/>
  <c r="F468" i="1" s="1"/>
  <c r="G467" i="1"/>
  <c r="D467" i="1"/>
  <c r="E280" i="1" l="1"/>
  <c r="D280" i="1"/>
  <c r="E282" i="1"/>
  <c r="D282" i="1"/>
  <c r="D279" i="1"/>
  <c r="E279" i="1"/>
  <c r="E281" i="1"/>
  <c r="D281" i="1"/>
  <c r="E273" i="1"/>
  <c r="E274" i="1"/>
  <c r="E275" i="1"/>
  <c r="E276" i="1"/>
  <c r="F599" i="1"/>
  <c r="G282" i="1" s="1"/>
  <c r="F467" i="1"/>
  <c r="G273" i="1" s="1"/>
  <c r="D273" i="1"/>
  <c r="F494" i="1"/>
  <c r="G275" i="1" s="1"/>
  <c r="D275" i="1"/>
  <c r="F568" i="1"/>
  <c r="G280" i="1" s="1"/>
  <c r="F553" i="1"/>
  <c r="G279" i="1" s="1"/>
  <c r="F480" i="1"/>
  <c r="G274" i="1" s="1"/>
  <c r="D274" i="1"/>
  <c r="F507" i="1"/>
  <c r="G276" i="1" s="1"/>
  <c r="D276" i="1"/>
  <c r="F584" i="1"/>
  <c r="G281" i="1" s="1"/>
  <c r="D376" i="1"/>
  <c r="F378" i="1"/>
  <c r="F377" i="1"/>
  <c r="G376" i="1"/>
  <c r="G377" i="1" s="1"/>
  <c r="G378" i="1" s="1"/>
  <c r="D360" i="1"/>
  <c r="F360" i="1" s="1"/>
  <c r="F361" i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59" i="1"/>
  <c r="K363" i="1"/>
  <c r="K362" i="1"/>
  <c r="G359" i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D346" i="1"/>
  <c r="F346" i="1" s="1"/>
  <c r="D343" i="1"/>
  <c r="F343" i="1" s="1"/>
  <c r="D344" i="1"/>
  <c r="F344" i="1" s="1"/>
  <c r="D345" i="1"/>
  <c r="F345" i="1" s="1"/>
  <c r="D347" i="1"/>
  <c r="F347" i="1" s="1"/>
  <c r="D348" i="1"/>
  <c r="F348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42" i="1"/>
  <c r="F342" i="1" s="1"/>
  <c r="D341" i="1"/>
  <c r="F341" i="1" s="1"/>
  <c r="D340" i="1"/>
  <c r="F340" i="1" s="1"/>
  <c r="D339" i="1"/>
  <c r="F339" i="1" s="1"/>
  <c r="D338" i="1"/>
  <c r="K341" i="1"/>
  <c r="K342" i="1"/>
  <c r="G338" i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F549" i="1"/>
  <c r="F547" i="1"/>
  <c r="F546" i="1"/>
  <c r="F545" i="1"/>
  <c r="G544" i="1"/>
  <c r="F544" i="1"/>
  <c r="F542" i="1"/>
  <c r="F541" i="1"/>
  <c r="F540" i="1"/>
  <c r="F539" i="1"/>
  <c r="F538" i="1"/>
  <c r="G537" i="1"/>
  <c r="F531" i="1"/>
  <c r="F534" i="1"/>
  <c r="F529" i="1"/>
  <c r="G529" i="1"/>
  <c r="F523" i="1"/>
  <c r="F524" i="1"/>
  <c r="F525" i="1"/>
  <c r="F526" i="1"/>
  <c r="F527" i="1"/>
  <c r="F305" i="1"/>
  <c r="F304" i="1"/>
  <c r="F303" i="1"/>
  <c r="F302" i="1"/>
  <c r="F301" i="1"/>
  <c r="F299" i="1"/>
  <c r="F298" i="1"/>
  <c r="F297" i="1"/>
  <c r="F296" i="1"/>
  <c r="I296" i="1" s="1"/>
  <c r="F295" i="1"/>
  <c r="G294" i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522" i="1"/>
  <c r="D463" i="1"/>
  <c r="F463" i="1" s="1"/>
  <c r="D462" i="1"/>
  <c r="F462" i="1" s="1"/>
  <c r="D461" i="1"/>
  <c r="F461" i="1" s="1"/>
  <c r="D460" i="1"/>
  <c r="F460" i="1" s="1"/>
  <c r="D459" i="1"/>
  <c r="F459" i="1" s="1"/>
  <c r="G458" i="1"/>
  <c r="D458" i="1"/>
  <c r="F458" i="1" s="1"/>
  <c r="D456" i="1"/>
  <c r="F456" i="1" s="1"/>
  <c r="D455" i="1"/>
  <c r="F455" i="1" s="1"/>
  <c r="D454" i="1"/>
  <c r="F454" i="1" s="1"/>
  <c r="G453" i="1"/>
  <c r="D453" i="1"/>
  <c r="D450" i="1"/>
  <c r="F450" i="1" s="1"/>
  <c r="D449" i="1"/>
  <c r="F449" i="1" s="1"/>
  <c r="D448" i="1"/>
  <c r="F448" i="1" s="1"/>
  <c r="K448" i="1" s="1"/>
  <c r="D447" i="1"/>
  <c r="F447" i="1" s="1"/>
  <c r="K447" i="1" s="1"/>
  <c r="D446" i="1"/>
  <c r="F446" i="1" s="1"/>
  <c r="K446" i="1" s="1"/>
  <c r="G445" i="1"/>
  <c r="D445" i="1"/>
  <c r="F445" i="1" s="1"/>
  <c r="K445" i="1" s="1"/>
  <c r="D443" i="1"/>
  <c r="F443" i="1" s="1"/>
  <c r="K443" i="1" s="1"/>
  <c r="D442" i="1"/>
  <c r="F442" i="1" s="1"/>
  <c r="K442" i="1" s="1"/>
  <c r="D441" i="1"/>
  <c r="F441" i="1" s="1"/>
  <c r="K441" i="1" s="1"/>
  <c r="G440" i="1"/>
  <c r="D440" i="1"/>
  <c r="D426" i="1"/>
  <c r="D399" i="1"/>
  <c r="D400" i="1"/>
  <c r="F400" i="1" s="1"/>
  <c r="K400" i="1" s="1"/>
  <c r="D401" i="1"/>
  <c r="F401" i="1" s="1"/>
  <c r="K401" i="1" s="1"/>
  <c r="D402" i="1"/>
  <c r="F402" i="1" s="1"/>
  <c r="K402" i="1" s="1"/>
  <c r="G399" i="1"/>
  <c r="G400" i="1" s="1"/>
  <c r="G401" i="1" s="1"/>
  <c r="G402" i="1" s="1"/>
  <c r="D436" i="1"/>
  <c r="F436" i="1" s="1"/>
  <c r="K436" i="1" s="1"/>
  <c r="D435" i="1"/>
  <c r="F435" i="1" s="1"/>
  <c r="K435" i="1" s="1"/>
  <c r="D434" i="1"/>
  <c r="F434" i="1" s="1"/>
  <c r="K434" i="1" s="1"/>
  <c r="D433" i="1"/>
  <c r="F433" i="1" s="1"/>
  <c r="K433" i="1" s="1"/>
  <c r="D432" i="1"/>
  <c r="F432" i="1" s="1"/>
  <c r="K432" i="1" s="1"/>
  <c r="G431" i="1"/>
  <c r="D431" i="1"/>
  <c r="F431" i="1" s="1"/>
  <c r="K431" i="1" s="1"/>
  <c r="D429" i="1"/>
  <c r="F429" i="1" s="1"/>
  <c r="K429" i="1" s="1"/>
  <c r="D428" i="1"/>
  <c r="F428" i="1" s="1"/>
  <c r="K428" i="1" s="1"/>
  <c r="D427" i="1"/>
  <c r="F427" i="1" s="1"/>
  <c r="K427" i="1" s="1"/>
  <c r="D423" i="1"/>
  <c r="F423" i="1" s="1"/>
  <c r="K423" i="1" s="1"/>
  <c r="D422" i="1"/>
  <c r="F422" i="1" s="1"/>
  <c r="K422" i="1" s="1"/>
  <c r="D421" i="1"/>
  <c r="F421" i="1" s="1"/>
  <c r="K421" i="1" s="1"/>
  <c r="D420" i="1"/>
  <c r="F420" i="1" s="1"/>
  <c r="K420" i="1" s="1"/>
  <c r="D419" i="1"/>
  <c r="F419" i="1" s="1"/>
  <c r="K419" i="1" s="1"/>
  <c r="G418" i="1"/>
  <c r="D418" i="1"/>
  <c r="F418" i="1" s="1"/>
  <c r="K418" i="1" s="1"/>
  <c r="D416" i="1"/>
  <c r="F416" i="1" s="1"/>
  <c r="K416" i="1" s="1"/>
  <c r="D415" i="1"/>
  <c r="F415" i="1" s="1"/>
  <c r="K415" i="1" s="1"/>
  <c r="D414" i="1"/>
  <c r="F414" i="1" s="1"/>
  <c r="K414" i="1" s="1"/>
  <c r="D413" i="1"/>
  <c r="D409" i="1"/>
  <c r="F409" i="1" s="1"/>
  <c r="K409" i="1" s="1"/>
  <c r="D408" i="1"/>
  <c r="F408" i="1" s="1"/>
  <c r="K408" i="1" s="1"/>
  <c r="D407" i="1"/>
  <c r="F407" i="1" s="1"/>
  <c r="K407" i="1" s="1"/>
  <c r="D406" i="1"/>
  <c r="F406" i="1" s="1"/>
  <c r="K406" i="1" s="1"/>
  <c r="D405" i="1"/>
  <c r="F405" i="1" s="1"/>
  <c r="G404" i="1"/>
  <c r="D404" i="1"/>
  <c r="F404" i="1" s="1"/>
  <c r="K404" i="1" s="1"/>
  <c r="D396" i="1"/>
  <c r="F396" i="1" s="1"/>
  <c r="K396" i="1" s="1"/>
  <c r="D395" i="1"/>
  <c r="D394" i="1"/>
  <c r="D393" i="1"/>
  <c r="F393" i="1" s="1"/>
  <c r="D392" i="1"/>
  <c r="D391" i="1"/>
  <c r="D387" i="1"/>
  <c r="D388" i="1"/>
  <c r="F388" i="1" s="1"/>
  <c r="K388" i="1" s="1"/>
  <c r="D389" i="1"/>
  <c r="D386" i="1"/>
  <c r="G386" i="1"/>
  <c r="D278" i="1" l="1"/>
  <c r="E278" i="1"/>
  <c r="F530" i="1"/>
  <c r="D277" i="1"/>
  <c r="E277" i="1"/>
  <c r="E271" i="1"/>
  <c r="E272" i="1"/>
  <c r="F386" i="1"/>
  <c r="E267" i="1"/>
  <c r="K405" i="1"/>
  <c r="E268" i="1"/>
  <c r="G263" i="1"/>
  <c r="K393" i="1"/>
  <c r="I393" i="1"/>
  <c r="F537" i="1"/>
  <c r="G278" i="1" s="1"/>
  <c r="F413" i="1"/>
  <c r="E269" i="1"/>
  <c r="D269" i="1"/>
  <c r="F453" i="1"/>
  <c r="G272" i="1" s="1"/>
  <c r="D272" i="1"/>
  <c r="D262" i="1"/>
  <c r="E262" i="1"/>
  <c r="D267" i="1"/>
  <c r="F399" i="1"/>
  <c r="K399" i="1" s="1"/>
  <c r="D268" i="1"/>
  <c r="F522" i="1"/>
  <c r="F426" i="1"/>
  <c r="E270" i="1"/>
  <c r="D270" i="1"/>
  <c r="F440" i="1"/>
  <c r="D271" i="1"/>
  <c r="E255" i="1"/>
  <c r="D255" i="1"/>
  <c r="F338" i="1"/>
  <c r="G261" i="1" s="1"/>
  <c r="F376" i="1"/>
  <c r="G262" i="1" s="1"/>
  <c r="F359" i="1"/>
  <c r="F300" i="1"/>
  <c r="E7" i="1"/>
  <c r="E264" i="1" l="1"/>
  <c r="D264" i="1"/>
  <c r="E285" i="1"/>
  <c r="D285" i="1"/>
  <c r="G277" i="1"/>
  <c r="G271" i="1"/>
  <c r="K440" i="1"/>
  <c r="G270" i="1"/>
  <c r="K426" i="1"/>
  <c r="K386" i="1"/>
  <c r="G269" i="1"/>
  <c r="K413" i="1"/>
  <c r="G268" i="1"/>
  <c r="E29" i="1" l="1"/>
  <c r="F387" i="1" l="1"/>
  <c r="F389" i="1"/>
  <c r="K389" i="1" s="1"/>
  <c r="K387" i="1" l="1"/>
  <c r="F252" i="1"/>
  <c r="F395" i="1" l="1"/>
  <c r="K395" i="1" s="1"/>
  <c r="F394" i="1"/>
  <c r="K394" i="1" s="1"/>
  <c r="F392" i="1"/>
  <c r="F391" i="1"/>
  <c r="K391" i="1" l="1"/>
  <c r="I391" i="1"/>
  <c r="G267" i="1"/>
  <c r="G285" i="1" s="1"/>
  <c r="K392" i="1"/>
  <c r="I392" i="1"/>
  <c r="B64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391" i="1"/>
  <c r="J216" i="1"/>
  <c r="J215" i="1"/>
  <c r="J214" i="1"/>
  <c r="J213" i="1"/>
  <c r="J146" i="1"/>
  <c r="J145" i="1"/>
  <c r="J144" i="1"/>
  <c r="J143" i="1"/>
  <c r="D63" i="1"/>
  <c r="E42" i="1"/>
  <c r="E43" i="1" s="1"/>
  <c r="E26" i="1"/>
  <c r="E24" i="1"/>
  <c r="E3" i="1"/>
  <c r="H206" i="1"/>
  <c r="H136" i="1"/>
  <c r="D73" i="1" l="1"/>
  <c r="D216" i="1"/>
  <c r="D217" i="1"/>
  <c r="D218" i="1"/>
  <c r="D212" i="1"/>
  <c r="D213" i="1"/>
  <c r="D214" i="1"/>
  <c r="D215" i="1"/>
  <c r="J205" i="1"/>
  <c r="D148" i="1"/>
  <c r="D146" i="1"/>
  <c r="D145" i="1"/>
  <c r="D144" i="1"/>
  <c r="D142" i="1"/>
  <c r="J135" i="1"/>
  <c r="D147" i="1"/>
  <c r="D143" i="1"/>
  <c r="J139" i="1"/>
  <c r="J140" i="1"/>
  <c r="C139" i="1" s="1"/>
  <c r="J138" i="1"/>
  <c r="J141" i="1"/>
  <c r="J211" i="1"/>
  <c r="J209" i="1"/>
  <c r="J210" i="1"/>
  <c r="J208" i="1"/>
  <c r="J212" i="1" l="1"/>
  <c r="J217" i="1" s="1"/>
  <c r="J142" i="1"/>
  <c r="D211" i="1"/>
  <c r="J207" i="1"/>
  <c r="D141" i="1"/>
  <c r="J137" i="1"/>
  <c r="D139" i="1"/>
  <c r="D209" i="1"/>
  <c r="J218" i="1" l="1"/>
  <c r="C210" i="1" s="1"/>
  <c r="G209" i="1" s="1"/>
  <c r="J147" i="1"/>
  <c r="J148" i="1" s="1"/>
  <c r="E139" i="1"/>
  <c r="G139" i="1"/>
  <c r="D77" i="1" s="1"/>
  <c r="D78" i="1" s="1"/>
  <c r="H164" i="1"/>
  <c r="H192" i="1"/>
  <c r="H150" i="1"/>
  <c r="D204" i="1" l="1"/>
  <c r="D200" i="1"/>
  <c r="D198" i="1"/>
  <c r="J195" i="1"/>
  <c r="J191" i="1"/>
  <c r="J193" i="1" s="1"/>
  <c r="D203" i="1"/>
  <c r="D199" i="1"/>
  <c r="D202" i="1"/>
  <c r="J194" i="1"/>
  <c r="J197" i="1"/>
  <c r="J196" i="1"/>
  <c r="C195" i="1" s="1"/>
  <c r="D195" i="1" s="1"/>
  <c r="D201" i="1"/>
  <c r="D197" i="1"/>
  <c r="D162" i="1"/>
  <c r="D158" i="1"/>
  <c r="D157" i="1"/>
  <c r="J149" i="1"/>
  <c r="J151" i="1" s="1"/>
  <c r="J153" i="1"/>
  <c r="D155" i="1"/>
  <c r="D161" i="1"/>
  <c r="D159" i="1"/>
  <c r="J152" i="1"/>
  <c r="D160" i="1"/>
  <c r="D156" i="1"/>
  <c r="J155" i="1"/>
  <c r="J154" i="1"/>
  <c r="C153" i="1" s="1"/>
  <c r="J206" i="1"/>
  <c r="E209" i="1"/>
  <c r="D210" i="1"/>
  <c r="I206" i="1" s="1"/>
  <c r="I207" i="1" s="1"/>
  <c r="J168" i="1"/>
  <c r="D176" i="1"/>
  <c r="D174" i="1"/>
  <c r="D172" i="1"/>
  <c r="D170" i="1"/>
  <c r="D167" i="1"/>
  <c r="J163" i="1"/>
  <c r="J165" i="1" s="1"/>
  <c r="J169" i="1"/>
  <c r="J167" i="1"/>
  <c r="J166" i="1"/>
  <c r="D175" i="1"/>
  <c r="D173" i="1"/>
  <c r="D171" i="1"/>
  <c r="D169" i="1"/>
  <c r="D140" i="1"/>
  <c r="J136" i="1"/>
  <c r="F78" i="1"/>
  <c r="F294" i="1"/>
  <c r="G255" i="1" s="1"/>
  <c r="G264" i="1" s="1"/>
  <c r="J156" i="1" l="1"/>
  <c r="J161" i="1" s="1"/>
  <c r="J170" i="1"/>
  <c r="I136" i="1"/>
  <c r="I137" i="1" s="1"/>
  <c r="I135" i="1" s="1"/>
  <c r="C137" i="1" s="1"/>
  <c r="J198" i="1"/>
  <c r="J203" i="1" s="1"/>
  <c r="D153" i="1"/>
  <c r="I205" i="1"/>
  <c r="C207" i="1" s="1"/>
  <c r="J162" i="1" l="1"/>
  <c r="C154" i="1" s="1"/>
  <c r="G153" i="1" s="1"/>
  <c r="J175" i="1"/>
  <c r="J204" i="1"/>
  <c r="J192" i="1" s="1"/>
  <c r="H178" i="1"/>
  <c r="J150" i="1" l="1"/>
  <c r="J176" i="1"/>
  <c r="C168" i="1" s="1"/>
  <c r="E167" i="1" s="1"/>
  <c r="E153" i="1"/>
  <c r="D154" i="1"/>
  <c r="I150" i="1" s="1"/>
  <c r="I151" i="1" s="1"/>
  <c r="D196" i="1"/>
  <c r="I192" i="1" s="1"/>
  <c r="I193" i="1" s="1"/>
  <c r="G195" i="1"/>
  <c r="E195" i="1"/>
  <c r="J182" i="1"/>
  <c r="D190" i="1"/>
  <c r="D186" i="1"/>
  <c r="J177" i="1"/>
  <c r="J179" i="1" s="1"/>
  <c r="D189" i="1"/>
  <c r="D185" i="1"/>
  <c r="J181" i="1"/>
  <c r="D181" i="1" s="1"/>
  <c r="J183" i="1"/>
  <c r="D188" i="1"/>
  <c r="D184" i="1"/>
  <c r="D187" i="1"/>
  <c r="D183" i="1"/>
  <c r="J180" i="1"/>
  <c r="I149" i="1" l="1"/>
  <c r="C151" i="1" s="1"/>
  <c r="J164" i="1"/>
  <c r="G167" i="1"/>
  <c r="D168" i="1"/>
  <c r="I164" i="1" s="1"/>
  <c r="I165" i="1" s="1"/>
  <c r="I191" i="1"/>
  <c r="C193" i="1" s="1"/>
  <c r="J184" i="1"/>
  <c r="J189" i="1" l="1"/>
  <c r="J190" i="1" s="1"/>
  <c r="C182" i="1" s="1"/>
  <c r="I163" i="1"/>
  <c r="C165" i="1" s="1"/>
  <c r="J178" i="1" l="1"/>
  <c r="D182" i="1"/>
  <c r="I178" i="1" s="1"/>
  <c r="I179" i="1" s="1"/>
  <c r="G181" i="1"/>
  <c r="E181" i="1"/>
  <c r="I177" i="1" l="1"/>
  <c r="C179" i="1" s="1"/>
</calcChain>
</file>

<file path=xl/sharedStrings.xml><?xml version="1.0" encoding="utf-8"?>
<sst xmlns="http://schemas.openxmlformats.org/spreadsheetml/2006/main" count="1115" uniqueCount="288">
  <si>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</si>
  <si>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</si>
  <si>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</si>
  <si>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</si>
  <si>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</si>
  <si>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</si>
  <si>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</si>
  <si>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</si>
  <si>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</si>
  <si>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</si>
  <si>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</si>
  <si>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</si>
  <si>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</si>
  <si>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</si>
  <si>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</si>
  <si>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</si>
  <si>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</si>
  <si>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</si>
  <si>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</si>
  <si>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</si>
  <si>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</si>
  <si>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</si>
  <si>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</si>
  <si>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</si>
  <si>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</si>
  <si>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</si>
  <si>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</si>
  <si>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</si>
  <si>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</si>
  <si>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</si>
  <si>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</si>
  <si>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</si>
  <si>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</si>
  <si>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</si>
  <si>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</si>
  <si>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</si>
  <si>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</si>
  <si>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</si>
  <si>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</si>
  <si>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</si>
  <si>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</si>
  <si>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</si>
  <si>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</si>
  <si>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</si>
  <si>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</si>
  <si>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</si>
  <si>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</si>
  <si>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</si>
  <si>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</si>
  <si>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</si>
  <si>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</si>
  <si>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</si>
  <si>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</si>
  <si>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</si>
  <si>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</si>
  <si>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</si>
  <si>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</si>
  <si>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</si>
  <si>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</si>
  <si>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</si>
  <si>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</si>
  <si>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</si>
  <si>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</si>
  <si>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</si>
  <si>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</si>
  <si>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</si>
  <si>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</si>
  <si>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</si>
  <si>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</si>
  <si>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</si>
  <si>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</si>
  <si>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</si>
  <si>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</si>
  <si>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</si>
  <si>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</si>
  <si>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</si>
  <si>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</si>
  <si>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</si>
  <si>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</si>
  <si>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</si>
  <si>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</si>
  <si>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</si>
  <si>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</si>
  <si>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</si>
  <si>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</si>
  <si>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</si>
  <si>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</si>
  <si>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</si>
  <si>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</si>
  <si>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</si>
  <si>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</si>
  <si>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</si>
  <si>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</si>
  <si>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</si>
  <si>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</si>
  <si>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</si>
  <si>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</si>
  <si>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</si>
  <si>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</si>
  <si>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</si>
  <si>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</si>
  <si>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</si>
  <si>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</si>
  <si>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</si>
  <si>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</si>
  <si>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</si>
  <si>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</si>
  <si>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</si>
  <si>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</si>
  <si>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</si>
  <si>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</si>
  <si>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</si>
  <si>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</si>
  <si>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</si>
  <si>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</si>
  <si>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</si>
  <si>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</si>
  <si>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</si>
  <si>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</si>
  <si>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</si>
  <si>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</si>
  <si>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</si>
  <si>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</si>
  <si>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</si>
  <si>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</si>
  <si>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</si>
  <si>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</si>
  <si>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</si>
  <si>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</si>
  <si>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</si>
  <si>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</si>
  <si>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</si>
  <si>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</si>
  <si>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</si>
  <si>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</si>
  <si>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</si>
  <si>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</si>
  <si>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</si>
  <si>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</si>
  <si>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</si>
  <si>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</si>
  <si>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</si>
  <si>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</si>
  <si>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</si>
  <si>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</si>
  <si>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</si>
  <si>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</si>
  <si>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</si>
  <si>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</si>
  <si>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</si>
  <si>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</si>
  <si>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</si>
  <si>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</si>
  <si>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</si>
  <si>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</si>
  <si>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</si>
  <si>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</si>
  <si>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</si>
  <si>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</si>
  <si>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</si>
  <si>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</si>
  <si>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</si>
  <si>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>Survey No</t>
  </si>
  <si>
    <t>Open Plot</t>
  </si>
  <si>
    <t>Titwala</t>
  </si>
  <si>
    <t>Kalyan</t>
  </si>
  <si>
    <t>Thane</t>
  </si>
  <si>
    <t>Titwala- Goveli Road</t>
  </si>
  <si>
    <t>4.4 KM from Titwala Railway Station</t>
  </si>
  <si>
    <t>Wing A</t>
  </si>
  <si>
    <t>Wing B</t>
  </si>
  <si>
    <t xml:space="preserve">Shop </t>
  </si>
  <si>
    <t>Amenity Building</t>
  </si>
  <si>
    <t>Conventional Centre</t>
  </si>
  <si>
    <t>Multipurpose Room - 1</t>
  </si>
  <si>
    <t>Multipurpose Room - 2</t>
  </si>
  <si>
    <t>1BHK</t>
  </si>
  <si>
    <t xml:space="preserve"> 1st Floor For Commrecial</t>
  </si>
  <si>
    <t>2nd &amp; 3rd Floor For Commercial</t>
  </si>
  <si>
    <t>1st to 7th Floor For Residential</t>
  </si>
  <si>
    <t>1st to 7th &amp; 9th to 11th Floor For Residential</t>
  </si>
  <si>
    <t>Axis Badlpaur</t>
  </si>
  <si>
    <t>Approved Plans, CC.</t>
  </si>
  <si>
    <t>Titwala east</t>
  </si>
  <si>
    <t>Sai Icon Residency</t>
  </si>
  <si>
    <t>https://goo.gl/maps/xCzLpJN8SjGyDbTK9</t>
  </si>
  <si>
    <t>Maharashtra Housing and Area Development Authority (MHADA)</t>
  </si>
  <si>
    <t>EE/BP/PMAY/A/MHADA/227/2022</t>
  </si>
  <si>
    <t>This C.C is valid up to &amp; issued for the work up to plinth level for 4 building i.e. Bldg. No. 4, 6, 10 &amp; 11.</t>
  </si>
  <si>
    <t>Building No. 1</t>
  </si>
  <si>
    <t>Wing A + B</t>
  </si>
  <si>
    <t>Ground Floor For Commercial &amp; Parking</t>
  </si>
  <si>
    <t>Building No. 2</t>
  </si>
  <si>
    <t>Building No. 7</t>
  </si>
  <si>
    <t>Phase II</t>
  </si>
  <si>
    <t>8th Floor ( Part Refuge Floor )</t>
  </si>
  <si>
    <t>Phase I</t>
  </si>
  <si>
    <t>Building No. 4</t>
  </si>
  <si>
    <t>8th Floor (  Part Refuge Floor )</t>
  </si>
  <si>
    <t>8th Floor (Part Refuge Floor )</t>
  </si>
  <si>
    <t>Building No. 9</t>
  </si>
  <si>
    <t>Phase - II</t>
  </si>
  <si>
    <t>Shop</t>
  </si>
  <si>
    <t>MP Room</t>
  </si>
  <si>
    <t>Bldg No. 1</t>
  </si>
  <si>
    <t>Bldg No. 2</t>
  </si>
  <si>
    <t>Bldg No. 7</t>
  </si>
  <si>
    <t>Building No. 5</t>
  </si>
  <si>
    <t>Building No. 6</t>
  </si>
  <si>
    <t>Building No. 10</t>
  </si>
  <si>
    <t>Building No. 11</t>
  </si>
  <si>
    <t xml:space="preserve">PHOTOGRAPHS OF PROPERTY : </t>
  </si>
  <si>
    <t>We considered Gross carpet area = Net carpet + Balcony + C.B Area + E.P Area.</t>
  </si>
  <si>
    <t>On Site, we meet Mr. Tushar (9619968874)</t>
  </si>
  <si>
    <t>Phase - II - Building No. 3 &amp; 8 for future expansion.</t>
  </si>
  <si>
    <t>Titwala - Goveli Road</t>
  </si>
  <si>
    <t>cost sheet</t>
  </si>
  <si>
    <t>visitor</t>
  </si>
  <si>
    <t>rate sheet</t>
  </si>
  <si>
    <t>market</t>
  </si>
  <si>
    <t>M/s.Charms Developers</t>
  </si>
  <si>
    <t>89/1(A), 95/1(A), 95/2, 95/10</t>
  </si>
  <si>
    <t>Site Meet Contact Details ( Name &amp; Contact No.)</t>
  </si>
  <si>
    <t>Phase I - Building No. 4 = G + 7th Floor</t>
  </si>
  <si>
    <t xml:space="preserve">1. Vitrified tiles flooring 2. Granite Kitchen Platform 3. Decorative
Enternace etc.
</t>
  </si>
  <si>
    <t>Phase I - Building No. 10 &amp; 11 = G + 7th Floor</t>
  </si>
  <si>
    <t xml:space="preserve">Phase I - Building No. 6 = G + 1st to 7th Floor 
</t>
  </si>
  <si>
    <t>3100 to 3800</t>
  </si>
  <si>
    <t xml:space="preserve">Rushikesh </t>
  </si>
  <si>
    <t>IGR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</si>
  <si>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</si>
  <si>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Latitude, Longitude</t>
  </si>
  <si>
    <t>Charms Padmavati Royal Phase I &amp; II</t>
  </si>
  <si>
    <t>EE/BP/PMAY/A/MHADA/434/2023</t>
  </si>
  <si>
    <t>This Plinth C.C is valid up to &amp; issued for the work up to plinth level for 5 building i.e. Bldg. No. 1, 2, 5, 7 &amp; 9</t>
  </si>
  <si>
    <t>As per RERA (Phase I &amp; II) = 30/04/2027
Phase II = 30/04/2027</t>
  </si>
  <si>
    <t>-</t>
  </si>
  <si>
    <t>Refuge Area</t>
  </si>
  <si>
    <t>Ground Floor For Residential, Drivers Room &amp; Parking</t>
  </si>
  <si>
    <t>Ground Floor For Residential, Society Office &amp; Parking</t>
  </si>
  <si>
    <t>Ground Floor For Commercial, Society Office, Drivers Room, Meter Room &amp; Parking</t>
  </si>
  <si>
    <t>Flats - 942, Shop = 54</t>
  </si>
  <si>
    <t xml:space="preserve">Layout : </t>
  </si>
  <si>
    <t>19.289873, 73.230060</t>
  </si>
  <si>
    <t>Phase I - Building No. 5 = G + 7th Floor</t>
  </si>
  <si>
    <t xml:space="preserve">Phase II - Building No. 9 = Gr + 1st to 11th Floor
</t>
  </si>
  <si>
    <t xml:space="preserve">Phase II - Building No. 1, 2 &amp; 7 = Gr + 1st to 11th Floor 
</t>
  </si>
  <si>
    <t>Recommended rate of the Shop Per Sq. Ft.</t>
  </si>
  <si>
    <t>Phase I = P51700045436
Phase II = P51700045389</t>
  </si>
  <si>
    <t>As per Layout</t>
  </si>
  <si>
    <t>30M Wide Dp Rd</t>
  </si>
  <si>
    <t>Other Plot</t>
  </si>
  <si>
    <t>Phase I - Building No. 11  = G + 7th Floor</t>
  </si>
  <si>
    <t>Phase I - Building No. 4 A Wing = G + 7th Floor</t>
  </si>
  <si>
    <t>Phase I - Building No. 4 B Wing = G + 7th Floor</t>
  </si>
  <si>
    <t>EE/BP/PMAY/A/MHADA/124/2023</t>
  </si>
  <si>
    <t>EE/BP/PMAY/A/MHADA/909/2023</t>
  </si>
  <si>
    <t>We have Updated CC for Building No. 9 (on 18/03/2024).</t>
  </si>
  <si>
    <t xml:space="preserve">Building No. 4(A &amp; B Wing) = G + 1st to 7th Floor </t>
  </si>
  <si>
    <t xml:space="preserve">Building No. 9(A &amp; B Wing) = G + 1st to 7th Floor </t>
  </si>
  <si>
    <t>EE/BP/PMAY/A/MHADA/306/2024</t>
  </si>
  <si>
    <t>Bldg No.5, 6 &amp; 11 = Gr/St + 1st to 7th Floor
Bldg No.2 &amp; 7 = Gr/St + 1st to 11th Floor</t>
  </si>
  <si>
    <t>We have Updated CC for Building No.5, 6, 11, 2 &amp; 7 (dtd.29/04/2024).</t>
  </si>
  <si>
    <t xml:space="preserve">Phase II - Building No. 2 = Gr + 1st to 11th Floor </t>
  </si>
  <si>
    <t xml:space="preserve">Phase II - Building No. 7 = Gr + 1st to 11th Floor </t>
  </si>
  <si>
    <t>Phase I - Building No. 10 (A Wing) = G + 7th Floor</t>
  </si>
  <si>
    <t>Phase I - Building No. 10 (B Wing) = G + 7th Floor</t>
  </si>
  <si>
    <t>EE/BP/PMAY/A/MHADA/326/2024</t>
  </si>
  <si>
    <t>Phase I = Building No. 4, 5, 6, 10 &amp; 11 = G + 1st to 7th Floor 
Phase II = Building No. 1, 2 &amp; 7 = Gr + 1st to 11th Floor
                 Building No. 9 = Gr + 1st to 7th Floor</t>
  </si>
  <si>
    <t xml:space="preserve">Bhargav </t>
  </si>
  <si>
    <t>Building No. 2 Shop 11</t>
  </si>
  <si>
    <t>7000 to 8500</t>
  </si>
  <si>
    <t>We have Updated Approved Plans of all buildings on 21/03/2025.</t>
  </si>
  <si>
    <t xml:space="preserve">Recommended Rates / Other charges of the Property have been revised on 09/05/2023 &amp; 21/03/2025.
</t>
  </si>
  <si>
    <t>18 Buildings</t>
  </si>
  <si>
    <t xml:space="preserve">Phase I = Building No. 4, 5, 6, 10, 11 (Each Building consists of A &amp; B Wings)
Phase II = Building No. 1, 2, 7 &amp; 9 (Each Building consists of A &amp; B Wings)
</t>
  </si>
  <si>
    <t>Jhon Mathew 9930554400</t>
  </si>
  <si>
    <t>Phase I = Building No. 4, 5, 6, 10, 11 (Each Building consists of A &amp; B Wings)</t>
  </si>
  <si>
    <t>Phase II = Building No. 1, 2, 7 &amp; 9 (Each Building consists of A &amp; B Wings)</t>
  </si>
  <si>
    <t>Since the project has received first CC on 01/06/2023., But construction work of Building No. 1 is not yet started.</t>
  </si>
  <si>
    <t>Mr. Nitesh : 7045523045</t>
  </si>
  <si>
    <t xml:space="preserve">Phase II - Building No. 1 (A Wing) = Gr + 1st to 11th Floor </t>
  </si>
  <si>
    <t xml:space="preserve">Phase II - Building No. 1 (B Wing) = Gr + 1st to 11th Floor </t>
  </si>
  <si>
    <t>Bldg No. 1 (A Wing) = Work is same as last visit (20/06/2025).
Bldg No.1 (B Wing), 2, 4, 5, 6, 7 &amp; 11 = Construction work is in process at the time of visit.
Bldg No. 9 = Work is same as last visit (07/08/2024).
Bldg No. 10 (A Wing) = Work is same as last visit (20/06/2025).
Building No. 10 (B Wing) = Work is same as last visit (15/02/2024).</t>
  </si>
  <si>
    <t>Pooja Kawale</t>
  </si>
  <si>
    <t>Gangaram parshuram Lambore</t>
  </si>
  <si>
    <t xml:space="preserve">Validity of CC for building no.10 is expired on 05/05/2023 &amp; construction work goes beyond CC. Please provide revised CC for Building No. 10.
</t>
  </si>
  <si>
    <t xml:space="preserve">Validity of CC for building no.1 is expired on 31/05/2024. Please provide revised CC for Building No.1.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</si>
</sst>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72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24" fillId="0" borderId="29" xfId="0" applyFont="1" applyFill="1" applyBorder="1"/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0" borderId="14" xfId="0" applyFont="1" applyFill="1" applyBorder="1"/>
    <xf numFmtId="0" fontId="25" fillId="0" borderId="8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9" fontId="12" fillId="0" borderId="2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>
      <alignment horizontal="left" vertical="center"/>
    </xf>
    <xf numFmtId="14" fontId="7" fillId="0" borderId="0" xfId="0" applyNumberFormat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29" xfId="1" applyFont="1" applyFill="1" applyBorder="1" applyAlignment="1" applyProtection="1">
      <alignment horizontal="left" vertical="top" wrapText="1"/>
      <protection locked="0"/>
    </xf>
    <xf numFmtId="0" fontId="13" fillId="0" borderId="30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9" fontId="12" fillId="0" borderId="2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3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3" fillId="0" borderId="33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34" xfId="1" applyFont="1" applyFill="1" applyBorder="1" applyAlignment="1" applyProtection="1">
      <alignment horizontal="left" vertical="top" wrapText="1"/>
      <protection locked="0"/>
    </xf>
    <xf numFmtId="0" fontId="13" fillId="0" borderId="35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1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Fill="1" applyBorder="1" applyAlignment="1" applyProtection="1">
      <alignment horizontal="center" vertical="top" wrapText="1"/>
      <protection locked="0"/>
    </xf>
    <xf numFmtId="1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5" xfId="0" applyNumberFormat="1" applyFont="1" applyFill="1" applyBorder="1" applyAlignment="1" applyProtection="1">
      <alignment horizontal="center" vertical="center"/>
      <protection locked="0"/>
    </xf>
    <xf numFmtId="1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4" fontId="8" fillId="0" borderId="7" xfId="1" applyNumberFormat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14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31" xfId="0" applyNumberFormat="1" applyFont="1" applyFill="1" applyBorder="1" applyAlignment="1" applyProtection="1">
      <alignment horizontal="center" vertical="center"/>
      <protection locked="0"/>
    </xf>
    <xf numFmtId="1" fontId="6" fillId="0" borderId="15" xfId="0" applyNumberFormat="1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Alignment="1" applyProtection="1">
      <alignment horizontal="left" vertical="top"/>
      <protection locked="0"/>
    </xf>
    <xf numFmtId="0" fontId="10" fillId="0" borderId="0" xfId="1" applyFont="1" applyFill="1" applyAlignment="1" applyProtection="1">
      <alignment horizontal="left"/>
      <protection locked="0"/>
    </xf>
    <xf numFmtId="168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3" fillId="3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27" fillId="0" borderId="1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302387</xdr:colOff>
      <xdr:row>670</xdr:row>
      <xdr:rowOff>164031</xdr:rowOff>
    </xdr:from>
    <xdr:to>
      <xdr:col>14</xdr:col>
      <xdr:colOff>18459</xdr:colOff>
      <xdr:row>672</xdr:row>
      <xdr:rowOff>142838</xdr:rowOff>
    </xdr:to>
    <xdr:sp macro="" textlink="">
      <xdr:nvSpPr>
        <xdr:cNvPr id="29" name="Rectangle 28"/>
        <xdr:cNvSpPr/>
      </xdr:nvSpPr>
      <xdr:spPr>
        <a:xfrm>
          <a:off x="10932287" y="100567056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No.4</a:t>
          </a:r>
        </a:p>
      </xdr:txBody>
    </xdr:sp>
    <xdr:clientData/>
  </xdr:twoCellAnchor>
  <xdr:twoCellAnchor>
    <xdr:from>
      <xdr:col>10</xdr:col>
      <xdr:colOff>13855</xdr:colOff>
      <xdr:row>681</xdr:row>
      <xdr:rowOff>189760</xdr:rowOff>
    </xdr:from>
    <xdr:to>
      <xdr:col>12</xdr:col>
      <xdr:colOff>539186</xdr:colOff>
      <xdr:row>683</xdr:row>
      <xdr:rowOff>159043</xdr:rowOff>
    </xdr:to>
    <xdr:sp macro="" textlink="">
      <xdr:nvSpPr>
        <xdr:cNvPr id="30" name="Rectangle 29"/>
        <xdr:cNvSpPr/>
      </xdr:nvSpPr>
      <xdr:spPr>
        <a:xfrm>
          <a:off x="9053946" y="122473442"/>
          <a:ext cx="2083967" cy="3849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No.10 &amp; 11</a:t>
          </a:r>
        </a:p>
      </xdr:txBody>
    </xdr:sp>
    <xdr:clientData/>
  </xdr:twoCellAnchor>
  <xdr:twoCellAnchor>
    <xdr:from>
      <xdr:col>11</xdr:col>
      <xdr:colOff>599477</xdr:colOff>
      <xdr:row>685</xdr:row>
      <xdr:rowOff>102157</xdr:rowOff>
    </xdr:from>
    <xdr:to>
      <xdr:col>13</xdr:col>
      <xdr:colOff>467949</xdr:colOff>
      <xdr:row>687</xdr:row>
      <xdr:rowOff>71439</xdr:rowOff>
    </xdr:to>
    <xdr:sp macro="" textlink="">
      <xdr:nvSpPr>
        <xdr:cNvPr id="31" name="Rectangle 30"/>
        <xdr:cNvSpPr/>
      </xdr:nvSpPr>
      <xdr:spPr>
        <a:xfrm>
          <a:off x="10476902" y="103496032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No.6</a:t>
          </a:r>
        </a:p>
      </xdr:txBody>
    </xdr:sp>
    <xdr:clientData/>
  </xdr:twoCellAnchor>
  <xdr:twoCellAnchor>
    <xdr:from>
      <xdr:col>8</xdr:col>
      <xdr:colOff>151805</xdr:colOff>
      <xdr:row>757</xdr:row>
      <xdr:rowOff>148672</xdr:rowOff>
    </xdr:from>
    <xdr:to>
      <xdr:col>9</xdr:col>
      <xdr:colOff>372702</xdr:colOff>
      <xdr:row>759</xdr:row>
      <xdr:rowOff>127479</xdr:rowOff>
    </xdr:to>
    <xdr:sp macro="" textlink="">
      <xdr:nvSpPr>
        <xdr:cNvPr id="14" name="Rectangle 13"/>
        <xdr:cNvSpPr/>
      </xdr:nvSpPr>
      <xdr:spPr>
        <a:xfrm>
          <a:off x="7152680" y="100751722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No.4</a:t>
          </a:r>
        </a:p>
      </xdr:txBody>
    </xdr:sp>
    <xdr:clientData/>
  </xdr:twoCellAnchor>
  <xdr:twoCellAnchor>
    <xdr:from>
      <xdr:col>12</xdr:col>
      <xdr:colOff>302387</xdr:colOff>
      <xdr:row>756</xdr:row>
      <xdr:rowOff>164031</xdr:rowOff>
    </xdr:from>
    <xdr:to>
      <xdr:col>14</xdr:col>
      <xdr:colOff>18459</xdr:colOff>
      <xdr:row>758</xdr:row>
      <xdr:rowOff>142838</xdr:rowOff>
    </xdr:to>
    <xdr:sp macro="" textlink="">
      <xdr:nvSpPr>
        <xdr:cNvPr id="15" name="Rectangle 14"/>
        <xdr:cNvSpPr/>
      </xdr:nvSpPr>
      <xdr:spPr>
        <a:xfrm>
          <a:off x="10932287" y="100567056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No.4</a:t>
          </a:r>
        </a:p>
      </xdr:txBody>
    </xdr:sp>
    <xdr:clientData/>
  </xdr:twoCellAnchor>
  <xdr:twoCellAnchor>
    <xdr:from>
      <xdr:col>10</xdr:col>
      <xdr:colOff>421341</xdr:colOff>
      <xdr:row>766</xdr:row>
      <xdr:rowOff>75664</xdr:rowOff>
    </xdr:from>
    <xdr:to>
      <xdr:col>13</xdr:col>
      <xdr:colOff>95025</xdr:colOff>
      <xdr:row>768</xdr:row>
      <xdr:rowOff>44946</xdr:rowOff>
    </xdr:to>
    <xdr:sp macro="" textlink="">
      <xdr:nvSpPr>
        <xdr:cNvPr id="16" name="Rectangle 15"/>
        <xdr:cNvSpPr/>
      </xdr:nvSpPr>
      <xdr:spPr>
        <a:xfrm>
          <a:off x="9498106" y="115395399"/>
          <a:ext cx="2082948" cy="37269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No.10 &amp; 11</a:t>
          </a:r>
        </a:p>
      </xdr:txBody>
    </xdr:sp>
    <xdr:clientData/>
  </xdr:twoCellAnchor>
  <xdr:twoCellAnchor>
    <xdr:from>
      <xdr:col>11</xdr:col>
      <xdr:colOff>599477</xdr:colOff>
      <xdr:row>771</xdr:row>
      <xdr:rowOff>102157</xdr:rowOff>
    </xdr:from>
    <xdr:to>
      <xdr:col>13</xdr:col>
      <xdr:colOff>467949</xdr:colOff>
      <xdr:row>773</xdr:row>
      <xdr:rowOff>71439</xdr:rowOff>
    </xdr:to>
    <xdr:sp macro="" textlink="">
      <xdr:nvSpPr>
        <xdr:cNvPr id="17" name="Rectangle 16"/>
        <xdr:cNvSpPr/>
      </xdr:nvSpPr>
      <xdr:spPr>
        <a:xfrm>
          <a:off x="10476902" y="103496032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No.6</a:t>
          </a:r>
        </a:p>
      </xdr:txBody>
    </xdr:sp>
    <xdr:clientData/>
  </xdr:twoCellAnchor>
  <xdr:twoCellAnchor editAs="oneCell">
    <xdr:from>
      <xdr:col>2</xdr:col>
      <xdr:colOff>542925</xdr:colOff>
      <xdr:row>756</xdr:row>
      <xdr:rowOff>19050</xdr:rowOff>
    </xdr:from>
    <xdr:to>
      <xdr:col>5</xdr:col>
      <xdr:colOff>279097</xdr:colOff>
      <xdr:row>795</xdr:row>
      <xdr:rowOff>147600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69" t="19812" r="55271" b="5424"/>
        <a:stretch/>
      </xdr:blipFill>
      <xdr:spPr>
        <a:xfrm>
          <a:off x="2181225" y="142627350"/>
          <a:ext cx="2434922" cy="77993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41956</xdr:colOff>
      <xdr:row>799</xdr:row>
      <xdr:rowOff>161925</xdr:rowOff>
    </xdr:from>
    <xdr:to>
      <xdr:col>7</xdr:col>
      <xdr:colOff>41994</xdr:colOff>
      <xdr:row>812</xdr:row>
      <xdr:rowOff>81599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106" y="117948075"/>
          <a:ext cx="5295938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685800</xdr:colOff>
      <xdr:row>818</xdr:row>
      <xdr:rowOff>56032</xdr:rowOff>
    </xdr:from>
    <xdr:to>
      <xdr:col>9</xdr:col>
      <xdr:colOff>573671</xdr:colOff>
      <xdr:row>836</xdr:row>
      <xdr:rowOff>55582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69" t="19812" r="55271" b="5424"/>
        <a:stretch/>
      </xdr:blipFill>
      <xdr:spPr>
        <a:xfrm>
          <a:off x="7700682" y="122637179"/>
          <a:ext cx="1131724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302387</xdr:colOff>
      <xdr:row>713</xdr:row>
      <xdr:rowOff>164031</xdr:rowOff>
    </xdr:from>
    <xdr:to>
      <xdr:col>14</xdr:col>
      <xdr:colOff>18459</xdr:colOff>
      <xdr:row>715</xdr:row>
      <xdr:rowOff>142838</xdr:rowOff>
    </xdr:to>
    <xdr:sp macro="" textlink="">
      <xdr:nvSpPr>
        <xdr:cNvPr id="33" name="Rectangle 32"/>
        <xdr:cNvSpPr/>
      </xdr:nvSpPr>
      <xdr:spPr>
        <a:xfrm>
          <a:off x="10690987" y="122731731"/>
          <a:ext cx="1417872" cy="3661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No.4</a:t>
          </a:r>
        </a:p>
      </xdr:txBody>
    </xdr:sp>
    <xdr:clientData/>
  </xdr:twoCellAnchor>
  <xdr:twoCellAnchor>
    <xdr:from>
      <xdr:col>10</xdr:col>
      <xdr:colOff>13855</xdr:colOff>
      <xdr:row>724</xdr:row>
      <xdr:rowOff>189760</xdr:rowOff>
    </xdr:from>
    <xdr:to>
      <xdr:col>12</xdr:col>
      <xdr:colOff>539186</xdr:colOff>
      <xdr:row>726</xdr:row>
      <xdr:rowOff>159043</xdr:rowOff>
    </xdr:to>
    <xdr:sp macro="" textlink="">
      <xdr:nvSpPr>
        <xdr:cNvPr id="34" name="Rectangle 33"/>
        <xdr:cNvSpPr/>
      </xdr:nvSpPr>
      <xdr:spPr>
        <a:xfrm>
          <a:off x="8878455" y="124916460"/>
          <a:ext cx="2049331" cy="36298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No.10 &amp; 11</a:t>
          </a:r>
        </a:p>
      </xdr:txBody>
    </xdr:sp>
    <xdr:clientData/>
  </xdr:twoCellAnchor>
  <xdr:twoCellAnchor>
    <xdr:from>
      <xdr:col>11</xdr:col>
      <xdr:colOff>599477</xdr:colOff>
      <xdr:row>728</xdr:row>
      <xdr:rowOff>102157</xdr:rowOff>
    </xdr:from>
    <xdr:to>
      <xdr:col>13</xdr:col>
      <xdr:colOff>467949</xdr:colOff>
      <xdr:row>730</xdr:row>
      <xdr:rowOff>71439</xdr:rowOff>
    </xdr:to>
    <xdr:sp macro="" textlink="">
      <xdr:nvSpPr>
        <xdr:cNvPr id="35" name="Rectangle 34"/>
        <xdr:cNvSpPr/>
      </xdr:nvSpPr>
      <xdr:spPr>
        <a:xfrm>
          <a:off x="10251477" y="125616257"/>
          <a:ext cx="1430572" cy="3629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No.6</a:t>
          </a:r>
        </a:p>
      </xdr:txBody>
    </xdr:sp>
    <xdr:clientData/>
  </xdr:twoCellAnchor>
  <xdr:twoCellAnchor>
    <xdr:from>
      <xdr:col>9</xdr:col>
      <xdr:colOff>0</xdr:colOff>
      <xdr:row>671</xdr:row>
      <xdr:rowOff>0</xdr:rowOff>
    </xdr:from>
    <xdr:to>
      <xdr:col>10</xdr:col>
      <xdr:colOff>31750</xdr:colOff>
      <xdr:row>672</xdr:row>
      <xdr:rowOff>74060</xdr:rowOff>
    </xdr:to>
    <xdr:sp macro="" textlink="">
      <xdr:nvSpPr>
        <xdr:cNvPr id="39" name="Rectangle 38"/>
        <xdr:cNvSpPr/>
      </xdr:nvSpPr>
      <xdr:spPr>
        <a:xfrm>
          <a:off x="8064500" y="130022600"/>
          <a:ext cx="831850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No.1A</a:t>
          </a:r>
        </a:p>
      </xdr:txBody>
    </xdr:sp>
    <xdr:clientData/>
  </xdr:twoCellAnchor>
  <xdr:oneCellAnchor>
    <xdr:from>
      <xdr:col>2</xdr:col>
      <xdr:colOff>825500</xdr:colOff>
      <xdr:row>783</xdr:row>
      <xdr:rowOff>171450</xdr:rowOff>
    </xdr:from>
    <xdr:ext cx="366639" cy="311496"/>
    <xdr:sp macro="" textlink="">
      <xdr:nvSpPr>
        <xdr:cNvPr id="2" name="TextBox 1"/>
        <xdr:cNvSpPr txBox="1"/>
      </xdr:nvSpPr>
      <xdr:spPr>
        <a:xfrm>
          <a:off x="2463800" y="1480883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01</a:t>
          </a:r>
        </a:p>
      </xdr:txBody>
    </xdr:sp>
    <xdr:clientData/>
  </xdr:oneCellAnchor>
  <xdr:oneCellAnchor>
    <xdr:from>
      <xdr:col>2</xdr:col>
      <xdr:colOff>717550</xdr:colOff>
      <xdr:row>778</xdr:row>
      <xdr:rowOff>171450</xdr:rowOff>
    </xdr:from>
    <xdr:ext cx="366639" cy="311496"/>
    <xdr:sp macro="" textlink="">
      <xdr:nvSpPr>
        <xdr:cNvPr id="69" name="TextBox 68"/>
        <xdr:cNvSpPr txBox="1"/>
      </xdr:nvSpPr>
      <xdr:spPr>
        <a:xfrm>
          <a:off x="2355850" y="14710410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02</a:t>
          </a:r>
        </a:p>
      </xdr:txBody>
    </xdr:sp>
    <xdr:clientData/>
  </xdr:oneCellAnchor>
  <xdr:oneCellAnchor>
    <xdr:from>
      <xdr:col>2</xdr:col>
      <xdr:colOff>755650</xdr:colOff>
      <xdr:row>774</xdr:row>
      <xdr:rowOff>12700</xdr:rowOff>
    </xdr:from>
    <xdr:ext cx="366639" cy="311496"/>
    <xdr:sp macro="" textlink="">
      <xdr:nvSpPr>
        <xdr:cNvPr id="70" name="TextBox 69"/>
        <xdr:cNvSpPr txBox="1"/>
      </xdr:nvSpPr>
      <xdr:spPr>
        <a:xfrm>
          <a:off x="2393950" y="1461579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03</a:t>
          </a:r>
        </a:p>
      </xdr:txBody>
    </xdr:sp>
    <xdr:clientData/>
  </xdr:oneCellAnchor>
  <xdr:oneCellAnchor>
    <xdr:from>
      <xdr:col>2</xdr:col>
      <xdr:colOff>685800</xdr:colOff>
      <xdr:row>768</xdr:row>
      <xdr:rowOff>63500</xdr:rowOff>
    </xdr:from>
    <xdr:ext cx="366639" cy="311496"/>
    <xdr:sp macro="" textlink="">
      <xdr:nvSpPr>
        <xdr:cNvPr id="71" name="TextBox 70"/>
        <xdr:cNvSpPr txBox="1"/>
      </xdr:nvSpPr>
      <xdr:spPr>
        <a:xfrm>
          <a:off x="2324100" y="1450276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04</a:t>
          </a:r>
        </a:p>
      </xdr:txBody>
    </xdr:sp>
    <xdr:clientData/>
  </xdr:oneCellAnchor>
  <xdr:oneCellAnchor>
    <xdr:from>
      <xdr:col>2</xdr:col>
      <xdr:colOff>704850</xdr:colOff>
      <xdr:row>762</xdr:row>
      <xdr:rowOff>38100</xdr:rowOff>
    </xdr:from>
    <xdr:ext cx="366639" cy="311496"/>
    <xdr:sp macro="" textlink="">
      <xdr:nvSpPr>
        <xdr:cNvPr id="72" name="TextBox 71"/>
        <xdr:cNvSpPr txBox="1"/>
      </xdr:nvSpPr>
      <xdr:spPr>
        <a:xfrm>
          <a:off x="2343150" y="1438211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05</a:t>
          </a:r>
        </a:p>
      </xdr:txBody>
    </xdr:sp>
    <xdr:clientData/>
  </xdr:oneCellAnchor>
  <xdr:oneCellAnchor>
    <xdr:from>
      <xdr:col>3</xdr:col>
      <xdr:colOff>203200</xdr:colOff>
      <xdr:row>757</xdr:row>
      <xdr:rowOff>171450</xdr:rowOff>
    </xdr:from>
    <xdr:ext cx="366639" cy="311496"/>
    <xdr:sp macro="" textlink="">
      <xdr:nvSpPr>
        <xdr:cNvPr id="73" name="TextBox 72"/>
        <xdr:cNvSpPr txBox="1"/>
      </xdr:nvSpPr>
      <xdr:spPr>
        <a:xfrm>
          <a:off x="2730500" y="14297660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06</a:t>
          </a:r>
        </a:p>
      </xdr:txBody>
    </xdr:sp>
    <xdr:clientData/>
  </xdr:oneCellAnchor>
  <xdr:oneCellAnchor>
    <xdr:from>
      <xdr:col>3</xdr:col>
      <xdr:colOff>730250</xdr:colOff>
      <xdr:row>782</xdr:row>
      <xdr:rowOff>6350</xdr:rowOff>
    </xdr:from>
    <xdr:ext cx="366639" cy="311496"/>
    <xdr:sp macro="" textlink="">
      <xdr:nvSpPr>
        <xdr:cNvPr id="74" name="TextBox 73"/>
        <xdr:cNvSpPr txBox="1"/>
      </xdr:nvSpPr>
      <xdr:spPr>
        <a:xfrm>
          <a:off x="3257550" y="14772640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07</a:t>
          </a:r>
        </a:p>
      </xdr:txBody>
    </xdr:sp>
    <xdr:clientData/>
  </xdr:oneCellAnchor>
  <xdr:oneCellAnchor>
    <xdr:from>
      <xdr:col>4</xdr:col>
      <xdr:colOff>215900</xdr:colOff>
      <xdr:row>776</xdr:row>
      <xdr:rowOff>152400</xdr:rowOff>
    </xdr:from>
    <xdr:ext cx="366639" cy="311496"/>
    <xdr:sp macro="" textlink="">
      <xdr:nvSpPr>
        <xdr:cNvPr id="75" name="TextBox 74"/>
        <xdr:cNvSpPr txBox="1"/>
      </xdr:nvSpPr>
      <xdr:spPr>
        <a:xfrm>
          <a:off x="3733800" y="1466913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08</a:t>
          </a:r>
        </a:p>
      </xdr:txBody>
    </xdr:sp>
    <xdr:clientData/>
  </xdr:oneCellAnchor>
  <xdr:oneCellAnchor>
    <xdr:from>
      <xdr:col>4</xdr:col>
      <xdr:colOff>158750</xdr:colOff>
      <xdr:row>772</xdr:row>
      <xdr:rowOff>69850</xdr:rowOff>
    </xdr:from>
    <xdr:ext cx="366639" cy="311496"/>
    <xdr:sp macro="" textlink="">
      <xdr:nvSpPr>
        <xdr:cNvPr id="76" name="TextBox 75"/>
        <xdr:cNvSpPr txBox="1"/>
      </xdr:nvSpPr>
      <xdr:spPr>
        <a:xfrm>
          <a:off x="3676650" y="14582140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09</a:t>
          </a:r>
        </a:p>
      </xdr:txBody>
    </xdr:sp>
    <xdr:clientData/>
  </xdr:oneCellAnchor>
  <xdr:oneCellAnchor>
    <xdr:from>
      <xdr:col>4</xdr:col>
      <xdr:colOff>44450</xdr:colOff>
      <xdr:row>767</xdr:row>
      <xdr:rowOff>31750</xdr:rowOff>
    </xdr:from>
    <xdr:ext cx="366639" cy="311496"/>
    <xdr:sp macro="" textlink="">
      <xdr:nvSpPr>
        <xdr:cNvPr id="77" name="TextBox 76"/>
        <xdr:cNvSpPr txBox="1"/>
      </xdr:nvSpPr>
      <xdr:spPr>
        <a:xfrm>
          <a:off x="3562350" y="1447990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10</a:t>
          </a:r>
        </a:p>
      </xdr:txBody>
    </xdr:sp>
    <xdr:clientData/>
  </xdr:oneCellAnchor>
  <xdr:oneCellAnchor>
    <xdr:from>
      <xdr:col>4</xdr:col>
      <xdr:colOff>190500</xdr:colOff>
      <xdr:row>763</xdr:row>
      <xdr:rowOff>19050</xdr:rowOff>
    </xdr:from>
    <xdr:ext cx="366639" cy="311496"/>
    <xdr:sp macro="" textlink="">
      <xdr:nvSpPr>
        <xdr:cNvPr id="78" name="TextBox 77"/>
        <xdr:cNvSpPr txBox="1"/>
      </xdr:nvSpPr>
      <xdr:spPr>
        <a:xfrm>
          <a:off x="3708400" y="143998950"/>
          <a:ext cx="3666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11</a:t>
          </a:r>
        </a:p>
      </xdr:txBody>
    </xdr:sp>
    <xdr:clientData/>
  </xdr:oneCellAnchor>
  <xdr:twoCellAnchor editAs="oneCell">
    <xdr:from>
      <xdr:col>8</xdr:col>
      <xdr:colOff>857250</xdr:colOff>
      <xdr:row>286</xdr:row>
      <xdr:rowOff>190500</xdr:rowOff>
    </xdr:from>
    <xdr:to>
      <xdr:col>15</xdr:col>
      <xdr:colOff>73043</xdr:colOff>
      <xdr:row>303</xdr:row>
      <xdr:rowOff>171000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58750200"/>
          <a:ext cx="4883168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671</xdr:row>
      <xdr:rowOff>0</xdr:rowOff>
    </xdr:from>
    <xdr:to>
      <xdr:col>10</xdr:col>
      <xdr:colOff>535809</xdr:colOff>
      <xdr:row>672</xdr:row>
      <xdr:rowOff>74060</xdr:rowOff>
    </xdr:to>
    <xdr:sp macro="" textlink="">
      <xdr:nvSpPr>
        <xdr:cNvPr id="55" name="Rectangle 54"/>
        <xdr:cNvSpPr/>
      </xdr:nvSpPr>
      <xdr:spPr>
        <a:xfrm>
          <a:off x="8864600" y="130022600"/>
          <a:ext cx="535809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2</a:t>
          </a:r>
        </a:p>
      </xdr:txBody>
    </xdr:sp>
    <xdr:clientData/>
  </xdr:twoCellAnchor>
  <xdr:twoCellAnchor>
    <xdr:from>
      <xdr:col>0</xdr:col>
      <xdr:colOff>361950</xdr:colOff>
      <xdr:row>669</xdr:row>
      <xdr:rowOff>133350</xdr:rowOff>
    </xdr:from>
    <xdr:to>
      <xdr:col>7</xdr:col>
      <xdr:colOff>728477</xdr:colOff>
      <xdr:row>709</xdr:row>
      <xdr:rowOff>49047</xdr:rowOff>
    </xdr:to>
    <xdr:grpSp>
      <xdr:nvGrpSpPr>
        <xdr:cNvPr id="4" name="Group 3"/>
        <xdr:cNvGrpSpPr/>
      </xdr:nvGrpSpPr>
      <xdr:grpSpPr>
        <a:xfrm>
          <a:off x="361950" y="129552700"/>
          <a:ext cx="6341877" cy="7783347"/>
          <a:chOff x="361950" y="129762250"/>
          <a:chExt cx="6341877" cy="7783347"/>
        </a:xfrm>
      </xdr:grpSpPr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9915" y="1297622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7027" y="1297622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13202547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1443" y="13202547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0936" y="13202547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468" y="13484559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3211" y="13484559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8603" y="13484559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2" name="Rectangle 91"/>
          <xdr:cNvSpPr/>
        </xdr:nvSpPr>
        <xdr:spPr>
          <a:xfrm>
            <a:off x="1698315" y="130695700"/>
            <a:ext cx="831850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No.1A</a:t>
            </a:r>
          </a:p>
        </xdr:txBody>
      </xdr:sp>
    </xdr:grpSp>
    <xdr:clientData/>
  </xdr:twoCellAnchor>
  <xdr:twoCellAnchor>
    <xdr:from>
      <xdr:col>0</xdr:col>
      <xdr:colOff>95250</xdr:colOff>
      <xdr:row>712</xdr:row>
      <xdr:rowOff>127000</xdr:rowOff>
    </xdr:from>
    <xdr:to>
      <xdr:col>7</xdr:col>
      <xdr:colOff>746720</xdr:colOff>
      <xdr:row>752</xdr:row>
      <xdr:rowOff>122452</xdr:rowOff>
    </xdr:to>
    <xdr:grpSp>
      <xdr:nvGrpSpPr>
        <xdr:cNvPr id="6" name="Group 5"/>
        <xdr:cNvGrpSpPr/>
      </xdr:nvGrpSpPr>
      <xdr:grpSpPr>
        <a:xfrm>
          <a:off x="95250" y="138004550"/>
          <a:ext cx="6626820" cy="7863102"/>
          <a:chOff x="95250" y="138214100"/>
          <a:chExt cx="6626820" cy="7863102"/>
        </a:xfrm>
      </xdr:grpSpPr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21554" y="14427720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570" y="1382141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5912" y="13821410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828" y="14047513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8631" y="140475134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3935" y="140475134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4217" y="142376168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82685" y="14237616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0" y="14237616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51652" y="142376168"/>
            <a:ext cx="117041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3086" y="144277202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3" name="Rectangle 92"/>
          <xdr:cNvSpPr/>
        </xdr:nvSpPr>
        <xdr:spPr>
          <a:xfrm>
            <a:off x="659878" y="140525934"/>
            <a:ext cx="53580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7</a:t>
            </a:r>
          </a:p>
        </xdr:txBody>
      </xdr:sp>
    </xdr:grpSp>
    <xdr:clientData/>
  </xdr:twoCellAnchor>
  <xdr:twoCellAnchor>
    <xdr:from>
      <xdr:col>1</xdr:col>
      <xdr:colOff>234951</xdr:colOff>
      <xdr:row>812</xdr:row>
      <xdr:rowOff>171450</xdr:rowOff>
    </xdr:from>
    <xdr:to>
      <xdr:col>6</xdr:col>
      <xdr:colOff>591342</xdr:colOff>
      <xdr:row>838</xdr:row>
      <xdr:rowOff>93350</xdr:rowOff>
    </xdr:to>
    <xdr:grpSp>
      <xdr:nvGrpSpPr>
        <xdr:cNvPr id="7" name="Group 6"/>
        <xdr:cNvGrpSpPr/>
      </xdr:nvGrpSpPr>
      <xdr:grpSpPr>
        <a:xfrm>
          <a:off x="1035051" y="157721300"/>
          <a:ext cx="4712491" cy="5040000"/>
          <a:chOff x="1035051" y="157930850"/>
          <a:chExt cx="4712491" cy="5040000"/>
        </a:xfrm>
      </xdr:grpSpPr>
      <xdr:pic>
        <xdr:nvPicPr>
          <xdr:cNvPr id="94" name="Picture 93"/>
          <xdr:cNvPicPr>
            <a:picLocks noChangeAspect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35051" y="157930850"/>
            <a:ext cx="4712491" cy="50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5" name="TextBox 94"/>
          <xdr:cNvSpPr txBox="1"/>
        </xdr:nvSpPr>
        <xdr:spPr>
          <a:xfrm>
            <a:off x="3689351" y="16156940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01</a:t>
            </a:r>
          </a:p>
        </xdr:txBody>
      </xdr:sp>
      <xdr:sp macro="" textlink="">
        <xdr:nvSpPr>
          <xdr:cNvPr id="96" name="TextBox 95"/>
          <xdr:cNvSpPr txBox="1"/>
        </xdr:nvSpPr>
        <xdr:spPr>
          <a:xfrm>
            <a:off x="3568701" y="1610042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02</a:t>
            </a:r>
          </a:p>
        </xdr:txBody>
      </xdr:sp>
      <xdr:sp macro="" textlink="">
        <xdr:nvSpPr>
          <xdr:cNvPr id="97" name="TextBox 96"/>
          <xdr:cNvSpPr txBox="1"/>
        </xdr:nvSpPr>
        <xdr:spPr>
          <a:xfrm>
            <a:off x="3683001" y="16045180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03</a:t>
            </a:r>
          </a:p>
        </xdr:txBody>
      </xdr:sp>
      <xdr:sp macro="" textlink="">
        <xdr:nvSpPr>
          <xdr:cNvPr id="98" name="TextBox 97"/>
          <xdr:cNvSpPr txBox="1"/>
        </xdr:nvSpPr>
        <xdr:spPr>
          <a:xfrm>
            <a:off x="3543301" y="1599120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04</a:t>
            </a:r>
          </a:p>
        </xdr:txBody>
      </xdr:sp>
      <xdr:sp macro="" textlink="">
        <xdr:nvSpPr>
          <xdr:cNvPr id="99" name="TextBox 98"/>
          <xdr:cNvSpPr txBox="1"/>
        </xdr:nvSpPr>
        <xdr:spPr>
          <a:xfrm>
            <a:off x="3587751" y="1591881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05</a:t>
            </a:r>
          </a:p>
        </xdr:txBody>
      </xdr:sp>
      <xdr:sp macro="" textlink="">
        <xdr:nvSpPr>
          <xdr:cNvPr id="100" name="TextBox 99"/>
          <xdr:cNvSpPr txBox="1"/>
        </xdr:nvSpPr>
        <xdr:spPr>
          <a:xfrm>
            <a:off x="3835401" y="15869920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06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4286251" y="1613725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07</a:t>
            </a:r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4229101" y="16082010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08</a:t>
            </a: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4133851" y="1603057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09</a:t>
            </a: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4032251" y="1597342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10</a:t>
            </a:r>
          </a:p>
        </xdr:txBody>
      </xdr:sp>
      <xdr:sp macro="" textlink="">
        <xdr:nvSpPr>
          <xdr:cNvPr id="105" name="TextBox 104"/>
          <xdr:cNvSpPr txBox="1"/>
        </xdr:nvSpPr>
        <xdr:spPr>
          <a:xfrm>
            <a:off x="4114801" y="159200850"/>
            <a:ext cx="36663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11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1285191</xdr:colOff>
      <xdr:row>37</xdr:row>
      <xdr:rowOff>129000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768375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205024</xdr:colOff>
      <xdr:row>15</xdr:row>
      <xdr:rowOff>62848</xdr:rowOff>
    </xdr:from>
    <xdr:to>
      <xdr:col>19</xdr:col>
      <xdr:colOff>380833</xdr:colOff>
      <xdr:row>38</xdr:row>
      <xdr:rowOff>1348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9789" y="2931554"/>
          <a:ext cx="768375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CzLpJN8SjGyDbT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799"/>
  <sheetViews>
    <sheetView tabSelected="1" view="pageBreakPreview" topLeftCell="A642" zoomScaleNormal="100" zoomScaleSheetLayoutView="100" workbookViewId="0">
      <selection activeCell="B657" sqref="B657:H657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2.453125" style="41" customWidth="1"/>
    <col min="9" max="9" width="17.453125" style="21" customWidth="1"/>
    <col min="10" max="10" width="11.453125" style="21" customWidth="1"/>
    <col min="11" max="11" width="11.2695312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220" t="s">
        <v>230</v>
      </c>
      <c r="B1" s="220"/>
      <c r="C1" s="220"/>
      <c r="D1" s="220"/>
      <c r="E1" s="220"/>
      <c r="F1" s="220"/>
      <c r="G1" s="220"/>
      <c r="H1" s="220"/>
    </row>
    <row r="2" spans="1:8" ht="16.5" customHeight="1" x14ac:dyDescent="0.35">
      <c r="A2" s="221" t="s">
        <v>0</v>
      </c>
      <c r="B2" s="221"/>
      <c r="C2" s="221"/>
      <c r="D2" s="221"/>
      <c r="E2" s="221"/>
      <c r="F2" s="221"/>
      <c r="G2" s="221"/>
      <c r="H2" s="221"/>
    </row>
    <row r="3" spans="1:8" x14ac:dyDescent="0.35">
      <c r="A3" s="206" t="s">
        <v>1</v>
      </c>
      <c r="B3" s="206"/>
      <c r="C3" s="206"/>
      <c r="D3" s="206"/>
      <c r="E3" s="206" t="str">
        <f ca="1">TEXT(TODAY(),"DD/MM/YYYY")</f>
        <v>05/08/2025</v>
      </c>
      <c r="F3" s="206"/>
      <c r="G3" s="206"/>
      <c r="H3" s="206"/>
    </row>
    <row r="4" spans="1:8" ht="15" customHeight="1" x14ac:dyDescent="0.35">
      <c r="A4" s="206" t="s">
        <v>2</v>
      </c>
      <c r="B4" s="206"/>
      <c r="C4" s="206"/>
      <c r="D4" s="206"/>
      <c r="E4" s="206" t="s">
        <v>181</v>
      </c>
      <c r="F4" s="206"/>
      <c r="G4" s="206"/>
      <c r="H4" s="206"/>
    </row>
    <row r="5" spans="1:8" x14ac:dyDescent="0.35">
      <c r="A5" s="206" t="s">
        <v>3</v>
      </c>
      <c r="B5" s="206"/>
      <c r="C5" s="206"/>
      <c r="D5" s="206"/>
      <c r="E5" s="223">
        <v>45874</v>
      </c>
      <c r="F5" s="150"/>
      <c r="G5" s="150"/>
      <c r="H5" s="150"/>
    </row>
    <row r="6" spans="1:8" ht="16.5" customHeight="1" x14ac:dyDescent="0.35">
      <c r="A6" s="206" t="s">
        <v>4</v>
      </c>
      <c r="B6" s="206"/>
      <c r="C6" s="206"/>
      <c r="D6" s="206"/>
      <c r="E6" s="150" t="s">
        <v>220</v>
      </c>
      <c r="F6" s="150"/>
      <c r="G6" s="150"/>
      <c r="H6" s="150"/>
    </row>
    <row r="7" spans="1:8" ht="15" customHeight="1" x14ac:dyDescent="0.35">
      <c r="A7" s="206" t="s">
        <v>5</v>
      </c>
      <c r="B7" s="206"/>
      <c r="C7" s="206"/>
      <c r="D7" s="206"/>
      <c r="E7" s="150" t="str">
        <f>E6</f>
        <v>M/s.Charms Developers</v>
      </c>
      <c r="F7" s="150"/>
      <c r="G7" s="150"/>
      <c r="H7" s="150"/>
    </row>
    <row r="8" spans="1:8" x14ac:dyDescent="0.35">
      <c r="A8" s="206" t="s">
        <v>6</v>
      </c>
      <c r="B8" s="206"/>
      <c r="C8" s="206"/>
      <c r="D8" s="206"/>
      <c r="E8" s="222" t="s">
        <v>232</v>
      </c>
      <c r="F8" s="222"/>
      <c r="G8" s="222"/>
      <c r="H8" s="222"/>
    </row>
    <row r="9" spans="1:8" x14ac:dyDescent="0.35">
      <c r="A9" s="206" t="s">
        <v>118</v>
      </c>
      <c r="B9" s="206"/>
      <c r="C9" s="206"/>
      <c r="D9" s="206"/>
      <c r="E9" s="150" t="s">
        <v>276</v>
      </c>
      <c r="F9" s="150"/>
      <c r="G9" s="150"/>
      <c r="H9" s="150"/>
    </row>
    <row r="10" spans="1:8" x14ac:dyDescent="0.35">
      <c r="A10" s="206" t="s">
        <v>222</v>
      </c>
      <c r="B10" s="206"/>
      <c r="C10" s="206"/>
      <c r="D10" s="206"/>
      <c r="E10" s="150" t="s">
        <v>280</v>
      </c>
      <c r="F10" s="150"/>
      <c r="G10" s="150"/>
      <c r="H10" s="150"/>
    </row>
    <row r="11" spans="1:8" ht="65.25" customHeight="1" x14ac:dyDescent="0.35">
      <c r="A11" s="206" t="s">
        <v>7</v>
      </c>
      <c r="B11" s="206"/>
      <c r="C11" s="206"/>
      <c r="D11" s="206"/>
      <c r="E11" s="149" t="s">
        <v>275</v>
      </c>
      <c r="F11" s="150"/>
      <c r="G11" s="150"/>
      <c r="H11" s="150"/>
    </row>
    <row r="12" spans="1:8" x14ac:dyDescent="0.35">
      <c r="A12" s="206" t="s">
        <v>8</v>
      </c>
      <c r="B12" s="206"/>
      <c r="C12" s="206"/>
      <c r="D12" s="206"/>
      <c r="E12" s="207" t="s">
        <v>182</v>
      </c>
      <c r="F12" s="207"/>
      <c r="G12" s="207"/>
      <c r="H12" s="207"/>
    </row>
    <row r="13" spans="1:8" ht="34.5" customHeight="1" x14ac:dyDescent="0.35">
      <c r="A13" s="206" t="s">
        <v>9</v>
      </c>
      <c r="B13" s="206"/>
      <c r="C13" s="206"/>
      <c r="D13" s="206"/>
      <c r="E13" s="207" t="s">
        <v>248</v>
      </c>
      <c r="F13" s="206"/>
      <c r="G13" s="206"/>
      <c r="H13" s="206"/>
    </row>
    <row r="14" spans="1:8" ht="48.75" customHeight="1" x14ac:dyDescent="0.35">
      <c r="A14" s="205" t="s">
        <v>10</v>
      </c>
      <c r="B14" s="205"/>
      <c r="C14" s="20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Charms Padmavati Royal Phase I &amp; II, Survey No.89/1(A), 95/1(A), 95/2, 95/10, near Sai Icon Residency, Titwala - Goveli Road, Titwala, Titwala, Titwala east, Kalyan, Thane - 421605.</v>
      </c>
      <c r="D14" s="205"/>
      <c r="E14" s="205"/>
      <c r="F14" s="205"/>
      <c r="G14" s="205"/>
      <c r="H14" s="205"/>
    </row>
    <row r="15" spans="1:8" x14ac:dyDescent="0.35">
      <c r="A15" s="207" t="s">
        <v>162</v>
      </c>
      <c r="B15" s="207"/>
      <c r="C15" s="207" t="s">
        <v>221</v>
      </c>
      <c r="D15" s="207"/>
      <c r="E15" s="207"/>
      <c r="F15" s="207"/>
      <c r="G15" s="207"/>
      <c r="H15" s="207"/>
    </row>
    <row r="16" spans="1:8" ht="15.75" customHeight="1" x14ac:dyDescent="0.35">
      <c r="A16" s="114" t="s">
        <v>159</v>
      </c>
      <c r="B16" s="115"/>
      <c r="C16" s="114" t="s">
        <v>164</v>
      </c>
      <c r="D16" s="116"/>
      <c r="E16" s="116"/>
      <c r="F16" s="116"/>
      <c r="G16" s="116"/>
      <c r="H16" s="115"/>
    </row>
    <row r="17" spans="1:8" ht="15.75" customHeight="1" x14ac:dyDescent="0.35">
      <c r="A17" s="205" t="s">
        <v>11</v>
      </c>
      <c r="B17" s="205"/>
      <c r="C17" s="206" t="s">
        <v>215</v>
      </c>
      <c r="D17" s="206"/>
      <c r="E17" s="205" t="s">
        <v>160</v>
      </c>
      <c r="F17" s="205"/>
      <c r="G17" s="207" t="s">
        <v>164</v>
      </c>
      <c r="H17" s="207"/>
    </row>
    <row r="18" spans="1:8" x14ac:dyDescent="0.35">
      <c r="A18" s="183" t="s">
        <v>13</v>
      </c>
      <c r="B18" s="183"/>
      <c r="C18" s="207" t="s">
        <v>183</v>
      </c>
      <c r="D18" s="207"/>
      <c r="E18" s="205" t="s">
        <v>12</v>
      </c>
      <c r="F18" s="205"/>
      <c r="G18" s="219" t="s">
        <v>166</v>
      </c>
      <c r="H18" s="219"/>
    </row>
    <row r="19" spans="1:8" x14ac:dyDescent="0.35">
      <c r="A19" s="183" t="s">
        <v>72</v>
      </c>
      <c r="B19" s="183"/>
      <c r="C19" s="207" t="s">
        <v>165</v>
      </c>
      <c r="D19" s="207"/>
      <c r="E19" s="205" t="s">
        <v>14</v>
      </c>
      <c r="F19" s="205"/>
      <c r="G19" s="207">
        <v>421605</v>
      </c>
      <c r="H19" s="207"/>
    </row>
    <row r="20" spans="1:8" ht="32.25" customHeight="1" x14ac:dyDescent="0.35">
      <c r="A20" s="183" t="s">
        <v>120</v>
      </c>
      <c r="B20" s="183"/>
      <c r="C20" s="207" t="s">
        <v>184</v>
      </c>
      <c r="D20" s="207"/>
      <c r="E20" s="205" t="s">
        <v>15</v>
      </c>
      <c r="F20" s="205"/>
      <c r="G20" s="207" t="s">
        <v>168</v>
      </c>
      <c r="H20" s="207"/>
    </row>
    <row r="21" spans="1:8" ht="15" customHeight="1" x14ac:dyDescent="0.35">
      <c r="A21" s="205" t="s">
        <v>75</v>
      </c>
      <c r="B21" s="205"/>
      <c r="C21" s="205"/>
      <c r="D21" s="205"/>
      <c r="E21" s="206" t="s">
        <v>16</v>
      </c>
      <c r="F21" s="206"/>
      <c r="G21" s="206"/>
      <c r="H21" s="206"/>
    </row>
    <row r="22" spans="1:8" ht="18.75" customHeight="1" x14ac:dyDescent="0.35">
      <c r="A22" s="205"/>
      <c r="B22" s="205"/>
      <c r="C22" s="205"/>
      <c r="D22" s="205"/>
      <c r="E22" s="206"/>
      <c r="F22" s="206"/>
      <c r="G22" s="206"/>
      <c r="H22" s="206"/>
    </row>
    <row r="23" spans="1:8" ht="15" customHeight="1" x14ac:dyDescent="0.35">
      <c r="A23" s="205" t="s">
        <v>17</v>
      </c>
      <c r="B23" s="205"/>
      <c r="C23" s="205"/>
      <c r="D23" s="205"/>
      <c r="E23" s="207" t="s">
        <v>18</v>
      </c>
      <c r="F23" s="207"/>
      <c r="G23" s="207"/>
      <c r="H23" s="207"/>
    </row>
    <row r="24" spans="1:8" ht="15" customHeight="1" x14ac:dyDescent="0.35">
      <c r="A24" s="183" t="s">
        <v>19</v>
      </c>
      <c r="B24" s="183"/>
      <c r="C24" s="183"/>
      <c r="D24" s="183"/>
      <c r="E24" s="207" t="str">
        <f>IF(AND(G18="Mumbai"),"Upper Class","Middle Class")</f>
        <v>Middle Class</v>
      </c>
      <c r="F24" s="207"/>
      <c r="G24" s="207"/>
      <c r="H24" s="207"/>
    </row>
    <row r="25" spans="1:8" x14ac:dyDescent="0.35">
      <c r="A25" s="183" t="s">
        <v>20</v>
      </c>
      <c r="B25" s="183"/>
      <c r="C25" s="183"/>
      <c r="D25" s="183"/>
      <c r="E25" s="207" t="s">
        <v>21</v>
      </c>
      <c r="F25" s="207"/>
      <c r="G25" s="207"/>
      <c r="H25" s="207"/>
    </row>
    <row r="26" spans="1:8" ht="15.75" customHeight="1" x14ac:dyDescent="0.35">
      <c r="A26" s="183" t="s">
        <v>22</v>
      </c>
      <c r="B26" s="183"/>
      <c r="C26" s="183"/>
      <c r="D26" s="183"/>
      <c r="E26" s="207" t="str">
        <f>IF(AND(G18="Mumbai"),"Developed","Developing")</f>
        <v>Developing</v>
      </c>
      <c r="F26" s="207"/>
      <c r="G26" s="207"/>
      <c r="H26" s="207"/>
    </row>
    <row r="27" spans="1:8" x14ac:dyDescent="0.35">
      <c r="A27" s="183" t="s">
        <v>23</v>
      </c>
      <c r="B27" s="183"/>
      <c r="C27" s="183"/>
      <c r="D27" s="183"/>
      <c r="E27" s="207" t="s">
        <v>24</v>
      </c>
      <c r="F27" s="207"/>
      <c r="G27" s="207"/>
      <c r="H27" s="207"/>
    </row>
    <row r="28" spans="1:8" ht="15.75" customHeight="1" x14ac:dyDescent="0.35">
      <c r="A28" s="183" t="s">
        <v>80</v>
      </c>
      <c r="B28" s="183"/>
      <c r="C28" s="183"/>
      <c r="D28" s="183"/>
      <c r="E28" s="207" t="s">
        <v>81</v>
      </c>
      <c r="F28" s="207"/>
      <c r="G28" s="207"/>
      <c r="H28" s="207"/>
    </row>
    <row r="29" spans="1:8" ht="15" customHeight="1" x14ac:dyDescent="0.35">
      <c r="A29" s="183" t="s">
        <v>32</v>
      </c>
      <c r="B29" s="183"/>
      <c r="C29" s="183"/>
      <c r="D29" s="183"/>
      <c r="E29" s="207" t="str">
        <f>IF(AND(ISNUMBER(SEARCH("Flat",D64)),ISNUMBER(SEARCH("Shop",D64)),ISNUMBER(SEARCH("Office",D64))),"Residential + Commercial",IF(AND(ISNUMBER(SEARCH("Flat",D64)),ISNUMBER(SEARCH("Shop",D64))),"Residential + Commercial",IF(AND(ISNUMBER(SEARCH("Flat",D64)),ISNUMBER(SEARCH("Office",D64))),"Residential + Commercial",IF(AND(ISNUMBER(SEARCH("Shop",D64)),ISNUMBER(SEARCH("Office",D64))),"Commercial",IF(ISNUMBER(SEARCH("Shop",D64)),"Commercial",IF(ISNUMBER(SEARCH("Office",D64)),"Commercial",IF(ISNUMBER(SEARCH("Flat",D64)),"Residential")))))))</f>
        <v>Residential + Commercial</v>
      </c>
      <c r="F29" s="207"/>
      <c r="G29" s="207"/>
      <c r="H29" s="207"/>
    </row>
    <row r="30" spans="1:8" ht="15.75" customHeight="1" x14ac:dyDescent="0.35">
      <c r="A30" s="183" t="s">
        <v>92</v>
      </c>
      <c r="B30" s="183"/>
      <c r="C30" s="183"/>
      <c r="D30" s="183"/>
      <c r="E30" s="207" t="s">
        <v>33</v>
      </c>
      <c r="F30" s="207"/>
      <c r="G30" s="207"/>
      <c r="H30" s="207"/>
    </row>
    <row r="31" spans="1:8" s="22" customFormat="1" x14ac:dyDescent="0.35">
      <c r="A31" s="227" t="s">
        <v>93</v>
      </c>
      <c r="B31" s="227"/>
      <c r="C31" s="226" t="s">
        <v>249</v>
      </c>
      <c r="D31" s="226"/>
      <c r="E31" s="226"/>
      <c r="F31" s="226" t="s">
        <v>30</v>
      </c>
      <c r="G31" s="226"/>
      <c r="H31" s="226"/>
    </row>
    <row r="32" spans="1:8" s="22" customFormat="1" x14ac:dyDescent="0.35">
      <c r="A32" s="224" t="s">
        <v>25</v>
      </c>
      <c r="B32" s="224" t="s">
        <v>29</v>
      </c>
      <c r="C32" s="225" t="s">
        <v>251</v>
      </c>
      <c r="D32" s="225"/>
      <c r="E32" s="225"/>
      <c r="F32" s="225" t="s">
        <v>163</v>
      </c>
      <c r="G32" s="225"/>
      <c r="H32" s="225"/>
    </row>
    <row r="33" spans="1:8" x14ac:dyDescent="0.35">
      <c r="A33" s="224" t="s">
        <v>26</v>
      </c>
      <c r="B33" s="224" t="s">
        <v>29</v>
      </c>
      <c r="C33" s="225" t="s">
        <v>250</v>
      </c>
      <c r="D33" s="225"/>
      <c r="E33" s="225"/>
      <c r="F33" s="225" t="s">
        <v>167</v>
      </c>
      <c r="G33" s="225"/>
      <c r="H33" s="225"/>
    </row>
    <row r="34" spans="1:8" s="22" customFormat="1" x14ac:dyDescent="0.35">
      <c r="A34" s="224" t="s">
        <v>28</v>
      </c>
      <c r="B34" s="224" t="s">
        <v>29</v>
      </c>
      <c r="C34" s="225" t="s">
        <v>251</v>
      </c>
      <c r="D34" s="225"/>
      <c r="E34" s="225"/>
      <c r="F34" s="225" t="s">
        <v>163</v>
      </c>
      <c r="G34" s="225"/>
      <c r="H34" s="225"/>
    </row>
    <row r="35" spans="1:8" x14ac:dyDescent="0.35">
      <c r="A35" s="224" t="s">
        <v>27</v>
      </c>
      <c r="B35" s="224" t="s">
        <v>29</v>
      </c>
      <c r="C35" s="225" t="s">
        <v>251</v>
      </c>
      <c r="D35" s="225"/>
      <c r="E35" s="225"/>
      <c r="F35" s="225" t="s">
        <v>163</v>
      </c>
      <c r="G35" s="225"/>
      <c r="H35" s="225"/>
    </row>
    <row r="36" spans="1:8" x14ac:dyDescent="0.35">
      <c r="A36" s="183" t="s">
        <v>31</v>
      </c>
      <c r="B36" s="183"/>
      <c r="C36" s="183"/>
      <c r="D36" s="183"/>
      <c r="E36" s="183"/>
      <c r="F36" s="183"/>
      <c r="G36" s="183"/>
      <c r="H36" s="183"/>
    </row>
    <row r="37" spans="1:8" ht="15.75" customHeight="1" x14ac:dyDescent="0.35">
      <c r="A37" s="221" t="s">
        <v>231</v>
      </c>
      <c r="B37" s="221"/>
      <c r="C37" s="260" t="s">
        <v>243</v>
      </c>
      <c r="D37" s="260"/>
      <c r="E37" s="260"/>
      <c r="F37" s="260"/>
      <c r="G37" s="260"/>
      <c r="H37" s="260"/>
    </row>
    <row r="38" spans="1:8" x14ac:dyDescent="0.35">
      <c r="A38" s="221" t="s">
        <v>158</v>
      </c>
      <c r="B38" s="221"/>
      <c r="C38" s="246" t="s">
        <v>185</v>
      </c>
      <c r="D38" s="207"/>
      <c r="E38" s="207"/>
      <c r="F38" s="207"/>
      <c r="G38" s="207"/>
      <c r="H38" s="207"/>
    </row>
    <row r="39" spans="1:8" x14ac:dyDescent="0.35">
      <c r="A39" s="199" t="s">
        <v>34</v>
      </c>
      <c r="B39" s="199"/>
      <c r="C39" s="199"/>
      <c r="D39" s="199"/>
      <c r="E39" s="199"/>
      <c r="F39" s="199"/>
      <c r="G39" s="199"/>
      <c r="H39" s="199"/>
    </row>
    <row r="40" spans="1:8" x14ac:dyDescent="0.35">
      <c r="A40" s="183" t="s">
        <v>35</v>
      </c>
      <c r="B40" s="183"/>
      <c r="C40" s="183"/>
      <c r="D40" s="183"/>
      <c r="E40" s="235">
        <v>32553.45</v>
      </c>
      <c r="F40" s="235"/>
      <c r="G40" s="235"/>
      <c r="H40" s="235"/>
    </row>
    <row r="41" spans="1:8" x14ac:dyDescent="0.35">
      <c r="A41" s="183" t="s">
        <v>36</v>
      </c>
      <c r="B41" s="183"/>
      <c r="C41" s="183"/>
      <c r="D41" s="183"/>
      <c r="E41" s="188">
        <v>1</v>
      </c>
      <c r="F41" s="188"/>
      <c r="G41" s="188"/>
      <c r="H41" s="188"/>
    </row>
    <row r="42" spans="1:8" x14ac:dyDescent="0.35">
      <c r="A42" s="183" t="s">
        <v>37</v>
      </c>
      <c r="B42" s="183"/>
      <c r="C42" s="183"/>
      <c r="D42" s="183"/>
      <c r="E42" s="188">
        <f>E44/E40-E41</f>
        <v>0.53081654939799017</v>
      </c>
      <c r="F42" s="188"/>
      <c r="G42" s="188"/>
      <c r="H42" s="188"/>
    </row>
    <row r="43" spans="1:8" x14ac:dyDescent="0.35">
      <c r="A43" s="183" t="s">
        <v>38</v>
      </c>
      <c r="B43" s="183"/>
      <c r="C43" s="183"/>
      <c r="D43" s="183"/>
      <c r="E43" s="188">
        <f>E41+E42</f>
        <v>1.5308165493979902</v>
      </c>
      <c r="F43" s="188"/>
      <c r="G43" s="188"/>
      <c r="H43" s="188"/>
    </row>
    <row r="44" spans="1:8" x14ac:dyDescent="0.35">
      <c r="A44" s="183" t="s">
        <v>91</v>
      </c>
      <c r="B44" s="183"/>
      <c r="C44" s="183"/>
      <c r="D44" s="183"/>
      <c r="E44" s="229">
        <v>49833.36</v>
      </c>
      <c r="F44" s="229"/>
      <c r="G44" s="229"/>
      <c r="H44" s="229"/>
    </row>
    <row r="45" spans="1:8" x14ac:dyDescent="0.35">
      <c r="A45" s="206" t="s">
        <v>39</v>
      </c>
      <c r="B45" s="206"/>
      <c r="C45" s="206"/>
      <c r="D45" s="206"/>
      <c r="E45" s="206" t="s">
        <v>274</v>
      </c>
      <c r="F45" s="206"/>
      <c r="G45" s="206"/>
      <c r="H45" s="206"/>
    </row>
    <row r="46" spans="1:8" x14ac:dyDescent="0.35">
      <c r="A46" s="199" t="s">
        <v>40</v>
      </c>
      <c r="B46" s="199"/>
      <c r="C46" s="199"/>
      <c r="D46" s="199"/>
      <c r="E46" s="199"/>
      <c r="F46" s="199"/>
      <c r="G46" s="199"/>
      <c r="H46" s="199"/>
    </row>
    <row r="47" spans="1:8" ht="33.75" customHeight="1" x14ac:dyDescent="0.35">
      <c r="A47" s="124" t="s">
        <v>149</v>
      </c>
      <c r="B47" s="126"/>
      <c r="C47" s="247" t="s">
        <v>186</v>
      </c>
      <c r="D47" s="248"/>
      <c r="E47" s="248"/>
      <c r="F47" s="248"/>
      <c r="G47" s="248"/>
      <c r="H47" s="249"/>
    </row>
    <row r="48" spans="1:8" ht="15.75" customHeight="1" x14ac:dyDescent="0.35">
      <c r="A48" s="124" t="s">
        <v>41</v>
      </c>
      <c r="B48" s="126"/>
      <c r="C48" s="114" t="s">
        <v>267</v>
      </c>
      <c r="D48" s="116"/>
      <c r="E48" s="115"/>
      <c r="F48" s="20" t="s">
        <v>42</v>
      </c>
      <c r="G48" s="117">
        <v>45418</v>
      </c>
      <c r="H48" s="115"/>
    </row>
    <row r="49" spans="1:9" ht="15.75" customHeight="1" x14ac:dyDescent="0.35">
      <c r="A49" s="114" t="s">
        <v>43</v>
      </c>
      <c r="B49" s="115"/>
      <c r="C49" s="114" t="s">
        <v>267</v>
      </c>
      <c r="D49" s="116"/>
      <c r="E49" s="115"/>
      <c r="F49" s="95" t="s">
        <v>42</v>
      </c>
      <c r="G49" s="117">
        <v>45418</v>
      </c>
      <c r="H49" s="115"/>
    </row>
    <row r="50" spans="1:9" s="23" customFormat="1" ht="15.75" customHeight="1" x14ac:dyDescent="0.35">
      <c r="A50" s="120" t="s">
        <v>153</v>
      </c>
      <c r="B50" s="121"/>
      <c r="C50" s="124" t="s">
        <v>187</v>
      </c>
      <c r="D50" s="125"/>
      <c r="E50" s="126"/>
      <c r="F50" s="20" t="s">
        <v>42</v>
      </c>
      <c r="G50" s="127">
        <v>44689</v>
      </c>
      <c r="H50" s="126"/>
    </row>
    <row r="51" spans="1:9" s="23" customFormat="1" ht="48.75" customHeight="1" x14ac:dyDescent="0.35">
      <c r="A51" s="122"/>
      <c r="B51" s="123"/>
      <c r="C51" s="124" t="s">
        <v>188</v>
      </c>
      <c r="D51" s="125"/>
      <c r="E51" s="126"/>
      <c r="F51" s="20" t="s">
        <v>119</v>
      </c>
      <c r="G51" s="127">
        <v>45051</v>
      </c>
      <c r="H51" s="126"/>
    </row>
    <row r="52" spans="1:9" s="23" customFormat="1" ht="15.75" customHeight="1" x14ac:dyDescent="0.35">
      <c r="A52" s="120" t="s">
        <v>153</v>
      </c>
      <c r="B52" s="121"/>
      <c r="C52" s="124" t="s">
        <v>233</v>
      </c>
      <c r="D52" s="125"/>
      <c r="E52" s="126"/>
      <c r="F52" s="20" t="s">
        <v>42</v>
      </c>
      <c r="G52" s="127">
        <v>45078</v>
      </c>
      <c r="H52" s="126"/>
    </row>
    <row r="53" spans="1:9" s="23" customFormat="1" ht="48.75" customHeight="1" x14ac:dyDescent="0.35">
      <c r="A53" s="122"/>
      <c r="B53" s="123"/>
      <c r="C53" s="124" t="s">
        <v>234</v>
      </c>
      <c r="D53" s="125"/>
      <c r="E53" s="126"/>
      <c r="F53" s="20" t="s">
        <v>119</v>
      </c>
      <c r="G53" s="127">
        <v>45443</v>
      </c>
      <c r="H53" s="126"/>
    </row>
    <row r="54" spans="1:9" s="23" customFormat="1" x14ac:dyDescent="0.35">
      <c r="A54" s="120" t="s">
        <v>153</v>
      </c>
      <c r="B54" s="121"/>
      <c r="C54" s="124" t="s">
        <v>255</v>
      </c>
      <c r="D54" s="125"/>
      <c r="E54" s="126"/>
      <c r="F54" s="20" t="s">
        <v>42</v>
      </c>
      <c r="G54" s="127">
        <v>44973</v>
      </c>
      <c r="H54" s="126"/>
    </row>
    <row r="55" spans="1:9" s="23" customFormat="1" x14ac:dyDescent="0.35">
      <c r="A55" s="122"/>
      <c r="B55" s="123"/>
      <c r="C55" s="124" t="s">
        <v>258</v>
      </c>
      <c r="D55" s="125"/>
      <c r="E55" s="125"/>
      <c r="F55" s="125"/>
      <c r="G55" s="125"/>
      <c r="H55" s="126"/>
    </row>
    <row r="56" spans="1:9" s="23" customFormat="1" x14ac:dyDescent="0.35">
      <c r="A56" s="120" t="s">
        <v>153</v>
      </c>
      <c r="B56" s="121"/>
      <c r="C56" s="124" t="s">
        <v>256</v>
      </c>
      <c r="D56" s="125"/>
      <c r="E56" s="126"/>
      <c r="F56" s="20" t="s">
        <v>42</v>
      </c>
      <c r="G56" s="127">
        <v>45258</v>
      </c>
      <c r="H56" s="126"/>
    </row>
    <row r="57" spans="1:9" s="23" customFormat="1" x14ac:dyDescent="0.35">
      <c r="A57" s="122"/>
      <c r="B57" s="123"/>
      <c r="C57" s="124" t="s">
        <v>259</v>
      </c>
      <c r="D57" s="125"/>
      <c r="E57" s="125"/>
      <c r="F57" s="125"/>
      <c r="G57" s="125"/>
      <c r="H57" s="126"/>
    </row>
    <row r="58" spans="1:9" s="23" customFormat="1" x14ac:dyDescent="0.35">
      <c r="A58" s="120" t="s">
        <v>153</v>
      </c>
      <c r="B58" s="121"/>
      <c r="C58" s="124" t="s">
        <v>260</v>
      </c>
      <c r="D58" s="125"/>
      <c r="E58" s="126"/>
      <c r="F58" s="20" t="s">
        <v>42</v>
      </c>
      <c r="G58" s="127">
        <v>45405</v>
      </c>
      <c r="H58" s="126"/>
    </row>
    <row r="59" spans="1:9" s="23" customFormat="1" ht="30.75" customHeight="1" x14ac:dyDescent="0.35">
      <c r="A59" s="122"/>
      <c r="B59" s="123"/>
      <c r="C59" s="124" t="s">
        <v>261</v>
      </c>
      <c r="D59" s="125"/>
      <c r="E59" s="125"/>
      <c r="F59" s="125"/>
      <c r="G59" s="125"/>
      <c r="H59" s="126"/>
    </row>
    <row r="60" spans="1:9" x14ac:dyDescent="0.35">
      <c r="A60" s="215" t="s">
        <v>161</v>
      </c>
      <c r="B60" s="216"/>
      <c r="C60" s="209" t="s">
        <v>29</v>
      </c>
      <c r="D60" s="210"/>
      <c r="E60" s="211"/>
      <c r="F60" s="67" t="s">
        <v>42</v>
      </c>
      <c r="G60" s="213" t="s">
        <v>29</v>
      </c>
      <c r="H60" s="214"/>
    </row>
    <row r="61" spans="1:9" hidden="1" x14ac:dyDescent="0.35">
      <c r="A61" s="217"/>
      <c r="B61" s="218"/>
      <c r="C61" s="209" t="s">
        <v>29</v>
      </c>
      <c r="D61" s="210"/>
      <c r="E61" s="210"/>
      <c r="F61" s="210"/>
      <c r="G61" s="210"/>
      <c r="H61" s="211"/>
    </row>
    <row r="62" spans="1:9" x14ac:dyDescent="0.35">
      <c r="A62" s="212" t="s">
        <v>45</v>
      </c>
      <c r="B62" s="212"/>
      <c r="C62" s="212"/>
      <c r="D62" s="212"/>
      <c r="E62" s="212"/>
      <c r="F62" s="212"/>
      <c r="G62" s="212"/>
      <c r="H62" s="212"/>
    </row>
    <row r="63" spans="1:9" x14ac:dyDescent="0.35">
      <c r="A63" s="205" t="s">
        <v>90</v>
      </c>
      <c r="B63" s="205"/>
      <c r="C63" s="205"/>
      <c r="D63" s="206">
        <f>E44</f>
        <v>49833.36</v>
      </c>
      <c r="E63" s="206"/>
      <c r="F63" s="206"/>
      <c r="G63" s="206"/>
      <c r="H63" s="206"/>
    </row>
    <row r="64" spans="1:9" x14ac:dyDescent="0.35">
      <c r="A64" s="207" t="s">
        <v>46</v>
      </c>
      <c r="B64" s="206"/>
      <c r="C64" s="206"/>
      <c r="D64" s="206" t="s">
        <v>241</v>
      </c>
      <c r="E64" s="206"/>
      <c r="F64" s="206"/>
      <c r="G64" s="206"/>
      <c r="H64" s="206"/>
      <c r="I64" s="24"/>
    </row>
    <row r="65" spans="1:14" ht="47.25" customHeight="1" x14ac:dyDescent="0.35">
      <c r="A65" s="232" t="s">
        <v>47</v>
      </c>
      <c r="B65" s="233"/>
      <c r="C65" s="234"/>
      <c r="D65" s="157" t="s">
        <v>268</v>
      </c>
      <c r="E65" s="231"/>
      <c r="F65" s="231"/>
      <c r="G65" s="231"/>
      <c r="H65" s="231"/>
      <c r="I65" s="25"/>
    </row>
    <row r="66" spans="1:14" ht="15.75" customHeight="1" x14ac:dyDescent="0.35">
      <c r="A66" s="207" t="s">
        <v>88</v>
      </c>
      <c r="B66" s="207"/>
      <c r="C66" s="207"/>
      <c r="D66" s="150" t="s">
        <v>223</v>
      </c>
      <c r="E66" s="150"/>
      <c r="F66" s="150"/>
      <c r="G66" s="150"/>
      <c r="H66" s="150"/>
      <c r="I66" s="25"/>
    </row>
    <row r="67" spans="1:14" ht="15.75" customHeight="1" x14ac:dyDescent="0.35">
      <c r="A67" s="207"/>
      <c r="B67" s="207"/>
      <c r="C67" s="207"/>
      <c r="D67" s="150" t="s">
        <v>244</v>
      </c>
      <c r="E67" s="150"/>
      <c r="F67" s="150"/>
      <c r="G67" s="150"/>
      <c r="H67" s="150"/>
      <c r="I67" s="25"/>
    </row>
    <row r="68" spans="1:14" ht="15.75" customHeight="1" x14ac:dyDescent="0.35">
      <c r="A68" s="207"/>
      <c r="B68" s="207"/>
      <c r="C68" s="207"/>
      <c r="D68" s="150" t="s">
        <v>225</v>
      </c>
      <c r="E68" s="150"/>
      <c r="F68" s="150"/>
      <c r="G68" s="150"/>
      <c r="H68" s="150"/>
      <c r="I68" s="25"/>
    </row>
    <row r="69" spans="1:14" x14ac:dyDescent="0.35">
      <c r="A69" s="207"/>
      <c r="B69" s="207"/>
      <c r="C69" s="207"/>
      <c r="D69" s="149" t="s">
        <v>226</v>
      </c>
      <c r="E69" s="150"/>
      <c r="F69" s="150"/>
      <c r="G69" s="150"/>
      <c r="H69" s="150"/>
      <c r="I69" s="25"/>
    </row>
    <row r="70" spans="1:14" x14ac:dyDescent="0.35">
      <c r="A70" s="207"/>
      <c r="B70" s="207"/>
      <c r="C70" s="207"/>
      <c r="D70" s="149" t="s">
        <v>245</v>
      </c>
      <c r="E70" s="150"/>
      <c r="F70" s="150"/>
      <c r="G70" s="150"/>
      <c r="H70" s="150"/>
      <c r="I70" s="25"/>
    </row>
    <row r="71" spans="1:14" x14ac:dyDescent="0.35">
      <c r="A71" s="207"/>
      <c r="B71" s="207"/>
      <c r="C71" s="207"/>
      <c r="D71" s="149" t="s">
        <v>246</v>
      </c>
      <c r="E71" s="150"/>
      <c r="F71" s="150"/>
      <c r="G71" s="150"/>
      <c r="H71" s="150"/>
      <c r="I71" s="25"/>
    </row>
    <row r="72" spans="1:14" ht="15.75" customHeight="1" x14ac:dyDescent="0.35">
      <c r="A72" s="183" t="s">
        <v>44</v>
      </c>
      <c r="B72" s="183"/>
      <c r="C72" s="183"/>
      <c r="D72" s="205" t="s">
        <v>235</v>
      </c>
      <c r="E72" s="205"/>
      <c r="F72" s="205"/>
      <c r="G72" s="205"/>
      <c r="H72" s="205"/>
      <c r="J72" s="26"/>
      <c r="K72" s="24"/>
      <c r="N72" s="24"/>
    </row>
    <row r="73" spans="1:14" ht="15.75" customHeight="1" x14ac:dyDescent="0.35">
      <c r="A73" s="183" t="s">
        <v>86</v>
      </c>
      <c r="B73" s="183"/>
      <c r="C73" s="183"/>
      <c r="D73" s="228" t="str">
        <f>(IF(G60="NA","60 Years After Completion",IF(G60&lt;&gt;"NA",""&amp;60-ROUNDDOWN((E3-G60)/360,0)&amp;" Years"," ")))</f>
        <v>60 Years After Completion</v>
      </c>
      <c r="E73" s="228"/>
      <c r="F73" s="228"/>
      <c r="G73" s="228"/>
      <c r="H73" s="228"/>
      <c r="N73" s="24"/>
    </row>
    <row r="74" spans="1:14" ht="15.75" customHeight="1" x14ac:dyDescent="0.35">
      <c r="A74" s="183" t="s">
        <v>87</v>
      </c>
      <c r="B74" s="183"/>
      <c r="C74" s="183"/>
      <c r="D74" s="205" t="s">
        <v>24</v>
      </c>
      <c r="E74" s="205"/>
      <c r="F74" s="205"/>
      <c r="G74" s="205"/>
      <c r="H74" s="205"/>
      <c r="J74" s="27"/>
      <c r="K74" s="27"/>
    </row>
    <row r="75" spans="1:14" ht="32.25" customHeight="1" x14ac:dyDescent="0.35">
      <c r="A75" s="183" t="s">
        <v>73</v>
      </c>
      <c r="B75" s="183"/>
      <c r="C75" s="183"/>
      <c r="D75" s="207" t="s">
        <v>224</v>
      </c>
      <c r="E75" s="205"/>
      <c r="F75" s="205"/>
      <c r="G75" s="205"/>
      <c r="H75" s="205"/>
    </row>
    <row r="76" spans="1:14" x14ac:dyDescent="0.35">
      <c r="A76" s="205" t="s">
        <v>146</v>
      </c>
      <c r="B76" s="205"/>
      <c r="C76" s="205"/>
      <c r="D76" s="205" t="s">
        <v>29</v>
      </c>
      <c r="E76" s="205"/>
      <c r="F76" s="205"/>
      <c r="G76" s="205"/>
      <c r="H76" s="205"/>
      <c r="I76" s="28"/>
      <c r="J76" s="28"/>
      <c r="K76" s="28"/>
      <c r="L76" s="28"/>
      <c r="M76" s="28"/>
      <c r="N76" s="28"/>
    </row>
    <row r="77" spans="1:14" ht="15.75" customHeight="1" x14ac:dyDescent="0.35">
      <c r="A77" s="230" t="s">
        <v>85</v>
      </c>
      <c r="B77" s="230"/>
      <c r="C77" s="230"/>
      <c r="D77" s="157" t="str">
        <f ca="1">(IF(G139&gt;95%,"Nothing",IF(G139&gt;0%,"Cement, Aggregate, Steel, etc",IF(G139=0%,"Work not yet Started"))))</f>
        <v>Cement, Aggregate, Steel, etc</v>
      </c>
      <c r="E77" s="157"/>
      <c r="F77" s="157"/>
      <c r="G77" s="157"/>
      <c r="H77" s="157"/>
      <c r="J77" s="27"/>
    </row>
    <row r="78" spans="1:14" ht="33.75" customHeight="1" thickBot="1" x14ac:dyDescent="0.4">
      <c r="A78" s="156" t="s">
        <v>112</v>
      </c>
      <c r="B78" s="156"/>
      <c r="C78" s="156"/>
      <c r="D78" s="157" t="str">
        <f ca="1">(IF(D77="Nothing","Yes",IF(D77="Cement, Aggregate, Steel, etc","Under Construction",IF(D77="Work not yet Started","Work not yet Started"))))</f>
        <v>Under Construction</v>
      </c>
      <c r="E78" s="157"/>
      <c r="F78" s="157" t="str">
        <f ca="1">(IF(D77="Nothing","Yes",IF(D77="Cement, Aggregate, Steel, etc","Under Construction",IF(D77="Work not yet Started","Work not yet Started"))))</f>
        <v>Under Construction</v>
      </c>
      <c r="G78" s="157"/>
      <c r="H78" s="157"/>
    </row>
    <row r="79" spans="1:14" x14ac:dyDescent="0.35">
      <c r="A79" s="129" t="s">
        <v>138</v>
      </c>
      <c r="B79" s="129"/>
      <c r="C79" s="129" t="s">
        <v>281</v>
      </c>
      <c r="D79" s="129"/>
      <c r="E79" s="129"/>
      <c r="F79" s="129"/>
      <c r="G79" s="129"/>
      <c r="H79" s="129"/>
      <c r="I79" s="88" t="str">
        <f ca="1">IF(D92=100%,"All work Completed. Possession granted to the Building.",IF(D91=100%,"All work Completed, Waiting for OC",I80&amp;""&amp;I81&amp;""&amp;J80&amp;""&amp;J79&amp;" "&amp;J81))</f>
        <v xml:space="preserve">Excavation work in process </v>
      </c>
      <c r="J79" s="44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/>
      </c>
    </row>
    <row r="80" spans="1:14" x14ac:dyDescent="0.35">
      <c r="A80" s="104" t="s">
        <v>140</v>
      </c>
      <c r="B80" s="104">
        <v>0</v>
      </c>
      <c r="C80" s="104" t="s">
        <v>71</v>
      </c>
      <c r="D80" s="104">
        <v>1</v>
      </c>
      <c r="E80" s="104" t="s">
        <v>70</v>
      </c>
      <c r="F80" s="104">
        <v>0</v>
      </c>
      <c r="G80" s="104" t="s">
        <v>79</v>
      </c>
      <c r="H80" s="104">
        <f ca="1">--TRIM(RIGHT(SUBSTITUTE(LEFT(C79,_xlfn.AGGREGATE(16,6,FIND({0,1,2,3,4,5,6,7,8,9},C79,ROW(INDIRECT("1:"&amp;LEN(C79)))),1))," ",REPT(" ",LEN(C79))),LEN(C79)))</f>
        <v>11</v>
      </c>
      <c r="I80" s="89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/>
      </c>
      <c r="J80" s="46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Excavation work in process</v>
      </c>
    </row>
    <row r="81" spans="1:10" x14ac:dyDescent="0.35">
      <c r="A81" s="133" t="s">
        <v>89</v>
      </c>
      <c r="B81" s="133"/>
      <c r="C81" s="129" t="str">
        <f ca="1">(IF($C$61=C79,"All work Completed. OC Received.",I79))</f>
        <v xml:space="preserve">Excavation work in process </v>
      </c>
      <c r="D81" s="129"/>
      <c r="E81" s="129"/>
      <c r="F81" s="129"/>
      <c r="G81" s="129"/>
      <c r="H81" s="129"/>
      <c r="I81" s="89" t="str">
        <f ca="1">IF(I80&lt;&gt;""," Completed","")</f>
        <v/>
      </c>
      <c r="J81" s="46" t="str">
        <f ca="1">IF(J79&lt;&gt;"","Completed","")</f>
        <v/>
      </c>
    </row>
    <row r="82" spans="1:10" ht="15.75" customHeight="1" x14ac:dyDescent="0.35">
      <c r="A82" s="105" t="s">
        <v>48</v>
      </c>
      <c r="B82" s="105"/>
      <c r="C82" s="103" t="s">
        <v>137</v>
      </c>
      <c r="D82" s="103" t="s">
        <v>82</v>
      </c>
      <c r="E82" s="105" t="s">
        <v>84</v>
      </c>
      <c r="F82" s="105"/>
      <c r="G82" s="105" t="s">
        <v>83</v>
      </c>
      <c r="H82" s="105"/>
      <c r="I82" s="16" t="s">
        <v>139</v>
      </c>
      <c r="J82" s="29">
        <f ca="1">H80*25%</f>
        <v>2.75</v>
      </c>
    </row>
    <row r="83" spans="1:10" x14ac:dyDescent="0.35">
      <c r="A83" s="105" t="s">
        <v>126</v>
      </c>
      <c r="B83" s="105"/>
      <c r="C83" s="103">
        <f ca="1">J83</f>
        <v>5.5</v>
      </c>
      <c r="D83" s="52">
        <f ca="1">((100/H80)*C83)/100</f>
        <v>0.50000000000000011</v>
      </c>
      <c r="E83" s="128">
        <f ca="1">(((C84/H80*10)+(40/(D80+F80+H80)*C85)+(7.5/(H80)*C86)+(7.5/(H80)*C87)+(10/H80*C88)+(10/H80*C89)+(5/H80*C90)+(5/H80*C91)+(5/H80*C92))/100)</f>
        <v>0</v>
      </c>
      <c r="F83" s="128"/>
      <c r="G83" s="128">
        <f ca="1">((((C83/H80)*20)+((C84/H80)*25)+(30/(H80+F80+D80)*C85)+(5/H80*C86)+(5/H80*C87)+(5/H80*C88)+(5/H80*C89)+(0/H80*C90)+(0/H80*C91)+(5/H80*C92))/100)</f>
        <v>0.1</v>
      </c>
      <c r="H83" s="128"/>
      <c r="I83" s="16" t="s">
        <v>95</v>
      </c>
      <c r="J83" s="30">
        <f ca="1">H80*50%</f>
        <v>5.5</v>
      </c>
    </row>
    <row r="84" spans="1:10" x14ac:dyDescent="0.35">
      <c r="A84" s="105" t="s">
        <v>49</v>
      </c>
      <c r="B84" s="105"/>
      <c r="C84" s="69">
        <v>0</v>
      </c>
      <c r="D84" s="52">
        <f ca="1">((100/H80)*C84)/100</f>
        <v>0</v>
      </c>
      <c r="E84" s="128"/>
      <c r="F84" s="128"/>
      <c r="G84" s="128"/>
      <c r="H84" s="128"/>
      <c r="I84" s="16" t="s">
        <v>96</v>
      </c>
      <c r="J84" s="30">
        <f ca="1">H80</f>
        <v>11</v>
      </c>
    </row>
    <row r="85" spans="1:10" ht="15.75" customHeight="1" x14ac:dyDescent="0.35">
      <c r="A85" s="105" t="s">
        <v>127</v>
      </c>
      <c r="B85" s="105"/>
      <c r="C85" s="103">
        <v>0</v>
      </c>
      <c r="D85" s="52">
        <f ca="1">((100/(D80+F80+H80))*C85)/100</f>
        <v>0</v>
      </c>
      <c r="E85" s="128"/>
      <c r="F85" s="128"/>
      <c r="G85" s="128"/>
      <c r="H85" s="128"/>
      <c r="I85" s="16" t="s">
        <v>97</v>
      </c>
      <c r="J85" s="31">
        <f ca="1">(IF(B80&gt;1,(H80/(B80+2)),H80/4))</f>
        <v>2.75</v>
      </c>
    </row>
    <row r="86" spans="1:10" ht="15.75" customHeight="1" x14ac:dyDescent="0.35">
      <c r="A86" s="105" t="s">
        <v>134</v>
      </c>
      <c r="B86" s="105" t="s">
        <v>128</v>
      </c>
      <c r="C86" s="103">
        <v>0</v>
      </c>
      <c r="D86" s="52">
        <f ca="1">((100/H80)*C86)/100</f>
        <v>0</v>
      </c>
      <c r="E86" s="128"/>
      <c r="F86" s="128"/>
      <c r="G86" s="128"/>
      <c r="H86" s="128"/>
      <c r="I86" s="16" t="s">
        <v>98</v>
      </c>
      <c r="J86" s="31">
        <f ca="1">(IF(B80&gt;1,(H80/(B80+2)+J85),H80/4+J85))</f>
        <v>5.5</v>
      </c>
    </row>
    <row r="87" spans="1:10" ht="15.75" customHeight="1" x14ac:dyDescent="0.35">
      <c r="A87" s="105" t="s">
        <v>135</v>
      </c>
      <c r="B87" s="105" t="s">
        <v>128</v>
      </c>
      <c r="C87" s="103">
        <v>0</v>
      </c>
      <c r="D87" s="52">
        <f ca="1">((100/H80)*C87)/100</f>
        <v>0</v>
      </c>
      <c r="E87" s="128"/>
      <c r="F87" s="128"/>
      <c r="G87" s="128"/>
      <c r="H87" s="128"/>
      <c r="I87" s="16" t="s">
        <v>144</v>
      </c>
      <c r="J87" s="31">
        <f>(IF(B80&gt;1,(H80/(B80+2)+J86),0))</f>
        <v>0</v>
      </c>
    </row>
    <row r="88" spans="1:10" ht="15" customHeight="1" x14ac:dyDescent="0.35">
      <c r="A88" s="105" t="s">
        <v>133</v>
      </c>
      <c r="B88" s="105" t="s">
        <v>130</v>
      </c>
      <c r="C88" s="103">
        <v>0</v>
      </c>
      <c r="D88" s="52">
        <f ca="1">((100/(H80))*C88)/100</f>
        <v>0</v>
      </c>
      <c r="E88" s="128"/>
      <c r="F88" s="128"/>
      <c r="G88" s="128"/>
      <c r="H88" s="128"/>
      <c r="I88" s="16" t="s">
        <v>141</v>
      </c>
      <c r="J88" s="31">
        <f>(IF(B80&gt;2,(H80/(B80+2)+J87),0))</f>
        <v>0</v>
      </c>
    </row>
    <row r="89" spans="1:10" ht="15.75" customHeight="1" x14ac:dyDescent="0.35">
      <c r="A89" s="105" t="s">
        <v>129</v>
      </c>
      <c r="B89" s="105" t="s">
        <v>129</v>
      </c>
      <c r="C89" s="103">
        <v>0</v>
      </c>
      <c r="D89" s="52">
        <f ca="1">((100/H80)*C89)/100</f>
        <v>0</v>
      </c>
      <c r="E89" s="128"/>
      <c r="F89" s="128"/>
      <c r="G89" s="128"/>
      <c r="H89" s="128"/>
      <c r="I89" s="16" t="s">
        <v>142</v>
      </c>
      <c r="J89" s="32">
        <f>(IF(B80&gt;3,(H80/(B80+2)+J88),0))</f>
        <v>0</v>
      </c>
    </row>
    <row r="90" spans="1:10" ht="15.75" customHeight="1" x14ac:dyDescent="0.35">
      <c r="A90" s="105" t="s">
        <v>136</v>
      </c>
      <c r="B90" s="105"/>
      <c r="C90" s="103">
        <v>0</v>
      </c>
      <c r="D90" s="52">
        <f ca="1">((100/H80)*C90)/100</f>
        <v>0</v>
      </c>
      <c r="E90" s="128"/>
      <c r="F90" s="128"/>
      <c r="G90" s="128"/>
      <c r="H90" s="128"/>
      <c r="I90" s="16" t="s">
        <v>143</v>
      </c>
      <c r="J90" s="31">
        <f>(IF(B80&gt;4,(H80/(B80+2)+J89),0))</f>
        <v>0</v>
      </c>
    </row>
    <row r="91" spans="1:10" ht="15.75" customHeight="1" x14ac:dyDescent="0.35">
      <c r="A91" s="105" t="s">
        <v>131</v>
      </c>
      <c r="B91" s="105" t="s">
        <v>131</v>
      </c>
      <c r="C91" s="103">
        <v>0</v>
      </c>
      <c r="D91" s="52">
        <f ca="1">((100/(H80))*C91)/100</f>
        <v>0</v>
      </c>
      <c r="E91" s="128"/>
      <c r="F91" s="128"/>
      <c r="G91" s="128"/>
      <c r="H91" s="128"/>
      <c r="I91" s="16" t="s">
        <v>145</v>
      </c>
      <c r="J91" s="31">
        <f ca="1">(IF(B80=1,(H80/(B80+3)+J86),IF(B80=0,(H80/4+J86),IF(B80&gt;1,0))))</f>
        <v>8.25</v>
      </c>
    </row>
    <row r="92" spans="1:10" ht="16" thickBot="1" x14ac:dyDescent="0.4">
      <c r="A92" s="105" t="s">
        <v>132</v>
      </c>
      <c r="B92" s="105"/>
      <c r="C92" s="103">
        <v>0</v>
      </c>
      <c r="D92" s="52">
        <f ca="1">((100/(H80))*C92)/100</f>
        <v>0</v>
      </c>
      <c r="E92" s="128"/>
      <c r="F92" s="128"/>
      <c r="G92" s="128"/>
      <c r="H92" s="128"/>
      <c r="I92" s="17" t="s">
        <v>99</v>
      </c>
      <c r="J92" s="33">
        <f ca="1">(IF(B80&gt;1.5,(H80/(B80+2)+J86+MAX(0,J87-J86)+MAX(0,J88-J87)+MAX(0,J89-J88)+MAX(0,J90-J89)+MAX(0,J91-J90)),IF(B80=1,(H80/(B80+3)+J91),IF(B80=0,H80/4+J91))))</f>
        <v>11</v>
      </c>
    </row>
    <row r="93" spans="1:10" x14ac:dyDescent="0.35">
      <c r="A93" s="129" t="s">
        <v>138</v>
      </c>
      <c r="B93" s="129"/>
      <c r="C93" s="129" t="s">
        <v>282</v>
      </c>
      <c r="D93" s="129"/>
      <c r="E93" s="129"/>
      <c r="F93" s="129"/>
      <c r="G93" s="129"/>
      <c r="H93" s="129"/>
      <c r="I93" s="88" t="str">
        <f ca="1">IF(D106=100%,"All work Completed. Possession granted to the Building.",IF(D105=100%,"All work Completed, Waiting for OC",I94&amp;""&amp;I95&amp;""&amp;J94&amp;""&amp;J93&amp;" "&amp;J95))</f>
        <v xml:space="preserve">Excavation Completed, Footing work is process </v>
      </c>
      <c r="J93" s="44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/>
      </c>
    </row>
    <row r="94" spans="1:10" x14ac:dyDescent="0.35">
      <c r="A94" s="104" t="s">
        <v>140</v>
      </c>
      <c r="B94" s="104">
        <v>0</v>
      </c>
      <c r="C94" s="104" t="s">
        <v>71</v>
      </c>
      <c r="D94" s="104">
        <v>1</v>
      </c>
      <c r="E94" s="104" t="s">
        <v>70</v>
      </c>
      <c r="F94" s="104">
        <v>0</v>
      </c>
      <c r="G94" s="104" t="s">
        <v>79</v>
      </c>
      <c r="H94" s="104">
        <f ca="1">--TRIM(RIGHT(SUBSTITUTE(LEFT(C93,_xlfn.AGGREGATE(16,6,FIND({0,1,2,3,4,5,6,7,8,9},C93,ROW(INDIRECT("1:"&amp;LEN(C93)))),1))," ",REPT(" ",LEN(C93))),LEN(C93)))</f>
        <v>11</v>
      </c>
      <c r="I94" s="89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</v>
      </c>
      <c r="J94" s="46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, Footing work is process</v>
      </c>
    </row>
    <row r="95" spans="1:10" x14ac:dyDescent="0.35">
      <c r="A95" s="133" t="s">
        <v>89</v>
      </c>
      <c r="B95" s="133"/>
      <c r="C95" s="129" t="str">
        <f ca="1">(IF($C$61=C93,"All work Completed. OC Received.",I93))</f>
        <v xml:space="preserve">Excavation Completed, Footing work is process </v>
      </c>
      <c r="D95" s="129"/>
      <c r="E95" s="129"/>
      <c r="F95" s="129"/>
      <c r="G95" s="129"/>
      <c r="H95" s="129"/>
      <c r="I95" s="89" t="str">
        <f ca="1">IF(I94&lt;&gt;""," Completed","")</f>
        <v xml:space="preserve"> Completed</v>
      </c>
      <c r="J95" s="46" t="str">
        <f ca="1">IF(J93&lt;&gt;"","Completed","")</f>
        <v/>
      </c>
    </row>
    <row r="96" spans="1:10" ht="15.75" customHeight="1" x14ac:dyDescent="0.35">
      <c r="A96" s="105" t="s">
        <v>48</v>
      </c>
      <c r="B96" s="105"/>
      <c r="C96" s="103" t="s">
        <v>137</v>
      </c>
      <c r="D96" s="103" t="s">
        <v>82</v>
      </c>
      <c r="E96" s="105" t="s">
        <v>84</v>
      </c>
      <c r="F96" s="105"/>
      <c r="G96" s="105" t="s">
        <v>83</v>
      </c>
      <c r="H96" s="105"/>
      <c r="I96" s="16" t="s">
        <v>139</v>
      </c>
      <c r="J96" s="29">
        <f ca="1">H94*25%</f>
        <v>2.75</v>
      </c>
    </row>
    <row r="97" spans="1:10" x14ac:dyDescent="0.35">
      <c r="A97" s="105" t="s">
        <v>126</v>
      </c>
      <c r="B97" s="105"/>
      <c r="C97" s="103">
        <f ca="1">J98</f>
        <v>11</v>
      </c>
      <c r="D97" s="52">
        <f ca="1">((100/H94)*C97)/100</f>
        <v>1.0000000000000002</v>
      </c>
      <c r="E97" s="128">
        <f ca="1">(((C98/H94*10)+(40/(D94+F94+H94)*C99)+(7.5/(H94)*C100)+(7.5/(H94)*C101)+(10/H94*C102)+(10/H94*C103)+(5/H94*C104)+(5/H94*C105)+(5/H94*C106))/100)</f>
        <v>2.5000000000000001E-2</v>
      </c>
      <c r="F97" s="128"/>
      <c r="G97" s="128">
        <f ca="1">((((C97/H94)*20)+((C98/H94)*25)+(30/(H94+F94+D94)*C99)+(5/H94*C100)+(5/H94*C101)+(5/H94*C102)+(5/H94*C103)+(0/H94*C104)+(0/H94*C105)+(5/H94*C106))/100)</f>
        <v>0.26250000000000001</v>
      </c>
      <c r="H97" s="128"/>
      <c r="I97" s="16" t="s">
        <v>95</v>
      </c>
      <c r="J97" s="30">
        <f ca="1">H94*50%</f>
        <v>5.5</v>
      </c>
    </row>
    <row r="98" spans="1:10" x14ac:dyDescent="0.35">
      <c r="A98" s="105" t="s">
        <v>49</v>
      </c>
      <c r="B98" s="105"/>
      <c r="C98" s="69">
        <f ca="1">J99</f>
        <v>2.75</v>
      </c>
      <c r="D98" s="52">
        <f ca="1">((100/H94)*C98)/100</f>
        <v>0.25000000000000006</v>
      </c>
      <c r="E98" s="128"/>
      <c r="F98" s="128"/>
      <c r="G98" s="128"/>
      <c r="H98" s="128"/>
      <c r="I98" s="16" t="s">
        <v>96</v>
      </c>
      <c r="J98" s="30">
        <f ca="1">H94</f>
        <v>11</v>
      </c>
    </row>
    <row r="99" spans="1:10" ht="15.75" customHeight="1" x14ac:dyDescent="0.35">
      <c r="A99" s="105" t="s">
        <v>127</v>
      </c>
      <c r="B99" s="105"/>
      <c r="C99" s="103">
        <v>0</v>
      </c>
      <c r="D99" s="52">
        <f ca="1">((100/(D94+F94+H94))*C99)/100</f>
        <v>0</v>
      </c>
      <c r="E99" s="128"/>
      <c r="F99" s="128"/>
      <c r="G99" s="128"/>
      <c r="H99" s="128"/>
      <c r="I99" s="16" t="s">
        <v>97</v>
      </c>
      <c r="J99" s="31">
        <f ca="1">(IF(B94&gt;1,(H94/(B94+2)),H94/4))</f>
        <v>2.75</v>
      </c>
    </row>
    <row r="100" spans="1:10" ht="15.75" customHeight="1" x14ac:dyDescent="0.35">
      <c r="A100" s="105" t="s">
        <v>134</v>
      </c>
      <c r="B100" s="105" t="s">
        <v>128</v>
      </c>
      <c r="C100" s="103">
        <v>0</v>
      </c>
      <c r="D100" s="52">
        <f ca="1">((100/H94)*C100)/100</f>
        <v>0</v>
      </c>
      <c r="E100" s="128"/>
      <c r="F100" s="128"/>
      <c r="G100" s="128"/>
      <c r="H100" s="128"/>
      <c r="I100" s="16" t="s">
        <v>98</v>
      </c>
      <c r="J100" s="31">
        <f ca="1">(IF(B94&gt;1,(H94/(B94+2)+J99),H94/4+J99))</f>
        <v>5.5</v>
      </c>
    </row>
    <row r="101" spans="1:10" ht="15.75" customHeight="1" x14ac:dyDescent="0.35">
      <c r="A101" s="105" t="s">
        <v>135</v>
      </c>
      <c r="B101" s="105" t="s">
        <v>128</v>
      </c>
      <c r="C101" s="103">
        <v>0</v>
      </c>
      <c r="D101" s="52">
        <f ca="1">((100/H94)*C101)/100</f>
        <v>0</v>
      </c>
      <c r="E101" s="128"/>
      <c r="F101" s="128"/>
      <c r="G101" s="128"/>
      <c r="H101" s="128"/>
      <c r="I101" s="16" t="s">
        <v>144</v>
      </c>
      <c r="J101" s="31">
        <f>(IF(B94&gt;1,(H94/(B94+2)+J100),0))</f>
        <v>0</v>
      </c>
    </row>
    <row r="102" spans="1:10" ht="15" customHeight="1" x14ac:dyDescent="0.35">
      <c r="A102" s="105" t="s">
        <v>133</v>
      </c>
      <c r="B102" s="105" t="s">
        <v>130</v>
      </c>
      <c r="C102" s="103">
        <v>0</v>
      </c>
      <c r="D102" s="52">
        <f ca="1">((100/(H94))*C102)/100</f>
        <v>0</v>
      </c>
      <c r="E102" s="128"/>
      <c r="F102" s="128"/>
      <c r="G102" s="128"/>
      <c r="H102" s="128"/>
      <c r="I102" s="16" t="s">
        <v>141</v>
      </c>
      <c r="J102" s="31">
        <f>(IF(B94&gt;2,(H94/(B94+2)+J101),0))</f>
        <v>0</v>
      </c>
    </row>
    <row r="103" spans="1:10" ht="15.75" customHeight="1" x14ac:dyDescent="0.35">
      <c r="A103" s="105" t="s">
        <v>129</v>
      </c>
      <c r="B103" s="105" t="s">
        <v>129</v>
      </c>
      <c r="C103" s="103">
        <v>0</v>
      </c>
      <c r="D103" s="52">
        <f ca="1">((100/H94)*C103)/100</f>
        <v>0</v>
      </c>
      <c r="E103" s="128"/>
      <c r="F103" s="128"/>
      <c r="G103" s="128"/>
      <c r="H103" s="128"/>
      <c r="I103" s="16" t="s">
        <v>142</v>
      </c>
      <c r="J103" s="32">
        <f>(IF(B94&gt;3,(H94/(B94+2)+J102),0))</f>
        <v>0</v>
      </c>
    </row>
    <row r="104" spans="1:10" ht="15.75" customHeight="1" x14ac:dyDescent="0.35">
      <c r="A104" s="105" t="s">
        <v>136</v>
      </c>
      <c r="B104" s="105"/>
      <c r="C104" s="103">
        <v>0</v>
      </c>
      <c r="D104" s="52">
        <f ca="1">((100/H94)*C104)/100</f>
        <v>0</v>
      </c>
      <c r="E104" s="128"/>
      <c r="F104" s="128"/>
      <c r="G104" s="128"/>
      <c r="H104" s="128"/>
      <c r="I104" s="16" t="s">
        <v>143</v>
      </c>
      <c r="J104" s="31">
        <f>(IF(B94&gt;4,(H94/(B94+2)+J103),0))</f>
        <v>0</v>
      </c>
    </row>
    <row r="105" spans="1:10" ht="15.75" customHeight="1" x14ac:dyDescent="0.35">
      <c r="A105" s="105" t="s">
        <v>131</v>
      </c>
      <c r="B105" s="105" t="s">
        <v>131</v>
      </c>
      <c r="C105" s="103">
        <v>0</v>
      </c>
      <c r="D105" s="52">
        <f ca="1">((100/(H94))*C105)/100</f>
        <v>0</v>
      </c>
      <c r="E105" s="128"/>
      <c r="F105" s="128"/>
      <c r="G105" s="128"/>
      <c r="H105" s="128"/>
      <c r="I105" s="16" t="s">
        <v>145</v>
      </c>
      <c r="J105" s="31">
        <f ca="1">(IF(B94=1,(H94/(B94+3)+J100),IF(B94=0,(H94/4+J100),IF(B94&gt;1,0))))</f>
        <v>8.25</v>
      </c>
    </row>
    <row r="106" spans="1:10" ht="16" thickBot="1" x14ac:dyDescent="0.4">
      <c r="A106" s="105" t="s">
        <v>132</v>
      </c>
      <c r="B106" s="105"/>
      <c r="C106" s="103">
        <v>0</v>
      </c>
      <c r="D106" s="52">
        <f ca="1">((100/(H94))*C106)/100</f>
        <v>0</v>
      </c>
      <c r="E106" s="128"/>
      <c r="F106" s="128"/>
      <c r="G106" s="128"/>
      <c r="H106" s="128"/>
      <c r="I106" s="17" t="s">
        <v>99</v>
      </c>
      <c r="J106" s="33">
        <f ca="1">(IF(B94&gt;1.5,(H94/(B94+2)+J100+MAX(0,J101-J100)+MAX(0,J102-J101)+MAX(0,J103-J102)+MAX(0,J104-J103)+MAX(0,J105-J104)),IF(B94=1,(H94/(B94+3)+J105),IF(B94=0,H94/4+J105))))</f>
        <v>11</v>
      </c>
    </row>
    <row r="107" spans="1:10" x14ac:dyDescent="0.35">
      <c r="A107" s="129" t="s">
        <v>138</v>
      </c>
      <c r="B107" s="129"/>
      <c r="C107" s="129" t="s">
        <v>263</v>
      </c>
      <c r="D107" s="129"/>
      <c r="E107" s="129"/>
      <c r="F107" s="129"/>
      <c r="G107" s="129"/>
      <c r="H107" s="129"/>
      <c r="I107" s="88" t="str">
        <f ca="1">IF(D120=100%,"All work Completed. Possession granted to the Building.",IF(D119=100%,"All work Completed, Waiting for OC",I108&amp;""&amp;I109&amp;""&amp;J108&amp;""&amp;J107&amp;" "&amp;J109))</f>
        <v>Excavation, Plinth, RCC Slab, Brickwork, Internal Plaster Completed, External Plaster upto 7 Floor Completed</v>
      </c>
      <c r="J107" s="44" t="str">
        <f ca="1">(IF(C113=(D108+F108+H108),"",IF(C113&gt;0,", RCC upto "&amp;C113&amp;" Slab","")))&amp;(IF(C114=H108,"",IF(C114&gt;0,", Brickwork upto "&amp;C114&amp;" Floor","")))&amp;(IF(C115=H108,"",IF(C115&gt;0,", Internal Plaster upto "&amp;C115&amp;" Floor","")))&amp;(IF(C116=H108,"",IF(C116&gt;0,", External Plaster upto "&amp;C116&amp;" Floor","")))&amp;(IF(C117=H108,"",IF(C117&gt;0,", Flooring upto "&amp;C117&amp;" Floor","")))&amp;(IF(C118=H108,"",IF(C118&gt;0,", Painting upto "&amp;C118&amp;" Floor","")))&amp;(IF(C119=H108,"",IF(C119&gt;0,", Finishing upto "&amp;C119&amp;" Floor","")))&amp;(IF(C120=H108,"",IF(C120&gt;0,", Possession upto "&amp;C120&amp;" Floor","")))</f>
        <v>, External Plaster upto 7 Floor</v>
      </c>
    </row>
    <row r="108" spans="1:10" x14ac:dyDescent="0.35">
      <c r="A108" s="104" t="s">
        <v>140</v>
      </c>
      <c r="B108" s="104">
        <v>0</v>
      </c>
      <c r="C108" s="104" t="s">
        <v>71</v>
      </c>
      <c r="D108" s="104">
        <v>1</v>
      </c>
      <c r="E108" s="104" t="s">
        <v>70</v>
      </c>
      <c r="F108" s="104">
        <v>0</v>
      </c>
      <c r="G108" s="104" t="s">
        <v>79</v>
      </c>
      <c r="H108" s="104">
        <f ca="1">--TRIM(RIGHT(SUBSTITUTE(LEFT(C107,_xlfn.AGGREGATE(16,6,FIND({0,1,2,3,4,5,6,7,8,9},C107,ROW(INDIRECT("1:"&amp;LEN(C107)))),1))," ",REPT(" ",LEN(C107))),LEN(C107)))</f>
        <v>11</v>
      </c>
      <c r="I108" s="89" t="str">
        <f ca="1">IF(D111=100%,"Excavation","")&amp;IF(D112=100%,", Plinth","")&amp;IF(D113=100%,", RCC Slab","")&amp;IF(D114=100%,", Brickwork","")&amp;IF(D115=100%,", Internal Plaster","")&amp;IF(D116=100%,", External Plaster","")&amp;IF(D117=100%,", Flooring","")&amp;IF(D118=100%,", Painting","")&amp;IF(D119=100%,", Building common Amenities","")</f>
        <v>Excavation, Plinth, RCC Slab, Brickwork, Internal Plaster</v>
      </c>
      <c r="J108" s="46" t="str">
        <f ca="1">(IF(C111=0,"Work not yet Started.",IF(D111=25%,"Piling work in process",IF(D111=50%,"Excavation work in process",IF(D111=100%,"","0")))))&amp;(IF(C112=0%,"",IF(C112=J113,", Footing work is process",IF(C112=J114,", Footing work Completed",IF(C112=J115,", 1st Basement Completed",IF(C112=J116,", 1st &amp; 2nd Basement Completed",IF(C112=J117,", 1st to 3rd Basement Completed",IF(C112=J118,", 1st to 4th Basement Completed",IF(C112=J119,", Plinth work is process",IF(C112=J120,"","0"))))))))))</f>
        <v/>
      </c>
    </row>
    <row r="109" spans="1:10" ht="32.5" customHeight="1" x14ac:dyDescent="0.35">
      <c r="A109" s="133" t="s">
        <v>89</v>
      </c>
      <c r="B109" s="133"/>
      <c r="C109" s="129" t="str">
        <f ca="1">(IF($C$61=C107,"All work Completed. OC Received.",I107))</f>
        <v>Excavation, Plinth, RCC Slab, Brickwork, Internal Plaster Completed, External Plaster upto 7 Floor Completed</v>
      </c>
      <c r="D109" s="129"/>
      <c r="E109" s="129"/>
      <c r="F109" s="129"/>
      <c r="G109" s="129"/>
      <c r="H109" s="129"/>
      <c r="I109" s="89" t="str">
        <f ca="1">IF(I108&lt;&gt;""," Completed","")</f>
        <v xml:space="preserve"> Completed</v>
      </c>
      <c r="J109" s="46" t="str">
        <f ca="1">IF(J107&lt;&gt;"","Completed","")</f>
        <v>Completed</v>
      </c>
    </row>
    <row r="110" spans="1:10" ht="15.75" customHeight="1" x14ac:dyDescent="0.35">
      <c r="A110" s="105" t="s">
        <v>48</v>
      </c>
      <c r="B110" s="105"/>
      <c r="C110" s="103" t="s">
        <v>137</v>
      </c>
      <c r="D110" s="103" t="s">
        <v>82</v>
      </c>
      <c r="E110" s="105" t="s">
        <v>84</v>
      </c>
      <c r="F110" s="105"/>
      <c r="G110" s="105" t="s">
        <v>83</v>
      </c>
      <c r="H110" s="105"/>
      <c r="I110" s="16" t="s">
        <v>139</v>
      </c>
      <c r="J110" s="29">
        <f ca="1">H108*25%</f>
        <v>2.75</v>
      </c>
    </row>
    <row r="111" spans="1:10" x14ac:dyDescent="0.35">
      <c r="A111" s="105" t="s">
        <v>126</v>
      </c>
      <c r="B111" s="105"/>
      <c r="C111" s="103">
        <v>11</v>
      </c>
      <c r="D111" s="52">
        <f ca="1">((100/H108)*C111)/100</f>
        <v>1.0000000000000002</v>
      </c>
      <c r="E111" s="128">
        <f ca="1">(((C112/H108*10)+(40/(D108+F108+H108)*C113)+(7.5/(H108)*C114)+(7.5/(H108)*C115)+(10/H108*C116)+(10/H108*C117)+(5/H108*C118)+(5/H108*C119)+(5/H108*C120))/100)</f>
        <v>0.71363636363636362</v>
      </c>
      <c r="F111" s="128"/>
      <c r="G111" s="128">
        <f ca="1">((((C111/H108)*20)+((C112/H108)*25)+(30/(H108+F108+D108)*C113)+(5/H108*C114)+(5/H108*C115)+(5/H108*C116)+(5/H108*C117)+(0/H108*C118)+(0/H108*C119)+(5/H108*C120))/100)</f>
        <v>0.88181818181818183</v>
      </c>
      <c r="H111" s="128"/>
      <c r="I111" s="16" t="s">
        <v>95</v>
      </c>
      <c r="J111" s="30">
        <f ca="1">H108*50%</f>
        <v>5.5</v>
      </c>
    </row>
    <row r="112" spans="1:10" x14ac:dyDescent="0.35">
      <c r="A112" s="105" t="s">
        <v>49</v>
      </c>
      <c r="B112" s="105"/>
      <c r="C112" s="69">
        <f ca="1">J120</f>
        <v>11</v>
      </c>
      <c r="D112" s="52">
        <f ca="1">((100/H108)*C112)/100</f>
        <v>1.0000000000000002</v>
      </c>
      <c r="E112" s="128"/>
      <c r="F112" s="128"/>
      <c r="G112" s="128"/>
      <c r="H112" s="128"/>
      <c r="I112" s="16" t="s">
        <v>96</v>
      </c>
      <c r="J112" s="30">
        <f ca="1">H108</f>
        <v>11</v>
      </c>
    </row>
    <row r="113" spans="1:10" ht="15.75" customHeight="1" x14ac:dyDescent="0.35">
      <c r="A113" s="105" t="s">
        <v>127</v>
      </c>
      <c r="B113" s="105"/>
      <c r="C113" s="103">
        <v>12</v>
      </c>
      <c r="D113" s="52">
        <f ca="1">((100/(D108+F108+H108))*C113)/100</f>
        <v>1</v>
      </c>
      <c r="E113" s="128"/>
      <c r="F113" s="128"/>
      <c r="G113" s="128"/>
      <c r="H113" s="128"/>
      <c r="I113" s="16" t="s">
        <v>97</v>
      </c>
      <c r="J113" s="31">
        <f ca="1">(IF(B108&gt;1,(H108/(B108+2)),H108/4))</f>
        <v>2.75</v>
      </c>
    </row>
    <row r="114" spans="1:10" ht="15.75" customHeight="1" x14ac:dyDescent="0.35">
      <c r="A114" s="105" t="s">
        <v>134</v>
      </c>
      <c r="B114" s="105" t="s">
        <v>128</v>
      </c>
      <c r="C114" s="103">
        <v>11</v>
      </c>
      <c r="D114" s="52">
        <f ca="1">((100/H108)*C114)/100</f>
        <v>1.0000000000000002</v>
      </c>
      <c r="E114" s="128"/>
      <c r="F114" s="128"/>
      <c r="G114" s="128"/>
      <c r="H114" s="128"/>
      <c r="I114" s="16" t="s">
        <v>98</v>
      </c>
      <c r="J114" s="31">
        <f ca="1">(IF(B108&gt;1,(H108/(B108+2)+J113),H108/4+J113))</f>
        <v>5.5</v>
      </c>
    </row>
    <row r="115" spans="1:10" ht="15.75" customHeight="1" x14ac:dyDescent="0.35">
      <c r="A115" s="105" t="s">
        <v>135</v>
      </c>
      <c r="B115" s="105" t="s">
        <v>128</v>
      </c>
      <c r="C115" s="103">
        <v>11</v>
      </c>
      <c r="D115" s="52">
        <f ca="1">((100/H108)*C115)/100</f>
        <v>1.0000000000000002</v>
      </c>
      <c r="E115" s="128"/>
      <c r="F115" s="128"/>
      <c r="G115" s="128"/>
      <c r="H115" s="128"/>
      <c r="I115" s="16" t="s">
        <v>144</v>
      </c>
      <c r="J115" s="31">
        <f>(IF(B108&gt;1,(H108/(B108+2)+J114),0))</f>
        <v>0</v>
      </c>
    </row>
    <row r="116" spans="1:10" ht="15" customHeight="1" x14ac:dyDescent="0.35">
      <c r="A116" s="105" t="s">
        <v>133</v>
      </c>
      <c r="B116" s="105" t="s">
        <v>130</v>
      </c>
      <c r="C116" s="103">
        <v>7</v>
      </c>
      <c r="D116" s="52">
        <f ca="1">((100/(H108))*C116)/100</f>
        <v>0.63636363636363635</v>
      </c>
      <c r="E116" s="128"/>
      <c r="F116" s="128"/>
      <c r="G116" s="128"/>
      <c r="H116" s="128"/>
      <c r="I116" s="16" t="s">
        <v>141</v>
      </c>
      <c r="J116" s="31">
        <f>(IF(B108&gt;2,(H108/(B108+2)+J115),0))</f>
        <v>0</v>
      </c>
    </row>
    <row r="117" spans="1:10" ht="15.75" customHeight="1" x14ac:dyDescent="0.35">
      <c r="A117" s="105" t="s">
        <v>129</v>
      </c>
      <c r="B117" s="105" t="s">
        <v>129</v>
      </c>
      <c r="C117" s="103">
        <v>0</v>
      </c>
      <c r="D117" s="52">
        <f ca="1">((100/H108)*C117)/100</f>
        <v>0</v>
      </c>
      <c r="E117" s="128"/>
      <c r="F117" s="128"/>
      <c r="G117" s="128"/>
      <c r="H117" s="128"/>
      <c r="I117" s="16" t="s">
        <v>142</v>
      </c>
      <c r="J117" s="32">
        <f>(IF(B108&gt;3,(H108/(B108+2)+J116),0))</f>
        <v>0</v>
      </c>
    </row>
    <row r="118" spans="1:10" ht="15.75" customHeight="1" x14ac:dyDescent="0.35">
      <c r="A118" s="105" t="s">
        <v>136</v>
      </c>
      <c r="B118" s="105"/>
      <c r="C118" s="103">
        <v>0</v>
      </c>
      <c r="D118" s="52">
        <f ca="1">((100/H108)*C118)/100</f>
        <v>0</v>
      </c>
      <c r="E118" s="128"/>
      <c r="F118" s="128"/>
      <c r="G118" s="128"/>
      <c r="H118" s="128"/>
      <c r="I118" s="16" t="s">
        <v>143</v>
      </c>
      <c r="J118" s="31">
        <f>(IF(B108&gt;4,(H108/(B108+2)+J117),0))</f>
        <v>0</v>
      </c>
    </row>
    <row r="119" spans="1:10" ht="15.75" customHeight="1" x14ac:dyDescent="0.35">
      <c r="A119" s="105" t="s">
        <v>131</v>
      </c>
      <c r="B119" s="105" t="s">
        <v>131</v>
      </c>
      <c r="C119" s="103">
        <v>0</v>
      </c>
      <c r="D119" s="52">
        <f ca="1">((100/(H108))*C119)/100</f>
        <v>0</v>
      </c>
      <c r="E119" s="128"/>
      <c r="F119" s="128"/>
      <c r="G119" s="128"/>
      <c r="H119" s="128"/>
      <c r="I119" s="16" t="s">
        <v>145</v>
      </c>
      <c r="J119" s="31">
        <f ca="1">(IF(B108=1,(H108/(B108+3)+J114),IF(B108=0,(H108/4+J114),IF(B108&gt;1,0))))</f>
        <v>8.25</v>
      </c>
    </row>
    <row r="120" spans="1:10" ht="16" thickBot="1" x14ac:dyDescent="0.4">
      <c r="A120" s="105" t="s">
        <v>132</v>
      </c>
      <c r="B120" s="105"/>
      <c r="C120" s="103">
        <v>0</v>
      </c>
      <c r="D120" s="52">
        <f ca="1">((100/(H108))*C120)/100</f>
        <v>0</v>
      </c>
      <c r="E120" s="128"/>
      <c r="F120" s="128"/>
      <c r="G120" s="128"/>
      <c r="H120" s="128"/>
      <c r="I120" s="17" t="s">
        <v>99</v>
      </c>
      <c r="J120" s="33">
        <f ca="1">(IF(B108&gt;1.5,(H108/(B108+2)+J114+MAX(0,J115-J114)+MAX(0,J116-J115)+MAX(0,J117-J116)+MAX(0,J118-J117)+MAX(0,J119-J118)),IF(B108=1,(H108/(B108+3)+J119),IF(B108=0,H108/4+J119))))</f>
        <v>11</v>
      </c>
    </row>
    <row r="121" spans="1:10" ht="15.75" customHeight="1" x14ac:dyDescent="0.35">
      <c r="A121" s="151" t="s">
        <v>138</v>
      </c>
      <c r="B121" s="152"/>
      <c r="C121" s="153" t="s">
        <v>253</v>
      </c>
      <c r="D121" s="154"/>
      <c r="E121" s="154"/>
      <c r="F121" s="154"/>
      <c r="G121" s="154"/>
      <c r="H121" s="155"/>
      <c r="I121" s="68" t="str">
        <f ca="1">IF(D134=100%,"All work Completed. Possession granted to the Building.",IF(D133=100%,"All work Completed, Waiting for OC",I122&amp;""&amp;I123&amp;""&amp;J122&amp;""&amp;J121&amp;" "&amp;J123))</f>
        <v>Excavation, Plinth, RCC Slab, Brickwork, Internal Plaster, External Plaster Completed, Flooring upto 6 Floor, Painting upto 6 Floor Completed</v>
      </c>
      <c r="J121" s="44" t="str">
        <f ca="1">(IF(C127=(D122+F122+H122),"",IF(C127&gt;0,", RCC upto "&amp;C127&amp;" Slab","")))&amp;(IF(C128=H122,"",IF(C128&gt;0,", Brickwork upto "&amp;C128&amp;" Floor","")))&amp;(IF(C129=H122,"",IF(C129&gt;0,", Internal Plaster upto "&amp;C129&amp;" Floor","")))&amp;(IF(C130=H122,"",IF(C130&gt;0,", External Plaster upto "&amp;C130&amp;" Floor","")))&amp;(IF(C131=H122,"",IF(C131&gt;0,", Flooring upto "&amp;C131&amp;" Floor","")))&amp;(IF(C132=H122,"",IF(C132&gt;0,", Painting upto "&amp;C132&amp;" Floor","")))&amp;(IF(C133=H122,"",IF(C133&gt;0,", Finishing upto "&amp;C133&amp;" Floor","")))&amp;(IF(C134=H122,"",IF(C134&gt;0,", Possession upto "&amp;C134&amp;" Floor","")))</f>
        <v>, Flooring upto 6 Floor, Painting upto 6 Floor</v>
      </c>
    </row>
    <row r="122" spans="1:10" x14ac:dyDescent="0.35">
      <c r="A122" s="18" t="s">
        <v>140</v>
      </c>
      <c r="B122" s="80">
        <v>0</v>
      </c>
      <c r="C122" s="80" t="s">
        <v>71</v>
      </c>
      <c r="D122" s="80">
        <v>1</v>
      </c>
      <c r="E122" s="80" t="s">
        <v>70</v>
      </c>
      <c r="F122" s="80">
        <v>0</v>
      </c>
      <c r="G122" s="80" t="s">
        <v>79</v>
      </c>
      <c r="H122" s="19">
        <f ca="1">--TRIM(RIGHT(SUBSTITUTE(LEFT(C121,_xlfn.AGGREGATE(16,6,FIND({0,1,2,3,4,5,6,7,8,9},C121,ROW(INDIRECT("1:"&amp;LEN(C121)))),1))," ",REPT(" ",LEN(C121))),LEN(C121)))</f>
        <v>7</v>
      </c>
      <c r="I122" s="45" t="str">
        <f ca="1">IF(D125=100%,"Excavation","")&amp;IF(D126=100%,", Plinth","")&amp;IF(D127=100%,", RCC Slab","")&amp;IF(D128=100%,", Brickwork","")&amp;IF(D129=100%,", Internal Plaster","")&amp;IF(D130=100%,", External Plaster","")&amp;IF(D131=100%,", Flooring","")&amp;IF(D132=100%,", Painting","")&amp;IF(D133=100%,", Building common Amenities","")</f>
        <v>Excavation, Plinth, RCC Slab, Brickwork, Internal Plaster, External Plaster</v>
      </c>
      <c r="J122" s="46" t="str">
        <f ca="1">(IF(C125=0,"Work not yet Started.",IF(D125=25%,"Piling work in process",IF(D125=50%,"Excavation work in process",IF(D125=100%,"","0")))))&amp;(IF(C126=0%,"",IF(C126=J127,", Footing work is process",IF(C126=J128,", Footing work Completed",IF(C126=J129,", 1st Basement Completed",IF(C126=J130,", 1st &amp; 2nd Basement Completed",IF(C126=J131,", 1st to 3rd Basement Completed",IF(C126=J132,", 1st to 4th Basement Completed",IF(C126=J133,", Plinth work is process",IF(C126=J134,"","0"))))))))))</f>
        <v/>
      </c>
    </row>
    <row r="123" spans="1:10" ht="32" customHeight="1" x14ac:dyDescent="0.35">
      <c r="A123" s="132" t="s">
        <v>89</v>
      </c>
      <c r="B123" s="133"/>
      <c r="C123" s="129" t="str">
        <f ca="1">(IF($C$61=C121,"All work Completed. OC Received.",I121))</f>
        <v>Excavation, Plinth, RCC Slab, Brickwork, Internal Plaster, External Plaster Completed, Flooring upto 6 Floor, Painting upto 6 Floor Completed</v>
      </c>
      <c r="D123" s="129"/>
      <c r="E123" s="129"/>
      <c r="F123" s="129"/>
      <c r="G123" s="129"/>
      <c r="H123" s="134"/>
      <c r="I123" s="45" t="str">
        <f ca="1">IF(I122&lt;&gt;""," Completed","")</f>
        <v xml:space="preserve"> Completed</v>
      </c>
      <c r="J123" s="46" t="str">
        <f ca="1">IF(J121&lt;&gt;"","Completed","")</f>
        <v>Completed</v>
      </c>
    </row>
    <row r="124" spans="1:10" ht="15.75" customHeight="1" x14ac:dyDescent="0.35">
      <c r="A124" s="110" t="s">
        <v>48</v>
      </c>
      <c r="B124" s="105"/>
      <c r="C124" s="79" t="s">
        <v>137</v>
      </c>
      <c r="D124" s="79" t="s">
        <v>82</v>
      </c>
      <c r="E124" s="105" t="s">
        <v>84</v>
      </c>
      <c r="F124" s="105"/>
      <c r="G124" s="105" t="s">
        <v>83</v>
      </c>
      <c r="H124" s="135"/>
      <c r="I124" s="16" t="s">
        <v>139</v>
      </c>
      <c r="J124" s="29">
        <f ca="1">H122*25%</f>
        <v>1.75</v>
      </c>
    </row>
    <row r="125" spans="1:10" x14ac:dyDescent="0.35">
      <c r="A125" s="105" t="s">
        <v>126</v>
      </c>
      <c r="B125" s="105"/>
      <c r="C125" s="99">
        <f ca="1">J126</f>
        <v>7</v>
      </c>
      <c r="D125" s="52">
        <f ca="1">((100/H122)*C125)/100</f>
        <v>1</v>
      </c>
      <c r="E125" s="128">
        <f ca="1">(((C126/H122*10)+(40/(D122+F122+H122)*C127)+(7.5/(H122)*C128)+(7.5/(H122)*C129)+(10/H122*C130)+(10/H122*C131)+(5/H122*C132)+(5/H122*C133)+(5/H122*C134))/100)</f>
        <v>0.87857142857142856</v>
      </c>
      <c r="F125" s="128"/>
      <c r="G125" s="128">
        <f ca="1">((((C125/H122)*20)+((C126/H122)*25)+(30/(H122+F122+D122)*C127)+(5/H122*C128)+(5/H122*C129)+(5/H122*C130)+(5/H122*C131)+(0/H122*C132)+(0/H122*C133)+(5/H122*C134))/100)</f>
        <v>0.94285714285714295</v>
      </c>
      <c r="H125" s="128"/>
      <c r="I125" s="16" t="s">
        <v>95</v>
      </c>
      <c r="J125" s="30">
        <f ca="1">H122*50%</f>
        <v>3.5</v>
      </c>
    </row>
    <row r="126" spans="1:10" x14ac:dyDescent="0.35">
      <c r="A126" s="105" t="s">
        <v>49</v>
      </c>
      <c r="B126" s="105"/>
      <c r="C126" s="69">
        <v>7</v>
      </c>
      <c r="D126" s="52">
        <f ca="1">((100/H122)*C126)/100</f>
        <v>1</v>
      </c>
      <c r="E126" s="128"/>
      <c r="F126" s="128"/>
      <c r="G126" s="128"/>
      <c r="H126" s="128"/>
      <c r="I126" s="16" t="s">
        <v>96</v>
      </c>
      <c r="J126" s="30">
        <f ca="1">H122</f>
        <v>7</v>
      </c>
    </row>
    <row r="127" spans="1:10" ht="15.75" customHeight="1" x14ac:dyDescent="0.35">
      <c r="A127" s="105" t="s">
        <v>127</v>
      </c>
      <c r="B127" s="105"/>
      <c r="C127" s="99">
        <v>8</v>
      </c>
      <c r="D127" s="52">
        <f ca="1">((100/(D122+F122+H122))*C127)/100</f>
        <v>1</v>
      </c>
      <c r="E127" s="128"/>
      <c r="F127" s="128"/>
      <c r="G127" s="128"/>
      <c r="H127" s="128"/>
      <c r="I127" s="16" t="s">
        <v>97</v>
      </c>
      <c r="J127" s="31">
        <f ca="1">(IF(B122&gt;1,(H122/(B122+2)),H122/4))</f>
        <v>1.75</v>
      </c>
    </row>
    <row r="128" spans="1:10" ht="15.75" customHeight="1" x14ac:dyDescent="0.35">
      <c r="A128" s="105" t="s">
        <v>134</v>
      </c>
      <c r="B128" s="105" t="s">
        <v>128</v>
      </c>
      <c r="C128" s="99">
        <v>7</v>
      </c>
      <c r="D128" s="52">
        <f ca="1">((100/H122)*C128)/100</f>
        <v>1</v>
      </c>
      <c r="E128" s="128"/>
      <c r="F128" s="128"/>
      <c r="G128" s="128"/>
      <c r="H128" s="128"/>
      <c r="I128" s="16" t="s">
        <v>98</v>
      </c>
      <c r="J128" s="31">
        <f ca="1">(IF(B122&gt;1,(H122/(B122+2)+J127),H122/4+J127))</f>
        <v>3.5</v>
      </c>
    </row>
    <row r="129" spans="1:10" ht="15.75" customHeight="1" x14ac:dyDescent="0.35">
      <c r="A129" s="105" t="s">
        <v>135</v>
      </c>
      <c r="B129" s="105" t="s">
        <v>128</v>
      </c>
      <c r="C129" s="69">
        <v>7</v>
      </c>
      <c r="D129" s="52">
        <f ca="1">((100/H122)*C129)/100</f>
        <v>1</v>
      </c>
      <c r="E129" s="128"/>
      <c r="F129" s="128"/>
      <c r="G129" s="128"/>
      <c r="H129" s="128"/>
      <c r="I129" s="16" t="s">
        <v>144</v>
      </c>
      <c r="J129" s="31">
        <f>(IF(B122&gt;1,(H122/(B122+2)+J128),0))</f>
        <v>0</v>
      </c>
    </row>
    <row r="130" spans="1:10" ht="15" customHeight="1" x14ac:dyDescent="0.35">
      <c r="A130" s="105" t="s">
        <v>133</v>
      </c>
      <c r="B130" s="105" t="s">
        <v>130</v>
      </c>
      <c r="C130" s="69">
        <v>7</v>
      </c>
      <c r="D130" s="52">
        <f ca="1">((100/(H122))*C130)/100</f>
        <v>1</v>
      </c>
      <c r="E130" s="128"/>
      <c r="F130" s="128"/>
      <c r="G130" s="128"/>
      <c r="H130" s="128"/>
      <c r="I130" s="16" t="s">
        <v>141</v>
      </c>
      <c r="J130" s="31">
        <f>(IF(B122&gt;2,(H122/(B122+2)+J129),0))</f>
        <v>0</v>
      </c>
    </row>
    <row r="131" spans="1:10" ht="15.75" customHeight="1" x14ac:dyDescent="0.35">
      <c r="A131" s="105" t="s">
        <v>129</v>
      </c>
      <c r="B131" s="105" t="s">
        <v>129</v>
      </c>
      <c r="C131" s="99">
        <v>6</v>
      </c>
      <c r="D131" s="52">
        <f ca="1">((100/H122)*C131)/100</f>
        <v>0.85714285714285721</v>
      </c>
      <c r="E131" s="128"/>
      <c r="F131" s="128"/>
      <c r="G131" s="128"/>
      <c r="H131" s="128"/>
      <c r="I131" s="16" t="s">
        <v>142</v>
      </c>
      <c r="J131" s="32">
        <f>(IF(B122&gt;3,(H122/(B122+2)+J130),0))</f>
        <v>0</v>
      </c>
    </row>
    <row r="132" spans="1:10" ht="15.75" customHeight="1" x14ac:dyDescent="0.35">
      <c r="A132" s="105" t="s">
        <v>136</v>
      </c>
      <c r="B132" s="105"/>
      <c r="C132" s="99">
        <v>6</v>
      </c>
      <c r="D132" s="52">
        <f ca="1">((100/H122)*C132)/100</f>
        <v>0.85714285714285721</v>
      </c>
      <c r="E132" s="128"/>
      <c r="F132" s="128"/>
      <c r="G132" s="128"/>
      <c r="H132" s="128"/>
      <c r="I132" s="16" t="s">
        <v>143</v>
      </c>
      <c r="J132" s="31">
        <f>(IF(B122&gt;4,(H122/(B122+2)+J131),0))</f>
        <v>0</v>
      </c>
    </row>
    <row r="133" spans="1:10" ht="15.75" customHeight="1" x14ac:dyDescent="0.35">
      <c r="A133" s="105" t="s">
        <v>131</v>
      </c>
      <c r="B133" s="105" t="s">
        <v>131</v>
      </c>
      <c r="C133" s="99">
        <v>0</v>
      </c>
      <c r="D133" s="52">
        <f ca="1">((100/(H122))*C133)/100</f>
        <v>0</v>
      </c>
      <c r="E133" s="128"/>
      <c r="F133" s="128"/>
      <c r="G133" s="128"/>
      <c r="H133" s="128"/>
      <c r="I133" s="16" t="s">
        <v>145</v>
      </c>
      <c r="J133" s="31">
        <f ca="1">(IF(B122=1,(H122/(B122+3)+J128),IF(B122=0,(H122/4+J128),IF(B122&gt;1,0))))</f>
        <v>5.25</v>
      </c>
    </row>
    <row r="134" spans="1:10" ht="16" thickBot="1" x14ac:dyDescent="0.4">
      <c r="A134" s="105" t="s">
        <v>132</v>
      </c>
      <c r="B134" s="105"/>
      <c r="C134" s="99">
        <v>0</v>
      </c>
      <c r="D134" s="52">
        <f ca="1">((100/(H122))*C134)/100</f>
        <v>0</v>
      </c>
      <c r="E134" s="128"/>
      <c r="F134" s="128"/>
      <c r="G134" s="128"/>
      <c r="H134" s="128"/>
      <c r="I134" s="17" t="s">
        <v>99</v>
      </c>
      <c r="J134" s="33">
        <f ca="1">(IF(B122&gt;1.5,(H122/(B122+2)+J128+MAX(0,J129-J128)+MAX(0,J130-J129)+MAX(0,J131-J130)+MAX(0,J132-J131)+MAX(0,J133-J132)),IF(B122=1,(H122/(B122+3)+J133),IF(B122=0,H122/4+J133))))</f>
        <v>7</v>
      </c>
    </row>
    <row r="135" spans="1:10" ht="15.75" customHeight="1" x14ac:dyDescent="0.35">
      <c r="A135" s="129" t="s">
        <v>138</v>
      </c>
      <c r="B135" s="129"/>
      <c r="C135" s="129" t="s">
        <v>254</v>
      </c>
      <c r="D135" s="129"/>
      <c r="E135" s="129"/>
      <c r="F135" s="129"/>
      <c r="G135" s="129"/>
      <c r="H135" s="129"/>
      <c r="I135" s="88" t="str">
        <f ca="1">IF(D148=100%,"All work Completed. Possession granted to the Building.",IF(D147=100%,"All work Completed, Waiting for OC",I136&amp;""&amp;I137&amp;""&amp;J136&amp;""&amp;J135&amp;" "&amp;J137))</f>
        <v>Excavation, Plinth, RCC Slab, Brickwork, Internal Plaster, External Plaster Completed, Flooring upto 5 Floor, Painting upto 4 Floor Completed</v>
      </c>
      <c r="J135" s="44" t="str">
        <f ca="1">(IF(C141=(D136+F136+H136),"",IF(C141&gt;0,", RCC upto "&amp;C141&amp;" Slab","")))&amp;(IF(C142=H136,"",IF(C142&gt;0,", Brickwork upto "&amp;C142&amp;" Floor","")))&amp;(IF(C143=H136,"",IF(C143&gt;0,", Internal Plaster upto "&amp;C143&amp;" Floor","")))&amp;(IF(C144=H136,"",IF(C144&gt;0,", External Plaster upto "&amp;C144&amp;" Floor","")))&amp;(IF(C145=H136,"",IF(C145&gt;0,", Flooring upto "&amp;C145&amp;" Floor","")))&amp;(IF(C146=H136,"",IF(C146&gt;0,", Painting upto "&amp;C146&amp;" Floor","")))&amp;(IF(C147=H136,"",IF(C147&gt;0,", Finishing upto "&amp;C147&amp;" Floor","")))&amp;(IF(C148=H136,"",IF(C148&gt;0,", Possession upto "&amp;C148&amp;" Floor","")))</f>
        <v>, Flooring upto 5 Floor, Painting upto 4 Floor</v>
      </c>
    </row>
    <row r="136" spans="1:10" x14ac:dyDescent="0.35">
      <c r="A136" s="104" t="s">
        <v>140</v>
      </c>
      <c r="B136" s="104">
        <v>0</v>
      </c>
      <c r="C136" s="104" t="s">
        <v>71</v>
      </c>
      <c r="D136" s="104">
        <v>1</v>
      </c>
      <c r="E136" s="104" t="s">
        <v>70</v>
      </c>
      <c r="F136" s="104">
        <v>0</v>
      </c>
      <c r="G136" s="104" t="s">
        <v>79</v>
      </c>
      <c r="H136" s="104">
        <f ca="1">--TRIM(RIGHT(SUBSTITUTE(LEFT(C135,_xlfn.AGGREGATE(16,6,FIND({0,1,2,3,4,5,6,7,8,9},C135,ROW(INDIRECT("1:"&amp;LEN(C135)))),1))," ",REPT(" ",LEN(C135))),LEN(C135)))</f>
        <v>7</v>
      </c>
      <c r="I136" s="89" t="str">
        <f ca="1">IF(D139=100%,"Excavation","")&amp;IF(D140=100%,", Plinth","")&amp;IF(D141=100%,", RCC Slab","")&amp;IF(D142=100%,", Brickwork","")&amp;IF(D143=100%,", Internal Plaster","")&amp;IF(D144=100%,", External Plaster","")&amp;IF(D145=100%,", Flooring","")&amp;IF(D146=100%,", Painting","")&amp;IF(D147=100%,", Building common Amenities","")</f>
        <v>Excavation, Plinth, RCC Slab, Brickwork, Internal Plaster, External Plaster</v>
      </c>
      <c r="J136" s="46" t="str">
        <f ca="1">(IF(C139=0,"Work not yet Started.",IF(D139=25%,"Piling work in process",IF(D139=50%,"Excavation work in process",IF(D139=100%,"","0")))))&amp;(IF(C140=0%,"",IF(C140=J141,", Footing work is process",IF(C140=J142,", Footing work Completed",IF(C140=J143,", 1st Basement Completed",IF(C140=J144,", 1st &amp; 2nd Basement Completed",IF(C140=J145,", 1st to 3rd Basement Completed",IF(C140=J146,", 1st to 4th Basement Completed",IF(C140=J147,", Plinth work is process",IF(C140=J148,"","0"))))))))))</f>
        <v/>
      </c>
    </row>
    <row r="137" spans="1:10" ht="32.15" customHeight="1" x14ac:dyDescent="0.35">
      <c r="A137" s="133" t="s">
        <v>89</v>
      </c>
      <c r="B137" s="133"/>
      <c r="C137" s="129" t="str">
        <f ca="1">(IF($C$61=C135,"All work Completed. OC Received.",I135))</f>
        <v>Excavation, Plinth, RCC Slab, Brickwork, Internal Plaster, External Plaster Completed, Flooring upto 5 Floor, Painting upto 4 Floor Completed</v>
      </c>
      <c r="D137" s="129"/>
      <c r="E137" s="129"/>
      <c r="F137" s="129"/>
      <c r="G137" s="129"/>
      <c r="H137" s="129"/>
      <c r="I137" s="89" t="str">
        <f ca="1">IF(I136&lt;&gt;""," Completed","")</f>
        <v xml:space="preserve"> Completed</v>
      </c>
      <c r="J137" s="46" t="str">
        <f ca="1">IF(J135&lt;&gt;"","Completed","")</f>
        <v>Completed</v>
      </c>
    </row>
    <row r="138" spans="1:10" ht="15.75" customHeight="1" x14ac:dyDescent="0.35">
      <c r="A138" s="105" t="s">
        <v>48</v>
      </c>
      <c r="B138" s="105"/>
      <c r="C138" s="103" t="s">
        <v>137</v>
      </c>
      <c r="D138" s="103" t="s">
        <v>82</v>
      </c>
      <c r="E138" s="105" t="s">
        <v>84</v>
      </c>
      <c r="F138" s="105"/>
      <c r="G138" s="105" t="s">
        <v>83</v>
      </c>
      <c r="H138" s="105"/>
      <c r="I138" s="16" t="s">
        <v>139</v>
      </c>
      <c r="J138" s="29">
        <f ca="1">H136*25%</f>
        <v>1.75</v>
      </c>
    </row>
    <row r="139" spans="1:10" x14ac:dyDescent="0.35">
      <c r="A139" s="105" t="s">
        <v>126</v>
      </c>
      <c r="B139" s="105"/>
      <c r="C139" s="103">
        <f ca="1">J140</f>
        <v>7</v>
      </c>
      <c r="D139" s="52">
        <f ca="1">((100/H136)*C139)/100</f>
        <v>1</v>
      </c>
      <c r="E139" s="128">
        <f ca="1">(((C140/H136*10)+(40/(D136+F136+H136)*C141)+(7.5/(H136)*C142)+(7.5/(H136)*C143)+(10/H136*C144)+(10/H136*C145)+(5/H136*C146)+(5/H136*C147)+(5/H136*C148))/100)</f>
        <v>0.85</v>
      </c>
      <c r="F139" s="128"/>
      <c r="G139" s="128">
        <f ca="1">((((C139/H136)*20)+((C140/H136)*25)+(30/(H136+F136+D136)*C141)+(5/H136*C142)+(5/H136*C143)+(5/H136*C144)+(5/H136*C145)+(0/H136*C146)+(0/H136*C147)+(5/H136*C148))/100)</f>
        <v>0.93571428571428572</v>
      </c>
      <c r="H139" s="128"/>
      <c r="I139" s="16" t="s">
        <v>95</v>
      </c>
      <c r="J139" s="30">
        <f ca="1">H136*50%</f>
        <v>3.5</v>
      </c>
    </row>
    <row r="140" spans="1:10" x14ac:dyDescent="0.35">
      <c r="A140" s="105" t="s">
        <v>49</v>
      </c>
      <c r="B140" s="105"/>
      <c r="C140" s="69">
        <v>7</v>
      </c>
      <c r="D140" s="52">
        <f ca="1">((100/H136)*C140)/100</f>
        <v>1</v>
      </c>
      <c r="E140" s="128"/>
      <c r="F140" s="128"/>
      <c r="G140" s="128"/>
      <c r="H140" s="128"/>
      <c r="I140" s="16" t="s">
        <v>96</v>
      </c>
      <c r="J140" s="30">
        <f ca="1">H136</f>
        <v>7</v>
      </c>
    </row>
    <row r="141" spans="1:10" ht="15.75" customHeight="1" x14ac:dyDescent="0.35">
      <c r="A141" s="105" t="s">
        <v>127</v>
      </c>
      <c r="B141" s="105"/>
      <c r="C141" s="103">
        <v>8</v>
      </c>
      <c r="D141" s="52">
        <f ca="1">((100/(D136+F136+H136))*C141)/100</f>
        <v>1</v>
      </c>
      <c r="E141" s="128"/>
      <c r="F141" s="128"/>
      <c r="G141" s="128"/>
      <c r="H141" s="128"/>
      <c r="I141" s="16" t="s">
        <v>97</v>
      </c>
      <c r="J141" s="31">
        <f ca="1">(IF(B136&gt;1,(H136/(B136+2)),H136/4))</f>
        <v>1.75</v>
      </c>
    </row>
    <row r="142" spans="1:10" ht="15.75" customHeight="1" x14ac:dyDescent="0.35">
      <c r="A142" s="105" t="s">
        <v>134</v>
      </c>
      <c r="B142" s="105" t="s">
        <v>128</v>
      </c>
      <c r="C142" s="103">
        <f>C141-1</f>
        <v>7</v>
      </c>
      <c r="D142" s="52">
        <f ca="1">((100/H136)*C142)/100</f>
        <v>1</v>
      </c>
      <c r="E142" s="128"/>
      <c r="F142" s="128"/>
      <c r="G142" s="128"/>
      <c r="H142" s="128"/>
      <c r="I142" s="16" t="s">
        <v>98</v>
      </c>
      <c r="J142" s="31">
        <f ca="1">(IF(B136&gt;1,(H136/(B136+2)+J141),H136/4+J141))</f>
        <v>3.5</v>
      </c>
    </row>
    <row r="143" spans="1:10" ht="15.75" customHeight="1" x14ac:dyDescent="0.35">
      <c r="A143" s="105" t="s">
        <v>135</v>
      </c>
      <c r="B143" s="105" t="s">
        <v>128</v>
      </c>
      <c r="C143" s="69">
        <v>7</v>
      </c>
      <c r="D143" s="52">
        <f ca="1">((100/H136)*C143)/100</f>
        <v>1</v>
      </c>
      <c r="E143" s="128"/>
      <c r="F143" s="128"/>
      <c r="G143" s="128"/>
      <c r="H143" s="128"/>
      <c r="I143" s="16" t="s">
        <v>144</v>
      </c>
      <c r="J143" s="31">
        <f>(IF(B136&gt;1,(H136/(B136+2)+J142),0))</f>
        <v>0</v>
      </c>
    </row>
    <row r="144" spans="1:10" ht="15" customHeight="1" x14ac:dyDescent="0.35">
      <c r="A144" s="105" t="s">
        <v>133</v>
      </c>
      <c r="B144" s="105" t="s">
        <v>130</v>
      </c>
      <c r="C144" s="69">
        <v>7</v>
      </c>
      <c r="D144" s="52">
        <f ca="1">((100/(H136))*C144)/100</f>
        <v>1</v>
      </c>
      <c r="E144" s="128"/>
      <c r="F144" s="128"/>
      <c r="G144" s="128"/>
      <c r="H144" s="128"/>
      <c r="I144" s="16" t="s">
        <v>141</v>
      </c>
      <c r="J144" s="31">
        <f>(IF(B136&gt;2,(H136/(B136+2)+J143),0))</f>
        <v>0</v>
      </c>
    </row>
    <row r="145" spans="1:10" ht="15.75" customHeight="1" x14ac:dyDescent="0.35">
      <c r="A145" s="105" t="s">
        <v>129</v>
      </c>
      <c r="B145" s="105" t="s">
        <v>129</v>
      </c>
      <c r="C145" s="103">
        <v>5</v>
      </c>
      <c r="D145" s="52">
        <f ca="1">((100/H136)*C145)/100</f>
        <v>0.7142857142857143</v>
      </c>
      <c r="E145" s="128"/>
      <c r="F145" s="128"/>
      <c r="G145" s="128"/>
      <c r="H145" s="128"/>
      <c r="I145" s="16" t="s">
        <v>142</v>
      </c>
      <c r="J145" s="32">
        <f>(IF(B136&gt;3,(H136/(B136+2)+J144),0))</f>
        <v>0</v>
      </c>
    </row>
    <row r="146" spans="1:10" ht="15.75" customHeight="1" x14ac:dyDescent="0.35">
      <c r="A146" s="105" t="s">
        <v>136</v>
      </c>
      <c r="B146" s="105"/>
      <c r="C146" s="103">
        <v>4</v>
      </c>
      <c r="D146" s="52">
        <f ca="1">((100/H136)*C146)/100</f>
        <v>0.57142857142857151</v>
      </c>
      <c r="E146" s="128"/>
      <c r="F146" s="128"/>
      <c r="G146" s="128"/>
      <c r="H146" s="128"/>
      <c r="I146" s="16" t="s">
        <v>143</v>
      </c>
      <c r="J146" s="31">
        <f>(IF(B136&gt;4,(H136/(B136+2)+J145),0))</f>
        <v>0</v>
      </c>
    </row>
    <row r="147" spans="1:10" ht="15.75" customHeight="1" x14ac:dyDescent="0.35">
      <c r="A147" s="105" t="s">
        <v>131</v>
      </c>
      <c r="B147" s="105" t="s">
        <v>131</v>
      </c>
      <c r="C147" s="103">
        <v>0</v>
      </c>
      <c r="D147" s="52">
        <f ca="1">((100/(H136))*C147)/100</f>
        <v>0</v>
      </c>
      <c r="E147" s="128"/>
      <c r="F147" s="128"/>
      <c r="G147" s="128"/>
      <c r="H147" s="128"/>
      <c r="I147" s="16" t="s">
        <v>145</v>
      </c>
      <c r="J147" s="31">
        <f ca="1">(IF(B136=1,(H136/(B136+3)+J142),IF(B136=0,(H136/4+J142),IF(B136&gt;1,0))))</f>
        <v>5.25</v>
      </c>
    </row>
    <row r="148" spans="1:10" ht="16" thickBot="1" x14ac:dyDescent="0.4">
      <c r="A148" s="105" t="s">
        <v>132</v>
      </c>
      <c r="B148" s="105"/>
      <c r="C148" s="103">
        <v>0</v>
      </c>
      <c r="D148" s="52">
        <f ca="1">((100/(H136))*C148)/100</f>
        <v>0</v>
      </c>
      <c r="E148" s="128"/>
      <c r="F148" s="128"/>
      <c r="G148" s="128"/>
      <c r="H148" s="128"/>
      <c r="I148" s="17" t="s">
        <v>99</v>
      </c>
      <c r="J148" s="33">
        <f ca="1">(IF(B136&gt;1.5,(H136/(B136+2)+J142+MAX(0,J143-J142)+MAX(0,J144-J143)+MAX(0,J145-J144)+MAX(0,J146-J145)+MAX(0,J147-J146)),IF(B136=1,(H136/(B136+3)+J147),IF(B136=0,H136/4+J147))))</f>
        <v>7</v>
      </c>
    </row>
    <row r="149" spans="1:10" ht="15.75" customHeight="1" x14ac:dyDescent="0.35">
      <c r="A149" s="151" t="s">
        <v>138</v>
      </c>
      <c r="B149" s="152"/>
      <c r="C149" s="153" t="str">
        <f>D67</f>
        <v>Phase I - Building No. 5 = G + 7th Floor</v>
      </c>
      <c r="D149" s="154"/>
      <c r="E149" s="154"/>
      <c r="F149" s="154"/>
      <c r="G149" s="154"/>
      <c r="H149" s="155"/>
      <c r="I149" s="68" t="str">
        <f ca="1">IF(D162=100%,"All work Completed. Possession granted to the Building.",IF(D161=100%,"All work Completed, Waiting for OC",I150&amp;""&amp;I151&amp;""&amp;J150&amp;""&amp;J149&amp;" "&amp;J151))</f>
        <v>Excavation, Plinth, RCC Slab, Brickwork, Internal Plaster Completed, External Plaster upto 6 Floor Completed</v>
      </c>
      <c r="J149" s="44" t="str">
        <f ca="1">(IF(C155=(D150+F150+H150),"",IF(C155&gt;0,", RCC upto "&amp;C155&amp;" Slab","")))&amp;(IF(C156=H150,"",IF(C156&gt;0,", Brickwork upto "&amp;C156&amp;" Floor","")))&amp;(IF(C157=H150,"",IF(C157&gt;0,", Internal Plaster upto "&amp;C157&amp;" Floor","")))&amp;(IF(C158=H150,"",IF(C158&gt;0,", External Plaster upto "&amp;C158&amp;" Floor","")))&amp;(IF(C159=H150,"",IF(C159&gt;0,", Flooring upto "&amp;C159&amp;" Floor","")))&amp;(IF(C160=H150,"",IF(C160&gt;0,", Painting upto "&amp;C160&amp;" Floor","")))&amp;(IF(C161=H150,"",IF(C161&gt;0,", Finishing upto "&amp;C161&amp;" Floor","")))&amp;(IF(C162=H150,"",IF(C162&gt;0,", Possession upto "&amp;C162&amp;" Floor","")))</f>
        <v>, External Plaster upto 6 Floor</v>
      </c>
    </row>
    <row r="150" spans="1:10" x14ac:dyDescent="0.35">
      <c r="A150" s="18" t="s">
        <v>140</v>
      </c>
      <c r="B150" s="87">
        <v>0</v>
      </c>
      <c r="C150" s="87" t="s">
        <v>71</v>
      </c>
      <c r="D150" s="87">
        <v>1</v>
      </c>
      <c r="E150" s="87" t="s">
        <v>70</v>
      </c>
      <c r="F150" s="87">
        <v>0</v>
      </c>
      <c r="G150" s="87" t="s">
        <v>79</v>
      </c>
      <c r="H150" s="19">
        <f ca="1">--TRIM(RIGHT(SUBSTITUTE(LEFT(C149,_xlfn.AGGREGATE(16,6,FIND({0,1,2,3,4,5,6,7,8,9},C149,ROW(INDIRECT("1:"&amp;LEN(C149)))),1))," ",REPT(" ",LEN(C149))),LEN(C149)))</f>
        <v>7</v>
      </c>
      <c r="I150" s="45" t="str">
        <f ca="1">IF(D153=100%,"Excavation","")&amp;IF(D154=100%,", Plinth","")&amp;IF(D155=100%,", RCC Slab","")&amp;IF(D156=100%,", Brickwork","")&amp;IF(D157=100%,", Internal Plaster","")&amp;IF(D158=100%,", External Plaster","")&amp;IF(D159=100%,", Flooring","")&amp;IF(D160=100%,", Painting","")&amp;IF(D161=100%,", Building common Amenities","")</f>
        <v>Excavation, Plinth, RCC Slab, Brickwork, Internal Plaster</v>
      </c>
      <c r="J150" s="46" t="str">
        <f ca="1">(IF(C153=0,"Work not yet Started.",IF(D153=25%,"Piling work in process",IF(D153=50%,"Excavation work in process",IF(D153=100%,"","0")))))&amp;(IF(C154=0%,"",IF(C154=J155,", Footing work is process",IF(C154=J156,", Footing work Completed",IF(C154=J157,", 1st Basement Completed",IF(C154=J158,", 1st &amp; 2nd Basement Completed",IF(C154=J159,", 1st to 3rd Basement Completed",IF(C154=J160,", 1st to 4th Basement Completed",IF(C154=J161,", Plinth work is process",IF(C154=J162,"","0"))))))))))</f>
        <v/>
      </c>
    </row>
    <row r="151" spans="1:10" ht="30.65" customHeight="1" x14ac:dyDescent="0.35">
      <c r="A151" s="132" t="s">
        <v>89</v>
      </c>
      <c r="B151" s="133"/>
      <c r="C151" s="129" t="str">
        <f ca="1">(IF($C$61=C149,"All work Completed. OC Received.",I149))</f>
        <v>Excavation, Plinth, RCC Slab, Brickwork, Internal Plaster Completed, External Plaster upto 6 Floor Completed</v>
      </c>
      <c r="D151" s="129"/>
      <c r="E151" s="129"/>
      <c r="F151" s="129"/>
      <c r="G151" s="129"/>
      <c r="H151" s="134"/>
      <c r="I151" s="45" t="str">
        <f ca="1">IF(I150&lt;&gt;""," Completed","")</f>
        <v xml:space="preserve"> Completed</v>
      </c>
      <c r="J151" s="46" t="str">
        <f ca="1">IF(J149&lt;&gt;"","Completed","")</f>
        <v>Completed</v>
      </c>
    </row>
    <row r="152" spans="1:10" ht="15.75" customHeight="1" x14ac:dyDescent="0.35">
      <c r="A152" s="110" t="s">
        <v>48</v>
      </c>
      <c r="B152" s="105"/>
      <c r="C152" s="85" t="s">
        <v>137</v>
      </c>
      <c r="D152" s="85" t="s">
        <v>82</v>
      </c>
      <c r="E152" s="105" t="s">
        <v>84</v>
      </c>
      <c r="F152" s="105"/>
      <c r="G152" s="105" t="s">
        <v>83</v>
      </c>
      <c r="H152" s="135"/>
      <c r="I152" s="16" t="s">
        <v>139</v>
      </c>
      <c r="J152" s="29">
        <f ca="1">H150*25%</f>
        <v>1.75</v>
      </c>
    </row>
    <row r="153" spans="1:10" x14ac:dyDescent="0.35">
      <c r="A153" s="110" t="s">
        <v>126</v>
      </c>
      <c r="B153" s="105"/>
      <c r="C153" s="85">
        <f ca="1">J154</f>
        <v>7</v>
      </c>
      <c r="D153" s="52">
        <f ca="1">((100/H150)*C153)/100</f>
        <v>1</v>
      </c>
      <c r="E153" s="106">
        <f ca="1">(((C154/H150*10)+(40/(D150+F150+H150)*C155)+(7.5/(H150)*C156)+(7.5/(H150)*C157)+(10/H150*C158)+(10/H150*C159)+(5/H150*C160)+(5/H150*C161)+(5/H150*C162))/100)</f>
        <v>0.73571428571428565</v>
      </c>
      <c r="F153" s="138"/>
      <c r="G153" s="106">
        <f ca="1">((((C153/H150)*20)+((C154/H150)*25)+(30/(H150+F150+D150)*C155)+(5/H150*C156)+(5/H150*C157)+(5/H150*C158)+(5/H150*C159)+(0/H150*C160)+(0/H150*C161)+(5/H150*C162))/100)</f>
        <v>0.8928571428571429</v>
      </c>
      <c r="H153" s="107"/>
      <c r="I153" s="16" t="s">
        <v>95</v>
      </c>
      <c r="J153" s="30">
        <f ca="1">H150*50%</f>
        <v>3.5</v>
      </c>
    </row>
    <row r="154" spans="1:10" x14ac:dyDescent="0.35">
      <c r="A154" s="110" t="s">
        <v>49</v>
      </c>
      <c r="B154" s="105"/>
      <c r="C154" s="69">
        <f ca="1">J162</f>
        <v>7</v>
      </c>
      <c r="D154" s="52">
        <f ca="1">((100/H150)*C154)/100</f>
        <v>1</v>
      </c>
      <c r="E154" s="108"/>
      <c r="F154" s="139"/>
      <c r="G154" s="108"/>
      <c r="H154" s="109"/>
      <c r="I154" s="16" t="s">
        <v>96</v>
      </c>
      <c r="J154" s="30">
        <f ca="1">H150</f>
        <v>7</v>
      </c>
    </row>
    <row r="155" spans="1:10" ht="15.75" customHeight="1" x14ac:dyDescent="0.35">
      <c r="A155" s="110" t="s">
        <v>127</v>
      </c>
      <c r="B155" s="105"/>
      <c r="C155" s="85">
        <v>8</v>
      </c>
      <c r="D155" s="52">
        <f ca="1">((100/(D150+F150+H150))*C155)/100</f>
        <v>1</v>
      </c>
      <c r="E155" s="108"/>
      <c r="F155" s="139"/>
      <c r="G155" s="108"/>
      <c r="H155" s="109"/>
      <c r="I155" s="16" t="s">
        <v>97</v>
      </c>
      <c r="J155" s="31">
        <f ca="1">(IF(B150&gt;1,(H150/(B150+2)),H150/4))</f>
        <v>1.75</v>
      </c>
    </row>
    <row r="156" spans="1:10" ht="15.75" customHeight="1" x14ac:dyDescent="0.35">
      <c r="A156" s="110" t="s">
        <v>134</v>
      </c>
      <c r="B156" s="105" t="s">
        <v>128</v>
      </c>
      <c r="C156" s="85">
        <f>C155-1</f>
        <v>7</v>
      </c>
      <c r="D156" s="52">
        <f ca="1">((100/H150)*C156)/100</f>
        <v>1</v>
      </c>
      <c r="E156" s="108"/>
      <c r="F156" s="139"/>
      <c r="G156" s="108"/>
      <c r="H156" s="109"/>
      <c r="I156" s="16" t="s">
        <v>98</v>
      </c>
      <c r="J156" s="31">
        <f ca="1">(IF(B150&gt;1,(H150/(B150+2)+J155),H150/4+J155))</f>
        <v>3.5</v>
      </c>
    </row>
    <row r="157" spans="1:10" ht="15.75" customHeight="1" x14ac:dyDescent="0.35">
      <c r="A157" s="110" t="s">
        <v>135</v>
      </c>
      <c r="B157" s="105" t="s">
        <v>128</v>
      </c>
      <c r="C157" s="69">
        <v>7</v>
      </c>
      <c r="D157" s="52">
        <f ca="1">((100/H150)*C157)/100</f>
        <v>1</v>
      </c>
      <c r="E157" s="108"/>
      <c r="F157" s="139"/>
      <c r="G157" s="108"/>
      <c r="H157" s="109"/>
      <c r="I157" s="16" t="s">
        <v>144</v>
      </c>
      <c r="J157" s="31">
        <f>(IF(B150&gt;1,(H150/(B150+2)+J156),0))</f>
        <v>0</v>
      </c>
    </row>
    <row r="158" spans="1:10" ht="15" customHeight="1" x14ac:dyDescent="0.35">
      <c r="A158" s="110" t="s">
        <v>133</v>
      </c>
      <c r="B158" s="105" t="s">
        <v>130</v>
      </c>
      <c r="C158" s="69">
        <v>6</v>
      </c>
      <c r="D158" s="52">
        <f ca="1">((100/(H150))*C158)/100</f>
        <v>0.85714285714285721</v>
      </c>
      <c r="E158" s="108"/>
      <c r="F158" s="139"/>
      <c r="G158" s="108"/>
      <c r="H158" s="109"/>
      <c r="I158" s="16" t="s">
        <v>141</v>
      </c>
      <c r="J158" s="31">
        <f>(IF(B150&gt;2,(H150/(B150+2)+J157),0))</f>
        <v>0</v>
      </c>
    </row>
    <row r="159" spans="1:10" ht="15.75" customHeight="1" x14ac:dyDescent="0.35">
      <c r="A159" s="110" t="s">
        <v>129</v>
      </c>
      <c r="B159" s="105" t="s">
        <v>129</v>
      </c>
      <c r="C159" s="85">
        <v>0</v>
      </c>
      <c r="D159" s="52">
        <f ca="1">((100/H150)*C159)/100</f>
        <v>0</v>
      </c>
      <c r="E159" s="108"/>
      <c r="F159" s="139"/>
      <c r="G159" s="108"/>
      <c r="H159" s="109"/>
      <c r="I159" s="16" t="s">
        <v>142</v>
      </c>
      <c r="J159" s="32">
        <f>(IF(B150&gt;3,(H150/(B150+2)+J158),0))</f>
        <v>0</v>
      </c>
    </row>
    <row r="160" spans="1:10" ht="15.75" customHeight="1" x14ac:dyDescent="0.35">
      <c r="A160" s="110" t="s">
        <v>136</v>
      </c>
      <c r="B160" s="105"/>
      <c r="C160" s="85">
        <v>0</v>
      </c>
      <c r="D160" s="52">
        <f ca="1">((100/H150)*C160)/100</f>
        <v>0</v>
      </c>
      <c r="E160" s="108"/>
      <c r="F160" s="139"/>
      <c r="G160" s="108"/>
      <c r="H160" s="109"/>
      <c r="I160" s="16" t="s">
        <v>143</v>
      </c>
      <c r="J160" s="31">
        <f>(IF(B150&gt;4,(H150/(B150+2)+J159),0))</f>
        <v>0</v>
      </c>
    </row>
    <row r="161" spans="1:10" ht="15.75" customHeight="1" x14ac:dyDescent="0.35">
      <c r="A161" s="110" t="s">
        <v>131</v>
      </c>
      <c r="B161" s="105" t="s">
        <v>131</v>
      </c>
      <c r="C161" s="85">
        <v>0</v>
      </c>
      <c r="D161" s="52">
        <f ca="1">((100/(H150))*C161)/100</f>
        <v>0</v>
      </c>
      <c r="E161" s="108"/>
      <c r="F161" s="139"/>
      <c r="G161" s="108"/>
      <c r="H161" s="109"/>
      <c r="I161" s="16" t="s">
        <v>145</v>
      </c>
      <c r="J161" s="31">
        <f ca="1">(IF(B150=1,(H150/(B150+3)+J156),IF(B150=0,(H150/4+J156),IF(B150&gt;1,0))))</f>
        <v>5.25</v>
      </c>
    </row>
    <row r="162" spans="1:10" ht="16" thickBot="1" x14ac:dyDescent="0.4">
      <c r="A162" s="118" t="s">
        <v>132</v>
      </c>
      <c r="B162" s="119"/>
      <c r="C162" s="86">
        <v>0</v>
      </c>
      <c r="D162" s="53">
        <f ca="1">((100/(H150))*C162)/100</f>
        <v>0</v>
      </c>
      <c r="E162" s="144"/>
      <c r="F162" s="145"/>
      <c r="G162" s="144"/>
      <c r="H162" s="146"/>
      <c r="I162" s="17" t="s">
        <v>99</v>
      </c>
      <c r="J162" s="33">
        <f ca="1">(IF(B150&gt;1.5,(H150/(B150+2)+J156+MAX(0,J157-J156)+MAX(0,J158-J157)+MAX(0,J159-J158)+MAX(0,J160-J159)+MAX(0,J161-J160)),IF(B150=1,(H150/(B150+3)+J161),IF(B150=0,H150/4+J161))))</f>
        <v>7</v>
      </c>
    </row>
    <row r="163" spans="1:10" x14ac:dyDescent="0.35">
      <c r="A163" s="136" t="s">
        <v>138</v>
      </c>
      <c r="B163" s="137"/>
      <c r="C163" s="140" t="str">
        <f>D69</f>
        <v xml:space="preserve">Phase I - Building No. 6 = G + 1st to 7th Floor 
</v>
      </c>
      <c r="D163" s="141"/>
      <c r="E163" s="141"/>
      <c r="F163" s="141"/>
      <c r="G163" s="141"/>
      <c r="H163" s="142"/>
      <c r="I163" s="68" t="str">
        <f ca="1">IF(D176=100%,"All work Completed. Possession granted to the Building.",IF(D175=100%,"All work Completed, Waiting for OC",I164&amp;""&amp;I165&amp;""&amp;J164&amp;""&amp;J163&amp;" "&amp;J165))</f>
        <v>Excavation, Plinth Completed, RCC upto 3 Slab, Brickwork upto 2 Floor Completed</v>
      </c>
      <c r="J163" s="44" t="str">
        <f ca="1">(IF(C169=(D164+F164+H164),"",IF(C169&gt;0,", RCC upto "&amp;C169&amp;" Slab","")))&amp;(IF(C170=H164,"",IF(C170&gt;0,", Brickwork upto "&amp;C170&amp;" Floor","")))&amp;(IF(C171=H164,"",IF(C171&gt;0,", Internal Plaster upto "&amp;C171&amp;" Floor","")))&amp;(IF(C172=H164,"",IF(C172&gt;0,", External Plaster upto "&amp;C172&amp;" Floor","")))&amp;(IF(C173=H164,"",IF(C173&gt;0,", Flooring upto "&amp;C173&amp;" Floor","")))&amp;(IF(C174=H164,"",IF(C174&gt;0,", Painting upto "&amp;C174&amp;" Floor","")))&amp;(IF(C175=H164,"",IF(C175&gt;0,", Finishing upto "&amp;C175&amp;" Floor","")))&amp;(IF(C176=H164,"",IF(C176&gt;0,", Possession upto "&amp;C176&amp;" Floor","")))</f>
        <v>, RCC upto 3 Slab, Brickwork upto 2 Floor</v>
      </c>
    </row>
    <row r="164" spans="1:10" x14ac:dyDescent="0.35">
      <c r="A164" s="18" t="s">
        <v>140</v>
      </c>
      <c r="B164" s="71">
        <v>0</v>
      </c>
      <c r="C164" s="71" t="s">
        <v>71</v>
      </c>
      <c r="D164" s="71">
        <v>1</v>
      </c>
      <c r="E164" s="71" t="s">
        <v>70</v>
      </c>
      <c r="F164" s="71">
        <v>0</v>
      </c>
      <c r="G164" s="71" t="s">
        <v>79</v>
      </c>
      <c r="H164" s="19">
        <f ca="1">--TRIM(RIGHT(SUBSTITUTE(LEFT(C163,_xlfn.AGGREGATE(16,6,FIND({0,1,2,3,4,5,6,7,8,9},C163,ROW(INDIRECT("1:"&amp;LEN(C163)))),1))," ",REPT(" ",LEN(C163))),LEN(C163)))</f>
        <v>7</v>
      </c>
      <c r="I164" s="45" t="str">
        <f ca="1">IF(D167=100%,"Excavation","")&amp;IF(D168=100%,", Plinth","")&amp;IF(D169=100%,", RCC Slab","")&amp;IF(D170=100%,", Brickwork","")&amp;IF(D171=100%,", Internal Plaster","")&amp;IF(D172=100%,", External Plaster","")&amp;IF(D173=100%,", Flooring","")&amp;IF(D174=100%,", Painting","")&amp;IF(D175=100%,", Building common Amenities","")</f>
        <v>Excavation, Plinth</v>
      </c>
      <c r="J164" s="46" t="str">
        <f ca="1">(IF(C167=0,"Work not yet Started.",IF(D167=25%,"Piling work in process",IF(D167=50%,"Excavation work in process",IF(D167=100%,"","0")))))&amp;(IF(C168=0%,"",IF(C168=J169,", Footing work is process",IF(C168=J170,", Footing work Completed",IF(C168=J171,", 1st Basement Completed",IF(C168=J172,", 1st &amp; 2nd Basement Completed",IF(C168=J173,", 1st to 3rd Basement Completed",IF(C168=J174,", 1st to 4th Basement Completed",IF(C168=J175,", Plinth work is process",IF(C168=J176,"","0"))))))))))</f>
        <v/>
      </c>
    </row>
    <row r="165" spans="1:10" ht="31.5" customHeight="1" x14ac:dyDescent="0.35">
      <c r="A165" s="132" t="s">
        <v>89</v>
      </c>
      <c r="B165" s="133"/>
      <c r="C165" s="129" t="str">
        <f ca="1">(IF($C$61=C163,"All work Completed. OC Received.",I163))</f>
        <v>Excavation, Plinth Completed, RCC upto 3 Slab, Brickwork upto 2 Floor Completed</v>
      </c>
      <c r="D165" s="129"/>
      <c r="E165" s="129"/>
      <c r="F165" s="129"/>
      <c r="G165" s="129"/>
      <c r="H165" s="134"/>
      <c r="I165" s="45" t="str">
        <f ca="1">IF(I164&lt;&gt;""," Completed","")</f>
        <v xml:space="preserve"> Completed</v>
      </c>
      <c r="J165" s="46" t="str">
        <f ca="1">IF(J163&lt;&gt;"","Completed","")</f>
        <v>Completed</v>
      </c>
    </row>
    <row r="166" spans="1:10" ht="15.75" customHeight="1" x14ac:dyDescent="0.35">
      <c r="A166" s="110" t="s">
        <v>48</v>
      </c>
      <c r="B166" s="105"/>
      <c r="C166" s="70" t="s">
        <v>137</v>
      </c>
      <c r="D166" s="70" t="s">
        <v>82</v>
      </c>
      <c r="E166" s="105" t="s">
        <v>84</v>
      </c>
      <c r="F166" s="105"/>
      <c r="G166" s="105" t="s">
        <v>83</v>
      </c>
      <c r="H166" s="135"/>
      <c r="I166" s="16" t="s">
        <v>139</v>
      </c>
      <c r="J166" s="29">
        <f ca="1">H164*25%</f>
        <v>1.75</v>
      </c>
    </row>
    <row r="167" spans="1:10" x14ac:dyDescent="0.35">
      <c r="A167" s="105" t="s">
        <v>126</v>
      </c>
      <c r="B167" s="105"/>
      <c r="C167" s="84">
        <v>7</v>
      </c>
      <c r="D167" s="52">
        <f ca="1">((100/H164)*C167)/100</f>
        <v>1</v>
      </c>
      <c r="E167" s="128">
        <f ca="1">(((C168/H164*10)+(40/(D164+F164+H164)*C169)+(7.5/(H164)*C170)+(7.5/(H164)*C171)+(10/H164*C172)+(10/H164*C173)+(5/H164*C174)+(5/H164*C175)+(5/H164*C176))/100)</f>
        <v>0.27142857142857141</v>
      </c>
      <c r="F167" s="128"/>
      <c r="G167" s="128">
        <f ca="1">((((C167/H164)*20)+((C168/H164)*25)+(30/(H164+F164+D164)*C169)+(5/H164*C170)+(5/H164*C171)+(5/H164*C172)+(5/H164*C173)+(0/H164*C174)+(0/H164*C175)+(5/H164*C176))/100)</f>
        <v>0.57678571428571435</v>
      </c>
      <c r="H167" s="128"/>
      <c r="I167" s="16" t="s">
        <v>95</v>
      </c>
      <c r="J167" s="30">
        <f ca="1">H164*50%</f>
        <v>3.5</v>
      </c>
    </row>
    <row r="168" spans="1:10" x14ac:dyDescent="0.35">
      <c r="A168" s="105" t="s">
        <v>49</v>
      </c>
      <c r="B168" s="105"/>
      <c r="C168" s="69">
        <f ca="1">J176</f>
        <v>7</v>
      </c>
      <c r="D168" s="52">
        <f ca="1">((100/H164)*C168)/100</f>
        <v>1</v>
      </c>
      <c r="E168" s="128"/>
      <c r="F168" s="128"/>
      <c r="G168" s="128"/>
      <c r="H168" s="128"/>
      <c r="I168" s="16" t="s">
        <v>96</v>
      </c>
      <c r="J168" s="30">
        <f ca="1">H164</f>
        <v>7</v>
      </c>
    </row>
    <row r="169" spans="1:10" ht="15.75" customHeight="1" x14ac:dyDescent="0.35">
      <c r="A169" s="105" t="s">
        <v>127</v>
      </c>
      <c r="B169" s="105"/>
      <c r="C169" s="84">
        <v>3</v>
      </c>
      <c r="D169" s="52">
        <f ca="1">((100/(D164+F164+H164))*C169)/100</f>
        <v>0.375</v>
      </c>
      <c r="E169" s="128"/>
      <c r="F169" s="128"/>
      <c r="G169" s="128"/>
      <c r="H169" s="128"/>
      <c r="I169" s="16" t="s">
        <v>97</v>
      </c>
      <c r="J169" s="31">
        <f ca="1">(IF(B164&gt;1,(H164/(B164+2)),H164/4))</f>
        <v>1.75</v>
      </c>
    </row>
    <row r="170" spans="1:10" ht="15.75" customHeight="1" x14ac:dyDescent="0.35">
      <c r="A170" s="105" t="s">
        <v>134</v>
      </c>
      <c r="B170" s="105" t="s">
        <v>128</v>
      </c>
      <c r="C170" s="84">
        <f>C169-1</f>
        <v>2</v>
      </c>
      <c r="D170" s="52">
        <f ca="1">((100/H164)*C170)/100</f>
        <v>0.28571428571428575</v>
      </c>
      <c r="E170" s="128"/>
      <c r="F170" s="128"/>
      <c r="G170" s="128"/>
      <c r="H170" s="128"/>
      <c r="I170" s="16" t="s">
        <v>98</v>
      </c>
      <c r="J170" s="31">
        <f ca="1">(IF(B164&gt;1,(H164/(B164+2)+J169),H164/4+J169))</f>
        <v>3.5</v>
      </c>
    </row>
    <row r="171" spans="1:10" ht="15.75" customHeight="1" x14ac:dyDescent="0.35">
      <c r="A171" s="105" t="s">
        <v>135</v>
      </c>
      <c r="B171" s="105" t="s">
        <v>128</v>
      </c>
      <c r="C171" s="84">
        <v>0</v>
      </c>
      <c r="D171" s="52">
        <f ca="1">((100/H164)*C171)/100</f>
        <v>0</v>
      </c>
      <c r="E171" s="128"/>
      <c r="F171" s="128"/>
      <c r="G171" s="128"/>
      <c r="H171" s="128"/>
      <c r="I171" s="16" t="s">
        <v>144</v>
      </c>
      <c r="J171" s="31">
        <f>(IF(B164&gt;1,(H164/(B164+2)+J170),0))</f>
        <v>0</v>
      </c>
    </row>
    <row r="172" spans="1:10" ht="15" customHeight="1" x14ac:dyDescent="0.35">
      <c r="A172" s="105" t="s">
        <v>133</v>
      </c>
      <c r="B172" s="105" t="s">
        <v>130</v>
      </c>
      <c r="C172" s="84">
        <v>0</v>
      </c>
      <c r="D172" s="52">
        <f ca="1">((100/(H164))*C172)/100</f>
        <v>0</v>
      </c>
      <c r="E172" s="128"/>
      <c r="F172" s="128"/>
      <c r="G172" s="128"/>
      <c r="H172" s="128"/>
      <c r="I172" s="16" t="s">
        <v>141</v>
      </c>
      <c r="J172" s="31">
        <f>(IF(B164&gt;2,(H164/(B164+2)+J171),0))</f>
        <v>0</v>
      </c>
    </row>
    <row r="173" spans="1:10" ht="15.75" customHeight="1" x14ac:dyDescent="0.35">
      <c r="A173" s="105" t="s">
        <v>129</v>
      </c>
      <c r="B173" s="105" t="s">
        <v>129</v>
      </c>
      <c r="C173" s="84">
        <v>0</v>
      </c>
      <c r="D173" s="52">
        <f ca="1">((100/H164)*C173)/100</f>
        <v>0</v>
      </c>
      <c r="E173" s="128"/>
      <c r="F173" s="128"/>
      <c r="G173" s="128"/>
      <c r="H173" s="128"/>
      <c r="I173" s="16" t="s">
        <v>142</v>
      </c>
      <c r="J173" s="32">
        <f>(IF(B164&gt;3,(H164/(B164+2)+J172),0))</f>
        <v>0</v>
      </c>
    </row>
    <row r="174" spans="1:10" ht="15.75" customHeight="1" x14ac:dyDescent="0.35">
      <c r="A174" s="105" t="s">
        <v>136</v>
      </c>
      <c r="B174" s="105"/>
      <c r="C174" s="84">
        <v>0</v>
      </c>
      <c r="D174" s="52">
        <f ca="1">((100/H164)*C174)/100</f>
        <v>0</v>
      </c>
      <c r="E174" s="128"/>
      <c r="F174" s="128"/>
      <c r="G174" s="128"/>
      <c r="H174" s="128"/>
      <c r="I174" s="16" t="s">
        <v>143</v>
      </c>
      <c r="J174" s="31">
        <f>(IF(B164&gt;4,(H164/(B164+2)+J173),0))</f>
        <v>0</v>
      </c>
    </row>
    <row r="175" spans="1:10" ht="15.75" customHeight="1" x14ac:dyDescent="0.35">
      <c r="A175" s="105" t="s">
        <v>131</v>
      </c>
      <c r="B175" s="105" t="s">
        <v>131</v>
      </c>
      <c r="C175" s="84">
        <v>0</v>
      </c>
      <c r="D175" s="52">
        <f ca="1">((100/(H164))*C175)/100</f>
        <v>0</v>
      </c>
      <c r="E175" s="128"/>
      <c r="F175" s="128"/>
      <c r="G175" s="128"/>
      <c r="H175" s="128"/>
      <c r="I175" s="16" t="s">
        <v>145</v>
      </c>
      <c r="J175" s="31">
        <f ca="1">(IF(B164=1,(H164/(B164+3)+J170),IF(B164=0,(H164/4+J170),IF(B164&gt;1,0))))</f>
        <v>5.25</v>
      </c>
    </row>
    <row r="176" spans="1:10" ht="16" thickBot="1" x14ac:dyDescent="0.4">
      <c r="A176" s="148" t="s">
        <v>132</v>
      </c>
      <c r="B176" s="148"/>
      <c r="C176" s="93">
        <v>0</v>
      </c>
      <c r="D176" s="94">
        <f ca="1">((100/(H164))*C176)/100</f>
        <v>0</v>
      </c>
      <c r="E176" s="143"/>
      <c r="F176" s="143"/>
      <c r="G176" s="143"/>
      <c r="H176" s="143"/>
      <c r="I176" s="17" t="s">
        <v>99</v>
      </c>
      <c r="J176" s="33">
        <f ca="1">(IF(B164&gt;1.5,(H164/(B164+2)+J170+MAX(0,J171-J170)+MAX(0,J172-J171)+MAX(0,J173-J172)+MAX(0,J174-J173)+MAX(0,J175-J174)),IF(B164=1,(H164/(B164+3)+J175),IF(B164=0,H164/4+J175))))</f>
        <v>7</v>
      </c>
    </row>
    <row r="177" spans="1:10" x14ac:dyDescent="0.35">
      <c r="A177" s="147" t="s">
        <v>138</v>
      </c>
      <c r="B177" s="130"/>
      <c r="C177" s="130" t="s">
        <v>264</v>
      </c>
      <c r="D177" s="130"/>
      <c r="E177" s="130"/>
      <c r="F177" s="130"/>
      <c r="G177" s="130"/>
      <c r="H177" s="131"/>
      <c r="I177" s="88" t="str">
        <f ca="1">IF(D190=100%,"All work Completed. Possession granted to the Building.",IF(D189=100%,"All work Completed, Waiting for OC",I178&amp;""&amp;I179&amp;""&amp;J178&amp;""&amp;J177&amp;" "&amp;J179))</f>
        <v>Excavation, Plinth, RCC Slab, Brickwork, Internal Plaster Completed, External Plaster upto 7 Floor Completed</v>
      </c>
      <c r="J177" s="44" t="str">
        <f ca="1">(IF(C183=(D178+F178+H178),"",IF(C183&gt;0,", RCC upto "&amp;C183&amp;" Slab","")))&amp;(IF(C184=H178,"",IF(C184&gt;0,", Brickwork upto "&amp;C184&amp;" Floor","")))&amp;(IF(C185=H178,"",IF(C185&gt;0,", Internal Plaster upto "&amp;C185&amp;" Floor","")))&amp;(IF(C186=H178,"",IF(C186&gt;0,", External Plaster upto "&amp;C186&amp;" Floor","")))&amp;(IF(C187=H178,"",IF(C187&gt;0,", Flooring upto "&amp;C187&amp;" Floor","")))&amp;(IF(C188=H178,"",IF(C188&gt;0,", Painting upto "&amp;C188&amp;" Floor","")))&amp;(IF(C189=H178,"",IF(C189&gt;0,", Finishing upto "&amp;C189&amp;" Floor","")))&amp;(IF(C190=H178,"",IF(C190&gt;0,", Possession upto "&amp;C190&amp;" Floor","")))</f>
        <v>, External Plaster upto 7 Floor</v>
      </c>
    </row>
    <row r="178" spans="1:10" x14ac:dyDescent="0.35">
      <c r="A178" s="18" t="s">
        <v>140</v>
      </c>
      <c r="B178" s="87">
        <v>0</v>
      </c>
      <c r="C178" s="87" t="s">
        <v>71</v>
      </c>
      <c r="D178" s="87">
        <v>1</v>
      </c>
      <c r="E178" s="87" t="s">
        <v>70</v>
      </c>
      <c r="F178" s="87">
        <v>0</v>
      </c>
      <c r="G178" s="87" t="s">
        <v>79</v>
      </c>
      <c r="H178" s="19">
        <f ca="1">--TRIM(RIGHT(SUBSTITUTE(LEFT(C177,_xlfn.AGGREGATE(16,6,FIND({0,1,2,3,4,5,6,7,8,9},C177,ROW(INDIRECT("1:"&amp;LEN(C177)))),1))," ",REPT(" ",LEN(C177))),LEN(C177)))</f>
        <v>11</v>
      </c>
      <c r="I178" s="89" t="str">
        <f ca="1">IF(D181=100%,"Excavation","")&amp;IF(D182=100%,", Plinth","")&amp;IF(D183=100%,", RCC Slab","")&amp;IF(D184=100%,", Brickwork","")&amp;IF(D185=100%,", Internal Plaster","")&amp;IF(D186=100%,", External Plaster","")&amp;IF(D187=100%,", Flooring","")&amp;IF(D188=100%,", Painting","")&amp;IF(D189=100%,", Building common Amenities","")</f>
        <v>Excavation, Plinth, RCC Slab, Brickwork, Internal Plaster</v>
      </c>
      <c r="J178" s="46" t="str">
        <f ca="1">(IF(C181=0,"Work not yet Started.",IF(D181=25%,"Piling work in process",IF(D181=50%,"Excavation work in process",IF(D181=100%,"","0")))))&amp;(IF(C182=0%,"",IF(C182=J183,", Footing work is process",IF(C182=J184,", Footing work Completed",IF(C182=J185,", 1st Basement Completed",IF(C182=J186,", 1st &amp; 2nd Basement Completed",IF(C182=J187,", 1st to 3rd Basement Completed",IF(C182=J188,", 1st to 4th Basement Completed",IF(C182=J189,", Plinth work is process",IF(C182=J190,"","0"))))))))))</f>
        <v/>
      </c>
    </row>
    <row r="179" spans="1:10" ht="33" customHeight="1" x14ac:dyDescent="0.35">
      <c r="A179" s="133" t="s">
        <v>89</v>
      </c>
      <c r="B179" s="133"/>
      <c r="C179" s="129" t="str">
        <f ca="1">(IF($C$61=C177,"All work Completed. OC Received.",I177))</f>
        <v>Excavation, Plinth, RCC Slab, Brickwork, Internal Plaster Completed, External Plaster upto 7 Floor Completed</v>
      </c>
      <c r="D179" s="129"/>
      <c r="E179" s="129"/>
      <c r="F179" s="129"/>
      <c r="G179" s="129"/>
      <c r="H179" s="129"/>
      <c r="I179" s="89" t="str">
        <f ca="1">IF(I178&lt;&gt;""," Completed","")</f>
        <v xml:space="preserve"> Completed</v>
      </c>
      <c r="J179" s="46" t="str">
        <f ca="1">IF(J177&lt;&gt;"","Completed","")</f>
        <v>Completed</v>
      </c>
    </row>
    <row r="180" spans="1:10" ht="15.75" customHeight="1" x14ac:dyDescent="0.35">
      <c r="A180" s="105" t="s">
        <v>48</v>
      </c>
      <c r="B180" s="105"/>
      <c r="C180" s="103" t="s">
        <v>137</v>
      </c>
      <c r="D180" s="103" t="s">
        <v>82</v>
      </c>
      <c r="E180" s="105" t="s">
        <v>84</v>
      </c>
      <c r="F180" s="105"/>
      <c r="G180" s="105" t="s">
        <v>83</v>
      </c>
      <c r="H180" s="105"/>
      <c r="I180" s="16" t="s">
        <v>139</v>
      </c>
      <c r="J180" s="29">
        <f ca="1">H178*25%</f>
        <v>2.75</v>
      </c>
    </row>
    <row r="181" spans="1:10" x14ac:dyDescent="0.35">
      <c r="A181" s="105" t="s">
        <v>126</v>
      </c>
      <c r="B181" s="105"/>
      <c r="C181" s="103">
        <v>11</v>
      </c>
      <c r="D181" s="52">
        <f ca="1">((100/H178)*C181)/100</f>
        <v>1.0000000000000002</v>
      </c>
      <c r="E181" s="128">
        <f ca="1">(((C182/H178*10)+(40/(D178+F178+H178)*C183)+(7.5/(H178)*C184)+(7.5/(H178)*C185)+(10/H178*C186)+(10/H178*C187)+(5/H178*C188)+(5/H178*C189)+(5/H178*C190))/100)</f>
        <v>0.71363636363636362</v>
      </c>
      <c r="F181" s="128"/>
      <c r="G181" s="128">
        <f ca="1">((((C181/H178)*20)+((C182/H178)*25)+(30/(H178+F178+D178)*C183)+(5/H178*C184)+(5/H178*C185)+(5/H178*C186)+(5/H178*C187)+(0/H178*C188)+(0/H178*C189)+(5/H178*C190))/100)</f>
        <v>0.88181818181818183</v>
      </c>
      <c r="H181" s="128"/>
      <c r="I181" s="16" t="s">
        <v>95</v>
      </c>
      <c r="J181" s="30">
        <f ca="1">H178*50%</f>
        <v>5.5</v>
      </c>
    </row>
    <row r="182" spans="1:10" x14ac:dyDescent="0.35">
      <c r="A182" s="105" t="s">
        <v>49</v>
      </c>
      <c r="B182" s="105"/>
      <c r="C182" s="69">
        <f ca="1">J190</f>
        <v>11</v>
      </c>
      <c r="D182" s="52">
        <f ca="1">((100/H178)*C182)/100</f>
        <v>1.0000000000000002</v>
      </c>
      <c r="E182" s="128"/>
      <c r="F182" s="128"/>
      <c r="G182" s="128"/>
      <c r="H182" s="128"/>
      <c r="I182" s="16" t="s">
        <v>96</v>
      </c>
      <c r="J182" s="30">
        <f ca="1">H178</f>
        <v>11</v>
      </c>
    </row>
    <row r="183" spans="1:10" ht="15.75" customHeight="1" x14ac:dyDescent="0.35">
      <c r="A183" s="105" t="s">
        <v>127</v>
      </c>
      <c r="B183" s="105"/>
      <c r="C183" s="103">
        <v>12</v>
      </c>
      <c r="D183" s="52">
        <f ca="1">((100/(D178+F178+H178))*C183)/100</f>
        <v>1</v>
      </c>
      <c r="E183" s="128"/>
      <c r="F183" s="128"/>
      <c r="G183" s="128"/>
      <c r="H183" s="128"/>
      <c r="I183" s="16" t="s">
        <v>97</v>
      </c>
      <c r="J183" s="31">
        <f ca="1">(IF(B178&gt;1,(H178/(B178+2)),H178/4))</f>
        <v>2.75</v>
      </c>
    </row>
    <row r="184" spans="1:10" ht="15.75" customHeight="1" x14ac:dyDescent="0.35">
      <c r="A184" s="105" t="s">
        <v>134</v>
      </c>
      <c r="B184" s="105" t="s">
        <v>128</v>
      </c>
      <c r="C184" s="103">
        <v>11</v>
      </c>
      <c r="D184" s="52">
        <f ca="1">((100/H178)*C184)/100</f>
        <v>1.0000000000000002</v>
      </c>
      <c r="E184" s="128"/>
      <c r="F184" s="128"/>
      <c r="G184" s="128"/>
      <c r="H184" s="128"/>
      <c r="I184" s="16" t="s">
        <v>98</v>
      </c>
      <c r="J184" s="31">
        <f ca="1">(IF(B178&gt;1,(H178/(B178+2)+J183),H178/4+J183))</f>
        <v>5.5</v>
      </c>
    </row>
    <row r="185" spans="1:10" ht="15.75" customHeight="1" x14ac:dyDescent="0.35">
      <c r="A185" s="105" t="s">
        <v>135</v>
      </c>
      <c r="B185" s="105" t="s">
        <v>128</v>
      </c>
      <c r="C185" s="103">
        <v>11</v>
      </c>
      <c r="D185" s="52">
        <f ca="1">((100/H178)*C185)/100</f>
        <v>1.0000000000000002</v>
      </c>
      <c r="E185" s="128"/>
      <c r="F185" s="128"/>
      <c r="G185" s="128"/>
      <c r="H185" s="128"/>
      <c r="I185" s="16" t="s">
        <v>144</v>
      </c>
      <c r="J185" s="31">
        <f>(IF(B178&gt;1,(H178/(B178+2)+J184),0))</f>
        <v>0</v>
      </c>
    </row>
    <row r="186" spans="1:10" ht="15" customHeight="1" x14ac:dyDescent="0.35">
      <c r="A186" s="105" t="s">
        <v>133</v>
      </c>
      <c r="B186" s="105" t="s">
        <v>130</v>
      </c>
      <c r="C186" s="103">
        <v>7</v>
      </c>
      <c r="D186" s="52">
        <f ca="1">((100/(H178))*C186)/100</f>
        <v>0.63636363636363635</v>
      </c>
      <c r="E186" s="128"/>
      <c r="F186" s="128"/>
      <c r="G186" s="128"/>
      <c r="H186" s="128"/>
      <c r="I186" s="16" t="s">
        <v>141</v>
      </c>
      <c r="J186" s="31">
        <f>(IF(B178&gt;2,(H178/(B178+2)+J185),0))</f>
        <v>0</v>
      </c>
    </row>
    <row r="187" spans="1:10" ht="15.75" customHeight="1" x14ac:dyDescent="0.35">
      <c r="A187" s="105" t="s">
        <v>129</v>
      </c>
      <c r="B187" s="105" t="s">
        <v>129</v>
      </c>
      <c r="C187" s="103">
        <v>0</v>
      </c>
      <c r="D187" s="52">
        <f ca="1">((100/H178)*C187)/100</f>
        <v>0</v>
      </c>
      <c r="E187" s="128"/>
      <c r="F187" s="128"/>
      <c r="G187" s="128"/>
      <c r="H187" s="128"/>
      <c r="I187" s="16" t="s">
        <v>142</v>
      </c>
      <c r="J187" s="32">
        <f>(IF(B178&gt;3,(H178/(B178+2)+J186),0))</f>
        <v>0</v>
      </c>
    </row>
    <row r="188" spans="1:10" ht="15.75" customHeight="1" x14ac:dyDescent="0.35">
      <c r="A188" s="105" t="s">
        <v>136</v>
      </c>
      <c r="B188" s="105"/>
      <c r="C188" s="103">
        <v>0</v>
      </c>
      <c r="D188" s="52">
        <f ca="1">((100/H178)*C188)/100</f>
        <v>0</v>
      </c>
      <c r="E188" s="128"/>
      <c r="F188" s="128"/>
      <c r="G188" s="128"/>
      <c r="H188" s="128"/>
      <c r="I188" s="16" t="s">
        <v>143</v>
      </c>
      <c r="J188" s="31">
        <f>(IF(B178&gt;4,(H178/(B178+2)+J187),0))</f>
        <v>0</v>
      </c>
    </row>
    <row r="189" spans="1:10" ht="15.75" customHeight="1" x14ac:dyDescent="0.35">
      <c r="A189" s="105" t="s">
        <v>131</v>
      </c>
      <c r="B189" s="105" t="s">
        <v>131</v>
      </c>
      <c r="C189" s="103">
        <v>0</v>
      </c>
      <c r="D189" s="52">
        <f ca="1">((100/(H178))*C189)/100</f>
        <v>0</v>
      </c>
      <c r="E189" s="128"/>
      <c r="F189" s="128"/>
      <c r="G189" s="128"/>
      <c r="H189" s="128"/>
      <c r="I189" s="16" t="s">
        <v>145</v>
      </c>
      <c r="J189" s="31">
        <f ca="1">(IF(B178=1,(H178/(B178+3)+J184),IF(B178=0,(H178/4+J184),IF(B178&gt;1,0))))</f>
        <v>8.25</v>
      </c>
    </row>
    <row r="190" spans="1:10" ht="16" thickBot="1" x14ac:dyDescent="0.4">
      <c r="A190" s="105" t="s">
        <v>132</v>
      </c>
      <c r="B190" s="105"/>
      <c r="C190" s="103">
        <v>0</v>
      </c>
      <c r="D190" s="52">
        <f ca="1">((100/(H178))*C190)/100</f>
        <v>0</v>
      </c>
      <c r="E190" s="128"/>
      <c r="F190" s="128"/>
      <c r="G190" s="128"/>
      <c r="H190" s="128"/>
      <c r="I190" s="17" t="s">
        <v>99</v>
      </c>
      <c r="J190" s="33">
        <f ca="1">(IF(B178&gt;1.5,(H178/(B178+2)+J184+MAX(0,J185-J184)+MAX(0,J186-J185)+MAX(0,J187-J186)+MAX(0,J188-J187)+MAX(0,J189-J188)),IF(B178=1,(H178/(B178+3)+J189),IF(B178=0,H178/4+J189))))</f>
        <v>11</v>
      </c>
    </row>
    <row r="191" spans="1:10" x14ac:dyDescent="0.35">
      <c r="A191" s="151" t="s">
        <v>138</v>
      </c>
      <c r="B191" s="152"/>
      <c r="C191" s="153" t="str">
        <f>D70</f>
        <v xml:space="preserve">Phase II - Building No. 9 = Gr + 1st to 11th Floor
</v>
      </c>
      <c r="D191" s="154"/>
      <c r="E191" s="154"/>
      <c r="F191" s="154"/>
      <c r="G191" s="154"/>
      <c r="H191" s="155"/>
      <c r="I191" s="68" t="str">
        <f ca="1">IF(D204=100%,"All work Completed. Possession granted to the Building.",IF(D203=100%,"All work Completed, Waiting for OC",I192&amp;""&amp;I193&amp;""&amp;J192&amp;""&amp;J191&amp;" "&amp;J193))</f>
        <v>Excavation, Plinth Completed, RCC upto 1 Slab Completed</v>
      </c>
      <c r="J191" s="44" t="str">
        <f ca="1">(IF(C197=(D192+F192+H192),"",IF(C197&gt;0,", RCC upto "&amp;C197&amp;" Slab","")))&amp;(IF(C198=H192,"",IF(C198&gt;0,", Brickwork upto "&amp;C198&amp;" Floor","")))&amp;(IF(C199=H192,"",IF(C199&gt;0,", Internal Plaster upto "&amp;C199&amp;" Floor","")))&amp;(IF(C200=H192,"",IF(C200&gt;0,", External Plaster upto "&amp;C200&amp;" Floor","")))&amp;(IF(C201=H192,"",IF(C201&gt;0,", Flooring upto "&amp;C201&amp;" Floor","")))&amp;(IF(C202=H192,"",IF(C202&gt;0,", Painting upto "&amp;C202&amp;" Floor","")))&amp;(IF(C203=H192,"",IF(C203&gt;0,", Finishing upto "&amp;C203&amp;" Floor","")))&amp;(IF(C204=H192,"",IF(C204&gt;0,", Possession upto "&amp;C204&amp;" Floor","")))</f>
        <v>, RCC upto 1 Slab</v>
      </c>
    </row>
    <row r="192" spans="1:10" x14ac:dyDescent="0.35">
      <c r="A192" s="18" t="s">
        <v>140</v>
      </c>
      <c r="B192" s="87">
        <v>0</v>
      </c>
      <c r="C192" s="87" t="s">
        <v>71</v>
      </c>
      <c r="D192" s="87">
        <v>1</v>
      </c>
      <c r="E192" s="87" t="s">
        <v>70</v>
      </c>
      <c r="F192" s="87">
        <v>0</v>
      </c>
      <c r="G192" s="87" t="s">
        <v>79</v>
      </c>
      <c r="H192" s="19">
        <f ca="1">--TRIM(RIGHT(SUBSTITUTE(LEFT(C191,_xlfn.AGGREGATE(16,6,FIND({0,1,2,3,4,5,6,7,8,9},C191,ROW(INDIRECT("1:"&amp;LEN(C191)))),1))," ",REPT(" ",LEN(C191))),LEN(C191)))</f>
        <v>11</v>
      </c>
      <c r="I192" s="45" t="str">
        <f ca="1">IF(D195=100%,"Excavation","")&amp;IF(D196=100%,", Plinth","")&amp;IF(D197=100%,", RCC Slab","")&amp;IF(D198=100%,", Brickwork","")&amp;IF(D199=100%,", Internal Plaster","")&amp;IF(D200=100%,", External Plaster","")&amp;IF(D201=100%,", Flooring","")&amp;IF(D202=100%,", Painting","")&amp;IF(D203=100%,", Building common Amenities","")</f>
        <v>Excavation, Plinth</v>
      </c>
      <c r="J192" s="46" t="str">
        <f ca="1">(IF(C195=0,"Work not yet Started.",IF(D195=25%,"Piling work in process",IF(D195=50%,"Excavation work in process",IF(D195=100%,"","0")))))&amp;(IF(C196=0%,"",IF(C196=J197,", Footing work is process",IF(C196=J198,", Footing work Completed",IF(C196=J199,", 1st Basement Completed",IF(C196=J200,", 1st &amp; 2nd Basement Completed",IF(C196=J201,", 1st to 3rd Basement Completed",IF(C196=J202,", 1st to 4th Basement Completed",IF(C196=J203,", Plinth work is process",IF(C196=J204,"","0"))))))))))</f>
        <v/>
      </c>
    </row>
    <row r="193" spans="1:10" x14ac:dyDescent="0.35">
      <c r="A193" s="132" t="s">
        <v>89</v>
      </c>
      <c r="B193" s="133"/>
      <c r="C193" s="129" t="str">
        <f ca="1">(IF($C$61=C191,"All work Completed. OC Received.",I191))</f>
        <v>Excavation, Plinth Completed, RCC upto 1 Slab Completed</v>
      </c>
      <c r="D193" s="129"/>
      <c r="E193" s="129"/>
      <c r="F193" s="129"/>
      <c r="G193" s="129"/>
      <c r="H193" s="134"/>
      <c r="I193" s="45" t="str">
        <f ca="1">IF(I192&lt;&gt;""," Completed","")</f>
        <v xml:space="preserve"> Completed</v>
      </c>
      <c r="J193" s="46" t="str">
        <f ca="1">IF(J191&lt;&gt;"","Completed","")</f>
        <v>Completed</v>
      </c>
    </row>
    <row r="194" spans="1:10" ht="15.75" customHeight="1" x14ac:dyDescent="0.35">
      <c r="A194" s="110" t="s">
        <v>48</v>
      </c>
      <c r="B194" s="105"/>
      <c r="C194" s="85" t="s">
        <v>137</v>
      </c>
      <c r="D194" s="85" t="s">
        <v>82</v>
      </c>
      <c r="E194" s="105" t="s">
        <v>84</v>
      </c>
      <c r="F194" s="105"/>
      <c r="G194" s="105" t="s">
        <v>83</v>
      </c>
      <c r="H194" s="135"/>
      <c r="I194" s="16" t="s">
        <v>139</v>
      </c>
      <c r="J194" s="29">
        <f ca="1">H192*25%</f>
        <v>2.75</v>
      </c>
    </row>
    <row r="195" spans="1:10" x14ac:dyDescent="0.35">
      <c r="A195" s="110" t="s">
        <v>126</v>
      </c>
      <c r="B195" s="105"/>
      <c r="C195" s="85">
        <f ca="1">J196</f>
        <v>11</v>
      </c>
      <c r="D195" s="52">
        <f ca="1">((100/H192)*C195)/100</f>
        <v>1.0000000000000002</v>
      </c>
      <c r="E195" s="106">
        <f ca="1">(((C196/H192*10)+(40/(D192+F192+H192)*C197)+(7.5/(H192)*C198)+(7.5/(H192)*C199)+(10/H192*C200)+(10/H192*C201)+(5/H192*C202)+(5/H192*C203)+(5/H192*C204))/100)</f>
        <v>0.13333333333333333</v>
      </c>
      <c r="F195" s="138"/>
      <c r="G195" s="106">
        <f ca="1">((((C195/H192)*20)+((C196/H192)*25)+(30/(H192+F192+D192)*C197)+(5/H192*C198)+(5/H192*C199)+(5/H192*C200)+(5/H192*C201)+(0/H192*C202)+(0/H192*C203)+(5/H192*C204))/100)</f>
        <v>0.47499999999999998</v>
      </c>
      <c r="H195" s="107"/>
      <c r="I195" s="16" t="s">
        <v>95</v>
      </c>
      <c r="J195" s="30">
        <f ca="1">H192*50%</f>
        <v>5.5</v>
      </c>
    </row>
    <row r="196" spans="1:10" x14ac:dyDescent="0.35">
      <c r="A196" s="110" t="s">
        <v>49</v>
      </c>
      <c r="B196" s="105"/>
      <c r="C196" s="69">
        <v>11</v>
      </c>
      <c r="D196" s="52">
        <f ca="1">((100/H192)*C196)/100</f>
        <v>1.0000000000000002</v>
      </c>
      <c r="E196" s="108"/>
      <c r="F196" s="139"/>
      <c r="G196" s="108"/>
      <c r="H196" s="109"/>
      <c r="I196" s="16" t="s">
        <v>96</v>
      </c>
      <c r="J196" s="30">
        <f ca="1">H192</f>
        <v>11</v>
      </c>
    </row>
    <row r="197" spans="1:10" ht="15.75" customHeight="1" x14ac:dyDescent="0.35">
      <c r="A197" s="110" t="s">
        <v>127</v>
      </c>
      <c r="B197" s="105"/>
      <c r="C197" s="85">
        <v>1</v>
      </c>
      <c r="D197" s="52">
        <f ca="1">((100/(D192+F192+H192))*C197)/100</f>
        <v>8.3333333333333343E-2</v>
      </c>
      <c r="E197" s="108"/>
      <c r="F197" s="139"/>
      <c r="G197" s="108"/>
      <c r="H197" s="109"/>
      <c r="I197" s="16" t="s">
        <v>97</v>
      </c>
      <c r="J197" s="31">
        <f ca="1">(IF(B192&gt;1,(H192/(B192+2)),H192/4))</f>
        <v>2.75</v>
      </c>
    </row>
    <row r="198" spans="1:10" ht="15.75" customHeight="1" x14ac:dyDescent="0.35">
      <c r="A198" s="110" t="s">
        <v>134</v>
      </c>
      <c r="B198" s="105" t="s">
        <v>128</v>
      </c>
      <c r="C198" s="85">
        <v>0</v>
      </c>
      <c r="D198" s="52">
        <f ca="1">((100/H192)*C198)/100</f>
        <v>0</v>
      </c>
      <c r="E198" s="108"/>
      <c r="F198" s="139"/>
      <c r="G198" s="108"/>
      <c r="H198" s="109"/>
      <c r="I198" s="16" t="s">
        <v>98</v>
      </c>
      <c r="J198" s="31">
        <f ca="1">(IF(B192&gt;1,(H192/(B192+2)+J197),H192/4+J197))</f>
        <v>5.5</v>
      </c>
    </row>
    <row r="199" spans="1:10" ht="15.75" customHeight="1" x14ac:dyDescent="0.35">
      <c r="A199" s="110" t="s">
        <v>135</v>
      </c>
      <c r="B199" s="105" t="s">
        <v>128</v>
      </c>
      <c r="C199" s="85">
        <v>0</v>
      </c>
      <c r="D199" s="52">
        <f ca="1">((100/H192)*C199)/100</f>
        <v>0</v>
      </c>
      <c r="E199" s="108"/>
      <c r="F199" s="139"/>
      <c r="G199" s="108"/>
      <c r="H199" s="109"/>
      <c r="I199" s="16" t="s">
        <v>144</v>
      </c>
      <c r="J199" s="31">
        <f>(IF(B192&gt;1,(H192/(B192+2)+J198),0))</f>
        <v>0</v>
      </c>
    </row>
    <row r="200" spans="1:10" ht="15" customHeight="1" x14ac:dyDescent="0.35">
      <c r="A200" s="110" t="s">
        <v>133</v>
      </c>
      <c r="B200" s="105" t="s">
        <v>130</v>
      </c>
      <c r="C200" s="85">
        <v>0</v>
      </c>
      <c r="D200" s="52">
        <f ca="1">((100/(H192))*C200)/100</f>
        <v>0</v>
      </c>
      <c r="E200" s="108"/>
      <c r="F200" s="139"/>
      <c r="G200" s="108"/>
      <c r="H200" s="109"/>
      <c r="I200" s="16" t="s">
        <v>141</v>
      </c>
      <c r="J200" s="31">
        <f>(IF(B192&gt;2,(H192/(B192+2)+J199),0))</f>
        <v>0</v>
      </c>
    </row>
    <row r="201" spans="1:10" ht="15.75" customHeight="1" x14ac:dyDescent="0.35">
      <c r="A201" s="110" t="s">
        <v>129</v>
      </c>
      <c r="B201" s="105" t="s">
        <v>129</v>
      </c>
      <c r="C201" s="85">
        <v>0</v>
      </c>
      <c r="D201" s="52">
        <f ca="1">((100/H192)*C201)/100</f>
        <v>0</v>
      </c>
      <c r="E201" s="108"/>
      <c r="F201" s="139"/>
      <c r="G201" s="108"/>
      <c r="H201" s="109"/>
      <c r="I201" s="16" t="s">
        <v>142</v>
      </c>
      <c r="J201" s="32">
        <f>(IF(B192&gt;3,(H192/(B192+2)+J200),0))</f>
        <v>0</v>
      </c>
    </row>
    <row r="202" spans="1:10" ht="15.75" customHeight="1" x14ac:dyDescent="0.35">
      <c r="A202" s="110" t="s">
        <v>136</v>
      </c>
      <c r="B202" s="105"/>
      <c r="C202" s="85">
        <v>0</v>
      </c>
      <c r="D202" s="52">
        <f ca="1">((100/H192)*C202)/100</f>
        <v>0</v>
      </c>
      <c r="E202" s="108"/>
      <c r="F202" s="139"/>
      <c r="G202" s="108"/>
      <c r="H202" s="109"/>
      <c r="I202" s="16" t="s">
        <v>143</v>
      </c>
      <c r="J202" s="31">
        <f>(IF(B192&gt;4,(H192/(B192+2)+J201),0))</f>
        <v>0</v>
      </c>
    </row>
    <row r="203" spans="1:10" ht="15.75" customHeight="1" x14ac:dyDescent="0.35">
      <c r="A203" s="110" t="s">
        <v>131</v>
      </c>
      <c r="B203" s="105" t="s">
        <v>131</v>
      </c>
      <c r="C203" s="85">
        <v>0</v>
      </c>
      <c r="D203" s="52">
        <f ca="1">((100/(H192))*C203)/100</f>
        <v>0</v>
      </c>
      <c r="E203" s="108"/>
      <c r="F203" s="139"/>
      <c r="G203" s="108"/>
      <c r="H203" s="109"/>
      <c r="I203" s="16" t="s">
        <v>145</v>
      </c>
      <c r="J203" s="31">
        <f ca="1">(IF(B192=1,(H192/(B192+3)+J198),IF(B192=0,(H192/4+J198),IF(B192&gt;1,0))))</f>
        <v>8.25</v>
      </c>
    </row>
    <row r="204" spans="1:10" ht="16" thickBot="1" x14ac:dyDescent="0.4">
      <c r="A204" s="118" t="s">
        <v>132</v>
      </c>
      <c r="B204" s="119"/>
      <c r="C204" s="86">
        <v>0</v>
      </c>
      <c r="D204" s="53">
        <f ca="1">((100/(H192))*C204)/100</f>
        <v>0</v>
      </c>
      <c r="E204" s="144"/>
      <c r="F204" s="145"/>
      <c r="G204" s="144"/>
      <c r="H204" s="146"/>
      <c r="I204" s="17" t="s">
        <v>99</v>
      </c>
      <c r="J204" s="33">
        <f ca="1">(IF(B192&gt;1.5,(H192/(B192+2)+J198+MAX(0,J199-J198)+MAX(0,J200-J199)+MAX(0,J201-J200)+MAX(0,J202-J201)+MAX(0,J203-J202)),IF(B192=1,(H192/(B192+3)+J203),IF(B192=0,H192/4+J203))))</f>
        <v>11</v>
      </c>
    </row>
    <row r="205" spans="1:10" x14ac:dyDescent="0.35">
      <c r="A205" s="136" t="s">
        <v>138</v>
      </c>
      <c r="B205" s="137"/>
      <c r="C205" s="140" t="s">
        <v>265</v>
      </c>
      <c r="D205" s="141"/>
      <c r="E205" s="141"/>
      <c r="F205" s="141"/>
      <c r="G205" s="141"/>
      <c r="H205" s="142"/>
      <c r="I205" s="68" t="str">
        <f ca="1">IF(D218=100%,"All work Completed. Possession granted to the Building.",IF(D217=100%,"All work Completed, Waiting for OC",I206&amp;""&amp;I207&amp;""&amp;J206&amp;""&amp;J205&amp;" "&amp;J207))</f>
        <v>Excavation, Plinth, RCC Slab, Brickwork, Internal Plaster Completed, External Plaster upto 5 Floor Completed</v>
      </c>
      <c r="J205" s="44" t="str">
        <f ca="1">(IF(C211=(D206+F206+H206),"",IF(C211&gt;0,", RCC upto "&amp;C211&amp;" Slab","")))&amp;(IF(C212=H206,"",IF(C212&gt;0,", Brickwork upto "&amp;C212&amp;" Floor","")))&amp;(IF(C213=H206,"",IF(C213&gt;0,", Internal Plaster upto "&amp;C213&amp;" Floor","")))&amp;(IF(C214=H206,"",IF(C214&gt;0,", External Plaster upto "&amp;C214&amp;" Floor","")))&amp;(IF(C215=H206,"",IF(C215&gt;0,", Flooring upto "&amp;C215&amp;" Floor","")))&amp;(IF(C216=H206,"",IF(C216&gt;0,", Painting upto "&amp;C216&amp;" Floor","")))&amp;(IF(C217=H206,"",IF(C217&gt;0,", Finishing upto "&amp;C217&amp;" Floor","")))&amp;(IF(C218=H206,"",IF(C218&gt;0,", Possession upto "&amp;C218&amp;" Floor","")))</f>
        <v>, External Plaster upto 5 Floor</v>
      </c>
    </row>
    <row r="206" spans="1:10" x14ac:dyDescent="0.35">
      <c r="A206" s="18" t="s">
        <v>140</v>
      </c>
      <c r="B206" s="66">
        <v>0</v>
      </c>
      <c r="C206" s="66" t="s">
        <v>71</v>
      </c>
      <c r="D206" s="66">
        <v>1</v>
      </c>
      <c r="E206" s="66" t="s">
        <v>70</v>
      </c>
      <c r="F206" s="66">
        <v>0</v>
      </c>
      <c r="G206" s="66" t="s">
        <v>79</v>
      </c>
      <c r="H206" s="19">
        <f ca="1">--TRIM(RIGHT(SUBSTITUTE(LEFT(C205,_xlfn.AGGREGATE(16,6,FIND({0,1,2,3,4,5,6,7,8,9},C205,ROW(INDIRECT("1:"&amp;LEN(C205)))),1))," ",REPT(" ",LEN(C205))),LEN(C205)))</f>
        <v>7</v>
      </c>
      <c r="I206" s="45" t="str">
        <f ca="1">IF(D209=100%,"Excavation","")&amp;IF(D210=100%,", Plinth","")&amp;IF(D211=100%,", RCC Slab","")&amp;IF(D212=100%,", Brickwork","")&amp;IF(D213=100%,", Internal Plaster","")&amp;IF(D214=100%,", External Plaster","")&amp;IF(D215=100%,", Flooring","")&amp;IF(D216=100%,", Painting","")&amp;IF(D217=100%,", Building common Amenities","")</f>
        <v>Excavation, Plinth, RCC Slab, Brickwork, Internal Plaster</v>
      </c>
      <c r="J206" s="46" t="str">
        <f ca="1">(IF(C209=0,"Work not yet Started.",IF(D209=25%,"Piling work in process",IF(D209=50%,"Excavation work in process",IF(D209=100%,"","0")))))&amp;(IF(C210=0%,"",IF(C210=J211,", Footing work is process",IF(C210=J212,", Footing work Completed",IF(C210=J213,", 1st Basement Completed",IF(C210=J214,", 1st &amp; 2nd Basement Completed",IF(C210=J215,", 1st to 3rd Basement Completed",IF(C210=J216,", 1st to 4th Basement Completed",IF(C210=J217,", Plinth work is process",IF(C210=J218,"","0"))))))))))</f>
        <v/>
      </c>
    </row>
    <row r="207" spans="1:10" ht="31" customHeight="1" x14ac:dyDescent="0.35">
      <c r="A207" s="132" t="s">
        <v>89</v>
      </c>
      <c r="B207" s="133"/>
      <c r="C207" s="129" t="str">
        <f ca="1">(IF($C$61=C205,"All work Completed. OC Received.",I205))</f>
        <v>Excavation, Plinth, RCC Slab, Brickwork, Internal Plaster Completed, External Plaster upto 5 Floor Completed</v>
      </c>
      <c r="D207" s="129"/>
      <c r="E207" s="129"/>
      <c r="F207" s="129"/>
      <c r="G207" s="129"/>
      <c r="H207" s="134"/>
      <c r="I207" s="45" t="str">
        <f ca="1">IF(I206&lt;&gt;""," Completed","")</f>
        <v xml:space="preserve"> Completed</v>
      </c>
      <c r="J207" s="46" t="str">
        <f ca="1">IF(J205&lt;&gt;"","Completed","")</f>
        <v>Completed</v>
      </c>
    </row>
    <row r="208" spans="1:10" ht="15.75" customHeight="1" x14ac:dyDescent="0.35">
      <c r="A208" s="110" t="s">
        <v>48</v>
      </c>
      <c r="B208" s="105"/>
      <c r="C208" s="64" t="s">
        <v>137</v>
      </c>
      <c r="D208" s="64" t="s">
        <v>82</v>
      </c>
      <c r="E208" s="105" t="s">
        <v>84</v>
      </c>
      <c r="F208" s="105"/>
      <c r="G208" s="105" t="s">
        <v>83</v>
      </c>
      <c r="H208" s="135"/>
      <c r="I208" s="16" t="s">
        <v>139</v>
      </c>
      <c r="J208" s="29">
        <f ca="1">H206*25%</f>
        <v>1.75</v>
      </c>
    </row>
    <row r="209" spans="1:10" x14ac:dyDescent="0.35">
      <c r="A209" s="110" t="s">
        <v>126</v>
      </c>
      <c r="B209" s="105"/>
      <c r="C209" s="64">
        <v>7</v>
      </c>
      <c r="D209" s="52">
        <f ca="1">((100/H206)*C209)/100</f>
        <v>1</v>
      </c>
      <c r="E209" s="106">
        <f ca="1">(((C210/H206*10)+(40/(D206+F206+H206)*C211)+(7.5/(H206)*C212)+(7.5/(H206)*C213)+(10/H206*C214)+(10/H206*C215)+(5/H206*C216)+(5/H206*C217)+(5/H206*C218))/100)</f>
        <v>0.72142857142857142</v>
      </c>
      <c r="F209" s="138"/>
      <c r="G209" s="106">
        <f ca="1">((((C209/H206)*20)+((C210/H206)*25)+(30/(H206+F206+D206)*C211)+(5/H206*C212)+(5/H206*C213)+(5/H206*C214)+(5/H206*C215)+(0/H206*C216)+(0/H206*C217)+(5/H206*C218))/100)</f>
        <v>0.88571428571428568</v>
      </c>
      <c r="H209" s="107"/>
      <c r="I209" s="16" t="s">
        <v>95</v>
      </c>
      <c r="J209" s="30">
        <f ca="1">H206*50%</f>
        <v>3.5</v>
      </c>
    </row>
    <row r="210" spans="1:10" x14ac:dyDescent="0.35">
      <c r="A210" s="110" t="s">
        <v>49</v>
      </c>
      <c r="B210" s="105"/>
      <c r="C210" s="69">
        <f ca="1">J218</f>
        <v>7</v>
      </c>
      <c r="D210" s="52">
        <f ca="1">((100/H206)*C210)/100</f>
        <v>1</v>
      </c>
      <c r="E210" s="108"/>
      <c r="F210" s="139"/>
      <c r="G210" s="108"/>
      <c r="H210" s="109"/>
      <c r="I210" s="16" t="s">
        <v>96</v>
      </c>
      <c r="J210" s="30">
        <f ca="1">H206</f>
        <v>7</v>
      </c>
    </row>
    <row r="211" spans="1:10" ht="15.75" customHeight="1" x14ac:dyDescent="0.35">
      <c r="A211" s="110" t="s">
        <v>127</v>
      </c>
      <c r="B211" s="105"/>
      <c r="C211" s="64">
        <v>8</v>
      </c>
      <c r="D211" s="52">
        <f ca="1">((100/(D206+F206+H206))*C211)/100</f>
        <v>1</v>
      </c>
      <c r="E211" s="108"/>
      <c r="F211" s="139"/>
      <c r="G211" s="108"/>
      <c r="H211" s="109"/>
      <c r="I211" s="16" t="s">
        <v>97</v>
      </c>
      <c r="J211" s="31">
        <f ca="1">(IF(B206&gt;1,(H206/(B206+2)),H206/4))</f>
        <v>1.75</v>
      </c>
    </row>
    <row r="212" spans="1:10" ht="15.75" customHeight="1" x14ac:dyDescent="0.35">
      <c r="A212" s="110" t="s">
        <v>134</v>
      </c>
      <c r="B212" s="105" t="s">
        <v>128</v>
      </c>
      <c r="C212" s="64">
        <v>7</v>
      </c>
      <c r="D212" s="52">
        <f ca="1">((100/H206)*C212)/100</f>
        <v>1</v>
      </c>
      <c r="E212" s="108"/>
      <c r="F212" s="139"/>
      <c r="G212" s="108"/>
      <c r="H212" s="109"/>
      <c r="I212" s="16" t="s">
        <v>98</v>
      </c>
      <c r="J212" s="31">
        <f ca="1">(IF(B206&gt;1,(H206/(B206+2)+J211),H206/4+J211))</f>
        <v>3.5</v>
      </c>
    </row>
    <row r="213" spans="1:10" ht="15.75" customHeight="1" x14ac:dyDescent="0.35">
      <c r="A213" s="110" t="s">
        <v>135</v>
      </c>
      <c r="B213" s="105" t="s">
        <v>128</v>
      </c>
      <c r="C213" s="69">
        <v>7</v>
      </c>
      <c r="D213" s="52">
        <f ca="1">((100/H206)*C213)/100</f>
        <v>1</v>
      </c>
      <c r="E213" s="108"/>
      <c r="F213" s="139"/>
      <c r="G213" s="108"/>
      <c r="H213" s="109"/>
      <c r="I213" s="16" t="s">
        <v>144</v>
      </c>
      <c r="J213" s="31">
        <f>(IF(B206&gt;1,(H206/(B206+2)+J212),0))</f>
        <v>0</v>
      </c>
    </row>
    <row r="214" spans="1:10" ht="15" customHeight="1" x14ac:dyDescent="0.35">
      <c r="A214" s="110" t="s">
        <v>133</v>
      </c>
      <c r="B214" s="105" t="s">
        <v>130</v>
      </c>
      <c r="C214" s="69">
        <v>5</v>
      </c>
      <c r="D214" s="52">
        <f ca="1">((100/(H206))*C214)/100</f>
        <v>0.7142857142857143</v>
      </c>
      <c r="E214" s="108"/>
      <c r="F214" s="139"/>
      <c r="G214" s="108"/>
      <c r="H214" s="109"/>
      <c r="I214" s="16" t="s">
        <v>141</v>
      </c>
      <c r="J214" s="31">
        <f>(IF(B206&gt;2,(H206/(B206+2)+J213),0))</f>
        <v>0</v>
      </c>
    </row>
    <row r="215" spans="1:10" ht="15.75" customHeight="1" x14ac:dyDescent="0.35">
      <c r="A215" s="110" t="s">
        <v>129</v>
      </c>
      <c r="B215" s="105" t="s">
        <v>129</v>
      </c>
      <c r="C215" s="64">
        <v>0</v>
      </c>
      <c r="D215" s="52">
        <f ca="1">((100/H206)*C215)/100</f>
        <v>0</v>
      </c>
      <c r="E215" s="108"/>
      <c r="F215" s="139"/>
      <c r="G215" s="108"/>
      <c r="H215" s="109"/>
      <c r="I215" s="16" t="s">
        <v>142</v>
      </c>
      <c r="J215" s="32">
        <f>(IF(B206&gt;3,(H206/(B206+2)+J214),0))</f>
        <v>0</v>
      </c>
    </row>
    <row r="216" spans="1:10" ht="15.75" customHeight="1" x14ac:dyDescent="0.35">
      <c r="A216" s="110" t="s">
        <v>136</v>
      </c>
      <c r="B216" s="105"/>
      <c r="C216" s="64">
        <v>0</v>
      </c>
      <c r="D216" s="52">
        <f ca="1">((100/H206)*C216)/100</f>
        <v>0</v>
      </c>
      <c r="E216" s="108"/>
      <c r="F216" s="139"/>
      <c r="G216" s="108"/>
      <c r="H216" s="109"/>
      <c r="I216" s="16" t="s">
        <v>143</v>
      </c>
      <c r="J216" s="31">
        <f>(IF(B206&gt;4,(H206/(B206+2)+J215),0))</f>
        <v>0</v>
      </c>
    </row>
    <row r="217" spans="1:10" ht="15.75" customHeight="1" x14ac:dyDescent="0.35">
      <c r="A217" s="110" t="s">
        <v>131</v>
      </c>
      <c r="B217" s="105" t="s">
        <v>131</v>
      </c>
      <c r="C217" s="64">
        <v>0</v>
      </c>
      <c r="D217" s="52">
        <f ca="1">((100/(H206))*C217)/100</f>
        <v>0</v>
      </c>
      <c r="E217" s="108"/>
      <c r="F217" s="139"/>
      <c r="G217" s="108"/>
      <c r="H217" s="109"/>
      <c r="I217" s="16" t="s">
        <v>145</v>
      </c>
      <c r="J217" s="31">
        <f ca="1">(IF(B206=1,(H206/(B206+3)+J212),IF(B206=0,(H206/4+J212),IF(B206&gt;1,0))))</f>
        <v>5.25</v>
      </c>
    </row>
    <row r="218" spans="1:10" ht="16" thickBot="1" x14ac:dyDescent="0.4">
      <c r="A218" s="118" t="s">
        <v>132</v>
      </c>
      <c r="B218" s="119"/>
      <c r="C218" s="65">
        <v>0</v>
      </c>
      <c r="D218" s="53">
        <f ca="1">((100/(H206))*C218)/100</f>
        <v>0</v>
      </c>
      <c r="E218" s="144"/>
      <c r="F218" s="145"/>
      <c r="G218" s="144"/>
      <c r="H218" s="146"/>
      <c r="I218" s="17" t="s">
        <v>99</v>
      </c>
      <c r="J218" s="33">
        <f ca="1">(IF(B206&gt;1.5,(H206/(B206+2)+J212+MAX(0,J213-J212)+MAX(0,J214-J213)+MAX(0,J215-J214)+MAX(0,J216-J215)+MAX(0,J217-J216)),IF(B206=1,(H206/(B206+3)+J217),IF(B206=0,H206/4+J217))))</f>
        <v>7</v>
      </c>
    </row>
    <row r="219" spans="1:10" x14ac:dyDescent="0.35">
      <c r="A219" s="136" t="s">
        <v>138</v>
      </c>
      <c r="B219" s="137"/>
      <c r="C219" s="140" t="s">
        <v>266</v>
      </c>
      <c r="D219" s="141"/>
      <c r="E219" s="141"/>
      <c r="F219" s="141"/>
      <c r="G219" s="141"/>
      <c r="H219" s="142"/>
      <c r="I219" s="68" t="str">
        <f ca="1">IF(D232=100%,"All work Completed. Possession granted to the Building.",IF(D231=100%,"All work Completed, Waiting for OC",I220&amp;""&amp;I221&amp;""&amp;J220&amp;""&amp;J219&amp;" "&amp;J221))</f>
        <v>Excavation, Plinth Completed, RCC upto 1 Slab Completed</v>
      </c>
      <c r="J219" s="44" t="str">
        <f ca="1">(IF(C225=(D220+F220+H220),"",IF(C225&gt;0,", RCC upto "&amp;C225&amp;" Slab","")))&amp;(IF(C226=H220,"",IF(C226&gt;0,", Brickwork upto "&amp;C226&amp;" Floor","")))&amp;(IF(C227=H220,"",IF(C227&gt;0,", Internal Plaster upto "&amp;C227&amp;" Floor","")))&amp;(IF(C228=H220,"",IF(C228&gt;0,", External Plaster upto "&amp;C228&amp;" Floor","")))&amp;(IF(C229=H220,"",IF(C229&gt;0,", Flooring upto "&amp;C229&amp;" Floor","")))&amp;(IF(C230=H220,"",IF(C230&gt;0,", Painting upto "&amp;C230&amp;" Floor","")))&amp;(IF(C231=H220,"",IF(C231&gt;0,", Finishing upto "&amp;C231&amp;" Floor","")))&amp;(IF(C232=H220,"",IF(C232&gt;0,", Possession upto "&amp;C232&amp;" Floor","")))</f>
        <v>, RCC upto 1 Slab</v>
      </c>
    </row>
    <row r="220" spans="1:10" x14ac:dyDescent="0.35">
      <c r="A220" s="18" t="s">
        <v>140</v>
      </c>
      <c r="B220" s="83">
        <v>0</v>
      </c>
      <c r="C220" s="83" t="s">
        <v>71</v>
      </c>
      <c r="D220" s="83">
        <v>1</v>
      </c>
      <c r="E220" s="83" t="s">
        <v>70</v>
      </c>
      <c r="F220" s="83">
        <v>0</v>
      </c>
      <c r="G220" s="83" t="s">
        <v>79</v>
      </c>
      <c r="H220" s="19">
        <f ca="1">--TRIM(RIGHT(SUBSTITUTE(LEFT(C219,_xlfn.AGGREGATE(16,6,FIND({0,1,2,3,4,5,6,7,8,9},C219,ROW(INDIRECT("1:"&amp;LEN(C219)))),1))," ",REPT(" ",LEN(C219))),LEN(C219)))</f>
        <v>7</v>
      </c>
      <c r="I220" s="45" t="str">
        <f ca="1">IF(D223=100%,"Excavation","")&amp;IF(D224=100%,", Plinth","")&amp;IF(D225=100%,", RCC Slab","")&amp;IF(D226=100%,", Brickwork","")&amp;IF(D227=100%,", Internal Plaster","")&amp;IF(D228=100%,", External Plaster","")&amp;IF(D229=100%,", Flooring","")&amp;IF(D230=100%,", Painting","")&amp;IF(D231=100%,", Building common Amenities","")</f>
        <v>Excavation, Plinth</v>
      </c>
      <c r="J220" s="46" t="str">
        <f ca="1">(IF(C223=0,"Work not yet Started.",IF(D223=25%,"Piling work in process",IF(D223=50%,"Excavation work in process",IF(D223=100%,"","0")))))&amp;(IF(C224=0%,"",IF(C224=J225,", Footing work is process",IF(C224=J226,", Footing work Completed",IF(C224=J227,", 1st Basement Completed",IF(C224=J228,", 1st &amp; 2nd Basement Completed",IF(C224=J229,", 1st to 3rd Basement Completed",IF(C224=J230,", 1st to 4th Basement Completed",IF(C224=J231,", Plinth work is process",IF(C224=J232,"","0"))))))))))</f>
        <v/>
      </c>
    </row>
    <row r="221" spans="1:10" x14ac:dyDescent="0.35">
      <c r="A221" s="132" t="s">
        <v>89</v>
      </c>
      <c r="B221" s="133"/>
      <c r="C221" s="129" t="str">
        <f ca="1">(IF($C$61=C219,"All work Completed. OC Received.",I219))</f>
        <v>Excavation, Plinth Completed, RCC upto 1 Slab Completed</v>
      </c>
      <c r="D221" s="129"/>
      <c r="E221" s="129"/>
      <c r="F221" s="129"/>
      <c r="G221" s="129"/>
      <c r="H221" s="134"/>
      <c r="I221" s="45" t="str">
        <f ca="1">IF(I220&lt;&gt;""," Completed","")</f>
        <v xml:space="preserve"> Completed</v>
      </c>
      <c r="J221" s="46" t="str">
        <f ca="1">IF(J219&lt;&gt;"","Completed","")</f>
        <v>Completed</v>
      </c>
    </row>
    <row r="222" spans="1:10" ht="15.75" customHeight="1" x14ac:dyDescent="0.35">
      <c r="A222" s="110" t="s">
        <v>48</v>
      </c>
      <c r="B222" s="105"/>
      <c r="C222" s="81" t="s">
        <v>137</v>
      </c>
      <c r="D222" s="81" t="s">
        <v>82</v>
      </c>
      <c r="E222" s="105" t="s">
        <v>84</v>
      </c>
      <c r="F222" s="105"/>
      <c r="G222" s="105" t="s">
        <v>83</v>
      </c>
      <c r="H222" s="135"/>
      <c r="I222" s="16" t="s">
        <v>139</v>
      </c>
      <c r="J222" s="29">
        <f ca="1">H220*25%</f>
        <v>1.75</v>
      </c>
    </row>
    <row r="223" spans="1:10" x14ac:dyDescent="0.35">
      <c r="A223" s="110" t="s">
        <v>126</v>
      </c>
      <c r="B223" s="105"/>
      <c r="C223" s="81">
        <v>7</v>
      </c>
      <c r="D223" s="52">
        <f ca="1">((100/H220)*C223)/100</f>
        <v>1</v>
      </c>
      <c r="E223" s="106">
        <f ca="1">(((C224/H220*10)+(40/(D220+F220+H220)*C225)+(7.5/(H220)*C226)+(7.5/(H220)*C227)+(10/H220*C228)+(10/H220*C229)+(5/H220*C230)+(5/H220*C231)+(5/H220*C232))/100)</f>
        <v>0.15</v>
      </c>
      <c r="F223" s="138"/>
      <c r="G223" s="106">
        <f ca="1">((((C223/H220)*20)+((C224/H220)*25)+(30/(H220+F220+D220)*C225)+(5/H220*C226)+(5/H220*C227)+(5/H220*C228)+(5/H220*C229)+(0/H220*C230)+(0/H220*C231)+(5/H220*C232))/100)</f>
        <v>0.48749999999999999</v>
      </c>
      <c r="H223" s="107"/>
      <c r="I223" s="16" t="s">
        <v>95</v>
      </c>
      <c r="J223" s="30">
        <f ca="1">H220*50%</f>
        <v>3.5</v>
      </c>
    </row>
    <row r="224" spans="1:10" x14ac:dyDescent="0.35">
      <c r="A224" s="110" t="s">
        <v>49</v>
      </c>
      <c r="B224" s="105"/>
      <c r="C224" s="69">
        <f ca="1">J232</f>
        <v>7</v>
      </c>
      <c r="D224" s="52">
        <f ca="1">((100/H220)*C224)/100</f>
        <v>1</v>
      </c>
      <c r="E224" s="108"/>
      <c r="F224" s="139"/>
      <c r="G224" s="108"/>
      <c r="H224" s="109"/>
      <c r="I224" s="16" t="s">
        <v>96</v>
      </c>
      <c r="J224" s="30">
        <f ca="1">H220</f>
        <v>7</v>
      </c>
    </row>
    <row r="225" spans="1:14" ht="15.75" customHeight="1" x14ac:dyDescent="0.35">
      <c r="A225" s="110" t="s">
        <v>127</v>
      </c>
      <c r="B225" s="105"/>
      <c r="C225" s="81">
        <v>1</v>
      </c>
      <c r="D225" s="52">
        <f ca="1">((100/(D220+F220+H220))*C225)/100</f>
        <v>0.125</v>
      </c>
      <c r="E225" s="108"/>
      <c r="F225" s="139"/>
      <c r="G225" s="108"/>
      <c r="H225" s="109"/>
      <c r="I225" s="16" t="s">
        <v>97</v>
      </c>
      <c r="J225" s="31">
        <f ca="1">(IF(B220&gt;1,(H220/(B220+2)),H220/4))</f>
        <v>1.75</v>
      </c>
    </row>
    <row r="226" spans="1:14" ht="15.75" customHeight="1" x14ac:dyDescent="0.35">
      <c r="A226" s="110" t="s">
        <v>134</v>
      </c>
      <c r="B226" s="105" t="s">
        <v>128</v>
      </c>
      <c r="C226" s="81">
        <v>0</v>
      </c>
      <c r="D226" s="52">
        <f ca="1">((100/H220)*C226)/100</f>
        <v>0</v>
      </c>
      <c r="E226" s="108"/>
      <c r="F226" s="139"/>
      <c r="G226" s="108"/>
      <c r="H226" s="109"/>
      <c r="I226" s="16" t="s">
        <v>98</v>
      </c>
      <c r="J226" s="31">
        <f ca="1">(IF(B220&gt;1,(H220/(B220+2)+J225),H220/4+J225))</f>
        <v>3.5</v>
      </c>
    </row>
    <row r="227" spans="1:14" ht="15.75" customHeight="1" x14ac:dyDescent="0.35">
      <c r="A227" s="110" t="s">
        <v>135</v>
      </c>
      <c r="B227" s="105" t="s">
        <v>128</v>
      </c>
      <c r="C227" s="81">
        <v>0</v>
      </c>
      <c r="D227" s="52">
        <f ca="1">((100/H220)*C227)/100</f>
        <v>0</v>
      </c>
      <c r="E227" s="108"/>
      <c r="F227" s="139"/>
      <c r="G227" s="108"/>
      <c r="H227" s="109"/>
      <c r="I227" s="16" t="s">
        <v>144</v>
      </c>
      <c r="J227" s="31">
        <f>(IF(B220&gt;1,(H220/(B220+2)+J226),0))</f>
        <v>0</v>
      </c>
    </row>
    <row r="228" spans="1:14" ht="15" customHeight="1" x14ac:dyDescent="0.35">
      <c r="A228" s="110" t="s">
        <v>133</v>
      </c>
      <c r="B228" s="105" t="s">
        <v>130</v>
      </c>
      <c r="C228" s="81">
        <v>0</v>
      </c>
      <c r="D228" s="52">
        <f ca="1">((100/(H220))*C228)/100</f>
        <v>0</v>
      </c>
      <c r="E228" s="108"/>
      <c r="F228" s="139"/>
      <c r="G228" s="108"/>
      <c r="H228" s="109"/>
      <c r="I228" s="16" t="s">
        <v>141</v>
      </c>
      <c r="J228" s="31">
        <f>(IF(B220&gt;2,(H220/(B220+2)+J227),0))</f>
        <v>0</v>
      </c>
    </row>
    <row r="229" spans="1:14" ht="15.75" customHeight="1" x14ac:dyDescent="0.35">
      <c r="A229" s="110" t="s">
        <v>129</v>
      </c>
      <c r="B229" s="105" t="s">
        <v>129</v>
      </c>
      <c r="C229" s="81">
        <v>0</v>
      </c>
      <c r="D229" s="52">
        <f ca="1">((100/H220)*C229)/100</f>
        <v>0</v>
      </c>
      <c r="E229" s="108"/>
      <c r="F229" s="139"/>
      <c r="G229" s="108"/>
      <c r="H229" s="109"/>
      <c r="I229" s="16" t="s">
        <v>142</v>
      </c>
      <c r="J229" s="32">
        <f>(IF(B220&gt;3,(H220/(B220+2)+J228),0))</f>
        <v>0</v>
      </c>
    </row>
    <row r="230" spans="1:14" ht="15.75" customHeight="1" x14ac:dyDescent="0.35">
      <c r="A230" s="110" t="s">
        <v>136</v>
      </c>
      <c r="B230" s="105"/>
      <c r="C230" s="81">
        <v>0</v>
      </c>
      <c r="D230" s="52">
        <f ca="1">((100/H220)*C230)/100</f>
        <v>0</v>
      </c>
      <c r="E230" s="108"/>
      <c r="F230" s="139"/>
      <c r="G230" s="108"/>
      <c r="H230" s="109"/>
      <c r="I230" s="16" t="s">
        <v>143</v>
      </c>
      <c r="J230" s="31">
        <f>(IF(B220&gt;4,(H220/(B220+2)+J229),0))</f>
        <v>0</v>
      </c>
    </row>
    <row r="231" spans="1:14" ht="15.75" customHeight="1" x14ac:dyDescent="0.35">
      <c r="A231" s="110" t="s">
        <v>131</v>
      </c>
      <c r="B231" s="105" t="s">
        <v>131</v>
      </c>
      <c r="C231" s="81">
        <v>0</v>
      </c>
      <c r="D231" s="52">
        <f ca="1">((100/(H220))*C231)/100</f>
        <v>0</v>
      </c>
      <c r="E231" s="108"/>
      <c r="F231" s="139"/>
      <c r="G231" s="108"/>
      <c r="H231" s="109"/>
      <c r="I231" s="16" t="s">
        <v>145</v>
      </c>
      <c r="J231" s="31">
        <f ca="1">(IF(B220=1,(H220/(B220+3)+J226),IF(B220=0,(H220/4+J226),IF(B220&gt;1,0))))</f>
        <v>5.25</v>
      </c>
    </row>
    <row r="232" spans="1:14" ht="16" thickBot="1" x14ac:dyDescent="0.4">
      <c r="A232" s="118" t="s">
        <v>132</v>
      </c>
      <c r="B232" s="119"/>
      <c r="C232" s="82">
        <v>0</v>
      </c>
      <c r="D232" s="53">
        <f ca="1">((100/(H220))*C232)/100</f>
        <v>0</v>
      </c>
      <c r="E232" s="144"/>
      <c r="F232" s="145"/>
      <c r="G232" s="144"/>
      <c r="H232" s="146"/>
      <c r="I232" s="17" t="s">
        <v>99</v>
      </c>
      <c r="J232" s="33">
        <f ca="1">(IF(B220&gt;1.5,(H220/(B220+2)+J226+MAX(0,J227-J226)+MAX(0,J228-J227)+MAX(0,J229-J228)+MAX(0,J230-J229)+MAX(0,J231-J230)),IF(B220=1,(H220/(B220+3)+J231),IF(B220=0,H220/4+J231))))</f>
        <v>7</v>
      </c>
    </row>
    <row r="233" spans="1:14" x14ac:dyDescent="0.35">
      <c r="A233" s="136" t="s">
        <v>138</v>
      </c>
      <c r="B233" s="137"/>
      <c r="C233" s="140" t="s">
        <v>252</v>
      </c>
      <c r="D233" s="141"/>
      <c r="E233" s="141"/>
      <c r="F233" s="141"/>
      <c r="G233" s="141"/>
      <c r="H233" s="142"/>
      <c r="I233" s="68" t="str">
        <f ca="1">IF(D246=100%,"All work Completed. Possession granted to the Building.",IF(D245=100%,"All work Completed, Waiting for OC",I234&amp;""&amp;I235&amp;""&amp;J234&amp;""&amp;J233&amp;" "&amp;J235))</f>
        <v>Excavation, Plinth, RCC Slab, Brickwork Completed, Internal Plaster upto 5.25 Floor, External Plaster upto 4.9 Floor Completed</v>
      </c>
      <c r="J233" s="44" t="str">
        <f ca="1">(IF(C239=(D234+F234+H234),"",IF(C239&gt;0,", RCC upto "&amp;C239&amp;" Slab","")))&amp;(IF(C240=H234,"",IF(C240&gt;0,", Brickwork upto "&amp;C240&amp;" Floor","")))&amp;(IF(C241=H234,"",IF(C241&gt;0,", Internal Plaster upto "&amp;C241&amp;" Floor","")))&amp;(IF(C242=H234,"",IF(C242&gt;0,", External Plaster upto "&amp;C242&amp;" Floor","")))&amp;(IF(C243=H234,"",IF(C243&gt;0,", Flooring upto "&amp;C243&amp;" Floor","")))&amp;(IF(C244=H234,"",IF(C244&gt;0,", Painting upto "&amp;C244&amp;" Floor","")))&amp;(IF(C245=H234,"",IF(C245&gt;0,", Finishing upto "&amp;C245&amp;" Floor","")))&amp;(IF(C246=H234,"",IF(C246&gt;0,", Possession upto "&amp;C246&amp;" Floor","")))</f>
        <v>, Internal Plaster upto 5.25 Floor, External Plaster upto 4.9 Floor</v>
      </c>
    </row>
    <row r="234" spans="1:14" x14ac:dyDescent="0.35">
      <c r="A234" s="18" t="s">
        <v>140</v>
      </c>
      <c r="B234" s="78">
        <v>0</v>
      </c>
      <c r="C234" s="78" t="s">
        <v>71</v>
      </c>
      <c r="D234" s="78">
        <v>1</v>
      </c>
      <c r="E234" s="78" t="s">
        <v>70</v>
      </c>
      <c r="F234" s="78">
        <v>0</v>
      </c>
      <c r="G234" s="78" t="s">
        <v>79</v>
      </c>
      <c r="H234" s="19">
        <f ca="1">--TRIM(RIGHT(SUBSTITUTE(LEFT(C233,_xlfn.AGGREGATE(16,6,FIND({0,1,2,3,4,5,6,7,8,9},C233,ROW(INDIRECT("1:"&amp;LEN(C233)))),1))," ",REPT(" ",LEN(C233))),LEN(C233)))</f>
        <v>7</v>
      </c>
      <c r="I234" s="45" t="str">
        <f ca="1">IF(D237=100%,"Excavation","")&amp;IF(D238=100%,", Plinth","")&amp;IF(D239=100%,", RCC Slab","")&amp;IF(D240=100%,", Brickwork","")&amp;IF(D241=100%,", Internal Plaster","")&amp;IF(D242=100%,", External Plaster","")&amp;IF(D243=100%,", Flooring","")&amp;IF(D244=100%,", Painting","")&amp;IF(D245=100%,", Building common Amenities","")</f>
        <v>Excavation, Plinth, RCC Slab, Brickwork</v>
      </c>
      <c r="J234" s="46" t="str">
        <f ca="1">(IF(C237=0,"Work not yet Started.",IF(D237=25%,"Piling work in process",IF(D237=50%,"Excavation work in process",IF(D237=100%,"","0")))))&amp;(IF(C238=0%,"",IF(C238=J239,", Footing work is process",IF(C238=J240,", Footing work Completed",IF(C238=J241,", 1st Basement Completed",IF(C238=J242,", 1st &amp; 2nd Basement Completed",IF(C238=J243,", 1st to 3rd Basement Completed",IF(C238=J244,", 1st to 4th Basement Completed",IF(C238=J245,", Plinth work is process",IF(C238=J246,"","0"))))))))))</f>
        <v/>
      </c>
    </row>
    <row r="235" spans="1:14" ht="31" customHeight="1" x14ac:dyDescent="0.35">
      <c r="A235" s="132" t="s">
        <v>89</v>
      </c>
      <c r="B235" s="133"/>
      <c r="C235" s="129" t="str">
        <f ca="1">(IF($C$61=C233,"All work Completed. OC Received.",I233))</f>
        <v>Excavation, Plinth, RCC Slab, Brickwork Completed, Internal Plaster upto 5.25 Floor, External Plaster upto 4.9 Floor Completed</v>
      </c>
      <c r="D235" s="129"/>
      <c r="E235" s="129"/>
      <c r="F235" s="129"/>
      <c r="G235" s="129"/>
      <c r="H235" s="134"/>
      <c r="I235" s="45" t="str">
        <f ca="1">IF(I234&lt;&gt;""," Completed","")</f>
        <v xml:space="preserve"> Completed</v>
      </c>
      <c r="J235" s="46" t="str">
        <f ca="1">IF(J233&lt;&gt;"","Completed","")</f>
        <v>Completed</v>
      </c>
    </row>
    <row r="236" spans="1:14" ht="15.75" customHeight="1" x14ac:dyDescent="0.35">
      <c r="A236" s="110" t="s">
        <v>48</v>
      </c>
      <c r="B236" s="105"/>
      <c r="C236" s="77" t="s">
        <v>137</v>
      </c>
      <c r="D236" s="77" t="s">
        <v>82</v>
      </c>
      <c r="E236" s="105" t="s">
        <v>84</v>
      </c>
      <c r="F236" s="105"/>
      <c r="G236" s="105" t="s">
        <v>83</v>
      </c>
      <c r="H236" s="135"/>
      <c r="I236" s="16" t="s">
        <v>139</v>
      </c>
      <c r="J236" s="29">
        <f ca="1">H234*25%</f>
        <v>1.75</v>
      </c>
      <c r="K236" s="22"/>
    </row>
    <row r="237" spans="1:14" x14ac:dyDescent="0.35">
      <c r="A237" s="110" t="s">
        <v>126</v>
      </c>
      <c r="B237" s="105"/>
      <c r="C237" s="77">
        <v>7</v>
      </c>
      <c r="D237" s="52">
        <f ca="1">((100/H234)*C237)/100</f>
        <v>1</v>
      </c>
      <c r="E237" s="106">
        <f ca="1">(((C238/H234*10)+(40/(D234+F234+H234)*C239)+(7.5/(H234)*C240)+(7.5/(H234)*C241)+(10/H234*C242)+(10/H234*C243)+(5/H234*C244)+(5/H234*C245)+(5/H234*C246))/100)</f>
        <v>0.70125000000000004</v>
      </c>
      <c r="F237" s="138"/>
      <c r="G237" s="106">
        <f ca="1">((((C237/H234)*20)+((C238/H234)*25)+(30/(H234+F234+D234)*C239)+(5/H234*C240)+(5/H234*C241)+(5/H234*C242)+(5/H234*C243)+(0/H234*C244)+(0/H234*C245)+(5/H234*C246))/100)</f>
        <v>0.87250000000000005</v>
      </c>
      <c r="H237" s="107"/>
      <c r="I237" s="16" t="s">
        <v>95</v>
      </c>
      <c r="J237" s="30">
        <f ca="1">H234*50%</f>
        <v>3.5</v>
      </c>
    </row>
    <row r="238" spans="1:14" x14ac:dyDescent="0.35">
      <c r="A238" s="110" t="s">
        <v>49</v>
      </c>
      <c r="B238" s="105"/>
      <c r="C238" s="69">
        <f ca="1">J246</f>
        <v>7</v>
      </c>
      <c r="D238" s="52">
        <f ca="1">((100/H234)*C238)/100</f>
        <v>1</v>
      </c>
      <c r="E238" s="108"/>
      <c r="F238" s="139"/>
      <c r="G238" s="108"/>
      <c r="H238" s="109"/>
      <c r="I238" s="16" t="s">
        <v>96</v>
      </c>
      <c r="J238" s="30">
        <f ca="1">H234</f>
        <v>7</v>
      </c>
    </row>
    <row r="239" spans="1:14" ht="15.75" customHeight="1" x14ac:dyDescent="0.35">
      <c r="A239" s="110" t="s">
        <v>127</v>
      </c>
      <c r="B239" s="105"/>
      <c r="C239" s="77">
        <v>8</v>
      </c>
      <c r="D239" s="52">
        <f ca="1">((100/(D234+F234+H234))*C239)/100</f>
        <v>1</v>
      </c>
      <c r="E239" s="108"/>
      <c r="F239" s="139"/>
      <c r="G239" s="108"/>
      <c r="H239" s="109"/>
      <c r="I239" s="16" t="s">
        <v>97</v>
      </c>
      <c r="J239" s="31">
        <f ca="1">(IF(B234&gt;1,(H234/(B234+2)),H234/4))</f>
        <v>1.75</v>
      </c>
      <c r="L239" s="21">
        <f>0.125*8</f>
        <v>1</v>
      </c>
      <c r="N239" s="21">
        <f>L239*M239</f>
        <v>0</v>
      </c>
    </row>
    <row r="240" spans="1:14" ht="15.75" customHeight="1" x14ac:dyDescent="0.35">
      <c r="A240" s="110" t="s">
        <v>134</v>
      </c>
      <c r="B240" s="105" t="s">
        <v>128</v>
      </c>
      <c r="C240" s="77">
        <f>C239-1</f>
        <v>7</v>
      </c>
      <c r="D240" s="52">
        <f ca="1">((100/H234)*C240)/100</f>
        <v>1</v>
      </c>
      <c r="E240" s="108"/>
      <c r="F240" s="139"/>
      <c r="G240" s="108"/>
      <c r="H240" s="109"/>
      <c r="I240" s="16" t="s">
        <v>98</v>
      </c>
      <c r="J240" s="31">
        <f ca="1">(IF(B234&gt;1,(H234/(B234+2)+J239),H234/4+J239))</f>
        <v>3.5</v>
      </c>
    </row>
    <row r="241" spans="1:13" ht="15.75" customHeight="1" x14ac:dyDescent="0.35">
      <c r="A241" s="110" t="s">
        <v>135</v>
      </c>
      <c r="B241" s="105" t="s">
        <v>128</v>
      </c>
      <c r="C241" s="69">
        <f>C240*0.75</f>
        <v>5.25</v>
      </c>
      <c r="D241" s="52">
        <f ca="1">((100/H234)*C241)/100</f>
        <v>0.75</v>
      </c>
      <c r="E241" s="108"/>
      <c r="F241" s="139"/>
      <c r="G241" s="108"/>
      <c r="H241" s="109"/>
      <c r="I241" s="16" t="s">
        <v>144</v>
      </c>
      <c r="J241" s="31">
        <f>(IF(B234&gt;1,(H234/(B234+2)+J240),0))</f>
        <v>0</v>
      </c>
    </row>
    <row r="242" spans="1:13" ht="15" customHeight="1" x14ac:dyDescent="0.35">
      <c r="A242" s="110" t="s">
        <v>133</v>
      </c>
      <c r="B242" s="105" t="s">
        <v>130</v>
      </c>
      <c r="C242" s="69">
        <f>C240*0.7</f>
        <v>4.8999999999999995</v>
      </c>
      <c r="D242" s="52">
        <f ca="1">((100/(H234))*C242)/100</f>
        <v>0.7</v>
      </c>
      <c r="E242" s="108"/>
      <c r="F242" s="139"/>
      <c r="G242" s="108"/>
      <c r="H242" s="109"/>
      <c r="I242" s="16" t="s">
        <v>141</v>
      </c>
      <c r="J242" s="31">
        <f>(IF(B234&gt;2,(H234/(B234+2)+J241),0))</f>
        <v>0</v>
      </c>
    </row>
    <row r="243" spans="1:13" ht="15.75" customHeight="1" x14ac:dyDescent="0.35">
      <c r="A243" s="110" t="s">
        <v>129</v>
      </c>
      <c r="B243" s="105" t="s">
        <v>129</v>
      </c>
      <c r="C243" s="77">
        <v>0</v>
      </c>
      <c r="D243" s="52">
        <f ca="1">((100/H234)*C243)/100</f>
        <v>0</v>
      </c>
      <c r="E243" s="108"/>
      <c r="F243" s="139"/>
      <c r="G243" s="108"/>
      <c r="H243" s="109"/>
      <c r="I243" s="16" t="s">
        <v>142</v>
      </c>
      <c r="J243" s="32">
        <f>(IF(B234&gt;3,(H234/(B234+2)+J242),0))</f>
        <v>0</v>
      </c>
    </row>
    <row r="244" spans="1:13" ht="15.75" customHeight="1" x14ac:dyDescent="0.35">
      <c r="A244" s="110" t="s">
        <v>136</v>
      </c>
      <c r="B244" s="105"/>
      <c r="C244" s="77">
        <v>0</v>
      </c>
      <c r="D244" s="52">
        <f ca="1">((100/H234)*C244)/100</f>
        <v>0</v>
      </c>
      <c r="E244" s="108"/>
      <c r="F244" s="139"/>
      <c r="G244" s="108"/>
      <c r="H244" s="109"/>
      <c r="I244" s="16" t="s">
        <v>143</v>
      </c>
      <c r="J244" s="31">
        <f>(IF(B234&gt;4,(H234/(B234+2)+J243),0))</f>
        <v>0</v>
      </c>
    </row>
    <row r="245" spans="1:13" ht="15.75" customHeight="1" x14ac:dyDescent="0.35">
      <c r="A245" s="110" t="s">
        <v>131</v>
      </c>
      <c r="B245" s="105" t="s">
        <v>131</v>
      </c>
      <c r="C245" s="77">
        <v>0</v>
      </c>
      <c r="D245" s="52">
        <f ca="1">((100/(H234))*C245)/100</f>
        <v>0</v>
      </c>
      <c r="E245" s="108"/>
      <c r="F245" s="139"/>
      <c r="G245" s="108"/>
      <c r="H245" s="109"/>
      <c r="I245" s="16" t="s">
        <v>145</v>
      </c>
      <c r="J245" s="31">
        <f ca="1">(IF(B234=1,(H234/(B234+3)+J240),IF(B234=0,(H234/4+J240),IF(B234&gt;1,0))))</f>
        <v>5.25</v>
      </c>
    </row>
    <row r="246" spans="1:13" ht="16" thickBot="1" x14ac:dyDescent="0.4">
      <c r="A246" s="173" t="s">
        <v>132</v>
      </c>
      <c r="B246" s="148"/>
      <c r="C246" s="100">
        <v>0</v>
      </c>
      <c r="D246" s="94">
        <f ca="1">((100/(H234))*C246)/100</f>
        <v>0</v>
      </c>
      <c r="E246" s="108"/>
      <c r="F246" s="139"/>
      <c r="G246" s="108"/>
      <c r="H246" s="109"/>
      <c r="I246" s="17" t="s">
        <v>99</v>
      </c>
      <c r="J246" s="33">
        <f ca="1">(IF(B234&gt;1.5,(H234/(B234+2)+J240+MAX(0,J241-J240)+MAX(0,J242-J241)+MAX(0,J243-J242)+MAX(0,J244-J243)+MAX(0,J245-J244)),IF(B234=1,(H234/(B234+3)+J245),IF(B234=0,H234/4+J245))))</f>
        <v>7</v>
      </c>
    </row>
    <row r="247" spans="1:13" x14ac:dyDescent="0.35">
      <c r="A247" s="199" t="s">
        <v>155</v>
      </c>
      <c r="B247" s="199"/>
      <c r="C247" s="199"/>
      <c r="D247" s="199"/>
      <c r="E247" s="199"/>
      <c r="F247" s="221" t="s">
        <v>157</v>
      </c>
      <c r="G247" s="221"/>
      <c r="H247" s="221"/>
    </row>
    <row r="248" spans="1:13" x14ac:dyDescent="0.35">
      <c r="A248" s="183" t="s">
        <v>156</v>
      </c>
      <c r="B248" s="183"/>
      <c r="C248" s="183"/>
      <c r="D248" s="183"/>
      <c r="E248" s="183"/>
      <c r="F248" s="187">
        <v>3800</v>
      </c>
      <c r="G248" s="187"/>
      <c r="H248" s="187"/>
      <c r="J248" s="72" t="s">
        <v>227</v>
      </c>
      <c r="K248" s="73">
        <v>45055</v>
      </c>
      <c r="L248" s="72" t="s">
        <v>228</v>
      </c>
      <c r="M248" s="72" t="s">
        <v>229</v>
      </c>
    </row>
    <row r="249" spans="1:13" x14ac:dyDescent="0.35">
      <c r="A249" s="183" t="s">
        <v>247</v>
      </c>
      <c r="B249" s="183"/>
      <c r="C249" s="183"/>
      <c r="D249" s="183"/>
      <c r="E249" s="183"/>
      <c r="F249" s="187">
        <v>8500</v>
      </c>
      <c r="G249" s="187"/>
      <c r="H249" s="187"/>
      <c r="I249" s="21" t="s">
        <v>271</v>
      </c>
      <c r="J249" s="73">
        <v>45737</v>
      </c>
      <c r="K249" s="73" t="s">
        <v>269</v>
      </c>
      <c r="L249" s="72" t="s">
        <v>270</v>
      </c>
      <c r="M249" s="72"/>
    </row>
    <row r="250" spans="1:13" s="34" customFormat="1" x14ac:dyDescent="0.3">
      <c r="A250" s="183" t="s">
        <v>94</v>
      </c>
      <c r="B250" s="183"/>
      <c r="C250" s="183"/>
      <c r="D250" s="183"/>
      <c r="E250" s="183"/>
      <c r="F250" s="187">
        <v>150000</v>
      </c>
      <c r="G250" s="187"/>
      <c r="H250" s="187"/>
    </row>
    <row r="251" spans="1:13" x14ac:dyDescent="0.35">
      <c r="A251" s="183" t="s">
        <v>50</v>
      </c>
      <c r="B251" s="183"/>
      <c r="C251" s="183"/>
      <c r="D251" s="183"/>
      <c r="E251" s="183"/>
      <c r="F251" s="187">
        <v>100000</v>
      </c>
      <c r="G251" s="187"/>
      <c r="H251" s="187"/>
    </row>
    <row r="252" spans="1:13" s="35" customFormat="1" x14ac:dyDescent="0.35">
      <c r="A252" s="199" t="s">
        <v>51</v>
      </c>
      <c r="B252" s="199"/>
      <c r="C252" s="199"/>
      <c r="D252" s="199"/>
      <c r="E252" s="199"/>
      <c r="F252" s="187">
        <f>F248*0.8</f>
        <v>3040</v>
      </c>
      <c r="G252" s="187"/>
      <c r="H252" s="187"/>
    </row>
    <row r="253" spans="1:13" s="36" customFormat="1" ht="15.75" customHeight="1" x14ac:dyDescent="0.35">
      <c r="A253" s="198" t="s">
        <v>74</v>
      </c>
      <c r="B253" s="198"/>
      <c r="C253" s="198"/>
      <c r="D253" s="198"/>
      <c r="E253" s="198"/>
      <c r="F253" s="198"/>
      <c r="G253" s="198"/>
      <c r="H253" s="198"/>
    </row>
    <row r="254" spans="1:13" s="36" customFormat="1" ht="15.75" customHeight="1" x14ac:dyDescent="0.35">
      <c r="A254" s="189" t="s">
        <v>52</v>
      </c>
      <c r="B254" s="190"/>
      <c r="C254" s="191"/>
      <c r="D254" s="54" t="s">
        <v>77</v>
      </c>
      <c r="E254" s="208" t="s">
        <v>53</v>
      </c>
      <c r="F254" s="208"/>
      <c r="G254" s="166" t="s">
        <v>54</v>
      </c>
      <c r="H254" s="166"/>
    </row>
    <row r="255" spans="1:13" s="36" customFormat="1" x14ac:dyDescent="0.35">
      <c r="A255" s="192" t="s">
        <v>201</v>
      </c>
      <c r="B255" s="55" t="s">
        <v>204</v>
      </c>
      <c r="C255" s="168" t="s">
        <v>202</v>
      </c>
      <c r="D255" s="162">
        <f>COUNT(D294:D305)</f>
        <v>12</v>
      </c>
      <c r="E255" s="158">
        <f>SUM(D294:D305)</f>
        <v>1686.2882399999996</v>
      </c>
      <c r="F255" s="195"/>
      <c r="G255" s="158">
        <f>SUM(F294:F305)</f>
        <v>2613.7467720000004</v>
      </c>
      <c r="H255" s="195"/>
    </row>
    <row r="256" spans="1:13" s="36" customFormat="1" x14ac:dyDescent="0.35">
      <c r="A256" s="193"/>
      <c r="B256" s="55" t="s">
        <v>190</v>
      </c>
      <c r="C256" s="163"/>
      <c r="D256" s="194"/>
      <c r="E256" s="196"/>
      <c r="F256" s="197"/>
      <c r="G256" s="196"/>
      <c r="H256" s="197"/>
    </row>
    <row r="257" spans="1:12" s="36" customFormat="1" ht="15.75" customHeight="1" x14ac:dyDescent="0.35">
      <c r="A257" s="193"/>
      <c r="B257" s="55" t="s">
        <v>205</v>
      </c>
      <c r="C257" s="168" t="s">
        <v>202</v>
      </c>
      <c r="D257" s="162">
        <f>COUNT(D309:D320)</f>
        <v>12</v>
      </c>
      <c r="E257" s="158">
        <f>SUM(D309:D320)</f>
        <v>1686.2882399999996</v>
      </c>
      <c r="F257" s="159"/>
      <c r="G257" s="158">
        <f>SUM(F309:F320)</f>
        <v>2613.7467720000004</v>
      </c>
      <c r="H257" s="159"/>
    </row>
    <row r="258" spans="1:12" s="36" customFormat="1" x14ac:dyDescent="0.35">
      <c r="A258" s="193"/>
      <c r="B258" s="55" t="s">
        <v>190</v>
      </c>
      <c r="C258" s="163"/>
      <c r="D258" s="163"/>
      <c r="E258" s="160"/>
      <c r="F258" s="161"/>
      <c r="G258" s="160"/>
      <c r="H258" s="161"/>
    </row>
    <row r="259" spans="1:12" s="36" customFormat="1" ht="15.75" customHeight="1" x14ac:dyDescent="0.35">
      <c r="A259" s="193"/>
      <c r="B259" s="55" t="s">
        <v>206</v>
      </c>
      <c r="C259" s="168" t="s">
        <v>202</v>
      </c>
      <c r="D259" s="162">
        <f>COUNT(D324:D335)</f>
        <v>12</v>
      </c>
      <c r="E259" s="158">
        <f>SUM(D324:D335)</f>
        <v>1686.2882399999996</v>
      </c>
      <c r="F259" s="159"/>
      <c r="G259" s="158">
        <f>SUM(F324:F335)</f>
        <v>2613.7467720000004</v>
      </c>
      <c r="H259" s="159"/>
    </row>
    <row r="260" spans="1:12" s="36" customFormat="1" x14ac:dyDescent="0.35">
      <c r="A260" s="193"/>
      <c r="B260" s="55" t="s">
        <v>190</v>
      </c>
      <c r="C260" s="163"/>
      <c r="D260" s="163"/>
      <c r="E260" s="160"/>
      <c r="F260" s="161"/>
      <c r="G260" s="160"/>
      <c r="H260" s="161"/>
    </row>
    <row r="261" spans="1:12" s="36" customFormat="1" hidden="1" x14ac:dyDescent="0.35">
      <c r="A261" s="193"/>
      <c r="B261" s="192" t="s">
        <v>172</v>
      </c>
      <c r="C261" s="49" t="s">
        <v>202</v>
      </c>
      <c r="D261" s="56">
        <f>COUNT(D324:D335)</f>
        <v>12</v>
      </c>
      <c r="E261" s="238">
        <f>SUM(D324:D335)</f>
        <v>1686.2882399999996</v>
      </c>
      <c r="F261" s="239"/>
      <c r="G261" s="238">
        <f>SUM(F338:F357)</f>
        <v>6483.1464359999982</v>
      </c>
      <c r="H261" s="239"/>
    </row>
    <row r="262" spans="1:12" s="36" customFormat="1" ht="31" hidden="1" x14ac:dyDescent="0.35">
      <c r="A262" s="193"/>
      <c r="B262" s="193"/>
      <c r="C262" s="61" t="s">
        <v>173</v>
      </c>
      <c r="D262" s="56">
        <f>COUNT(D376)*2</f>
        <v>2</v>
      </c>
      <c r="E262" s="238">
        <f>SUM(D376)*2</f>
        <v>7927.3630800000001</v>
      </c>
      <c r="F262" s="239"/>
      <c r="G262" s="238">
        <f>SUM(F376)</f>
        <v>6143.7063870000002</v>
      </c>
      <c r="H262" s="239"/>
    </row>
    <row r="263" spans="1:12" s="36" customFormat="1" hidden="1" x14ac:dyDescent="0.35">
      <c r="A263" s="193"/>
      <c r="B263" s="236"/>
      <c r="C263" s="49" t="s">
        <v>203</v>
      </c>
      <c r="D263" s="56">
        <f>COUNT(D377:D378)*2</f>
        <v>4</v>
      </c>
      <c r="E263" s="238">
        <f>SUM(D377:D378)*2</f>
        <v>1926.3792600000002</v>
      </c>
      <c r="F263" s="239"/>
      <c r="G263" s="238">
        <f>SUM(F377:F378)</f>
        <v>1492.9439265000001</v>
      </c>
      <c r="H263" s="239"/>
    </row>
    <row r="264" spans="1:12" s="36" customFormat="1" x14ac:dyDescent="0.35">
      <c r="A264" s="255" t="s">
        <v>148</v>
      </c>
      <c r="B264" s="256"/>
      <c r="C264" s="257"/>
      <c r="D264" s="57">
        <f>SUM(D255:D263)</f>
        <v>54</v>
      </c>
      <c r="E264" s="237">
        <f>SUM(E255:E263)</f>
        <v>16598.8953</v>
      </c>
      <c r="F264" s="208"/>
      <c r="G264" s="237">
        <f>SUM(G255:G263)</f>
        <v>21961.037065499997</v>
      </c>
      <c r="H264" s="208"/>
    </row>
    <row r="265" spans="1:12" s="36" customFormat="1" x14ac:dyDescent="0.35">
      <c r="A265" s="198" t="s">
        <v>69</v>
      </c>
      <c r="B265" s="198"/>
      <c r="C265" s="198"/>
      <c r="D265" s="198"/>
      <c r="E265" s="198"/>
      <c r="F265" s="198"/>
      <c r="G265" s="198"/>
      <c r="H265" s="198"/>
    </row>
    <row r="266" spans="1:12" s="36" customFormat="1" ht="15.75" customHeight="1" x14ac:dyDescent="0.35">
      <c r="A266" s="189" t="s">
        <v>52</v>
      </c>
      <c r="B266" s="190"/>
      <c r="C266" s="191"/>
      <c r="D266" s="50" t="s">
        <v>77</v>
      </c>
      <c r="E266" s="208" t="s">
        <v>53</v>
      </c>
      <c r="F266" s="208"/>
      <c r="G266" s="166" t="s">
        <v>54</v>
      </c>
      <c r="H266" s="166"/>
      <c r="J266" s="36" t="s">
        <v>218</v>
      </c>
    </row>
    <row r="267" spans="1:12" s="36" customFormat="1" x14ac:dyDescent="0.35">
      <c r="A267" s="252" t="s">
        <v>196</v>
      </c>
      <c r="B267" s="192" t="s">
        <v>197</v>
      </c>
      <c r="C267" s="49" t="s">
        <v>169</v>
      </c>
      <c r="D267" s="49">
        <f>COUNT(D386:D389)+COUNT(D391:D396)*7</f>
        <v>46</v>
      </c>
      <c r="E267" s="167">
        <f>SUM(D386:D389)+SUM(D391:D396)*7</f>
        <v>18088.105463999997</v>
      </c>
      <c r="F267" s="167"/>
      <c r="G267" s="167">
        <f>SUM(F386:F389)+SUM(F391:F396)*7</f>
        <v>27132.158196</v>
      </c>
      <c r="H267" s="167"/>
      <c r="J267" s="36" t="s">
        <v>216</v>
      </c>
      <c r="K267" s="36" t="s">
        <v>217</v>
      </c>
      <c r="L267" s="36" t="s">
        <v>219</v>
      </c>
    </row>
    <row r="268" spans="1:12" s="36" customFormat="1" x14ac:dyDescent="0.35">
      <c r="A268" s="253"/>
      <c r="B268" s="236"/>
      <c r="C268" s="49" t="s">
        <v>170</v>
      </c>
      <c r="D268" s="49">
        <f>COUNT(D399:D402)+COUNT(D404:D409)*7</f>
        <v>46</v>
      </c>
      <c r="E268" s="167">
        <f>SUM(D399:D402)+SUM(D404:D409)*7</f>
        <v>18088.105463999997</v>
      </c>
      <c r="F268" s="167"/>
      <c r="G268" s="167">
        <f>SUM(F399:F402)+SUM(F404:F409)*7</f>
        <v>27132.158196</v>
      </c>
      <c r="H268" s="167"/>
      <c r="J268" s="36">
        <v>3400</v>
      </c>
      <c r="K268" s="36">
        <v>3000</v>
      </c>
      <c r="L268" s="36">
        <v>3000</v>
      </c>
    </row>
    <row r="269" spans="1:12" s="36" customFormat="1" x14ac:dyDescent="0.35">
      <c r="A269" s="253"/>
      <c r="B269" s="192" t="s">
        <v>207</v>
      </c>
      <c r="C269" s="49" t="s">
        <v>169</v>
      </c>
      <c r="D269" s="49">
        <f>COUNT(D413:D416)+COUNT(D418:D423)*7</f>
        <v>46</v>
      </c>
      <c r="E269" s="167">
        <f>SUM(D413:D416)+SUM(D418:D423)*7</f>
        <v>18088.105463999997</v>
      </c>
      <c r="F269" s="167"/>
      <c r="G269" s="167">
        <f>SUM(F413:F416)+SUM(F418:F423)*7</f>
        <v>27132.158196</v>
      </c>
      <c r="H269" s="167"/>
    </row>
    <row r="270" spans="1:12" s="36" customFormat="1" x14ac:dyDescent="0.35">
      <c r="A270" s="253"/>
      <c r="B270" s="236"/>
      <c r="C270" s="49" t="s">
        <v>170</v>
      </c>
      <c r="D270" s="49">
        <f>COUNT(D426:D429)+COUNT(D431:D436)*7</f>
        <v>46</v>
      </c>
      <c r="E270" s="167">
        <f>SUM(D426:D429)+SUM(D431:D436)*7</f>
        <v>18088.105463999997</v>
      </c>
      <c r="F270" s="167"/>
      <c r="G270" s="167">
        <f>SUM(F426:F429)+SUM(F431:F436)*7</f>
        <v>27132.158196</v>
      </c>
      <c r="H270" s="167"/>
    </row>
    <row r="271" spans="1:12" s="36" customFormat="1" x14ac:dyDescent="0.35">
      <c r="A271" s="253"/>
      <c r="B271" s="192" t="s">
        <v>208</v>
      </c>
      <c r="C271" s="49" t="s">
        <v>169</v>
      </c>
      <c r="D271" s="49">
        <f>COUNT(D440:D443)+COUNT(D445:D450)*7</f>
        <v>46</v>
      </c>
      <c r="E271" s="167">
        <f>SUM(D440:D443)+SUM(D445:D450)*7</f>
        <v>18088.105463999997</v>
      </c>
      <c r="F271" s="167"/>
      <c r="G271" s="167">
        <f>SUM(F440:F443)+SUM(F445:F450)*7</f>
        <v>27132.158196</v>
      </c>
      <c r="H271" s="167"/>
    </row>
    <row r="272" spans="1:12" s="36" customFormat="1" x14ac:dyDescent="0.35">
      <c r="A272" s="253"/>
      <c r="B272" s="236"/>
      <c r="C272" s="49" t="s">
        <v>170</v>
      </c>
      <c r="D272" s="49">
        <f>COUNT(D453:D456)+COUNT(D458:D463)*7</f>
        <v>46</v>
      </c>
      <c r="E272" s="167">
        <f>SUM(D453:D456)+SUM(D458:D463)*7</f>
        <v>18088.105463999997</v>
      </c>
      <c r="F272" s="167"/>
      <c r="G272" s="167">
        <f>SUM(F453:F456)+SUM(F458:F463)*7</f>
        <v>27132.158196</v>
      </c>
      <c r="H272" s="167"/>
    </row>
    <row r="273" spans="1:8" s="36" customFormat="1" x14ac:dyDescent="0.35">
      <c r="A273" s="253"/>
      <c r="B273" s="192" t="s">
        <v>209</v>
      </c>
      <c r="C273" s="49" t="s">
        <v>169</v>
      </c>
      <c r="D273" s="49">
        <f>COUNT(D467:D470)+COUNT(D472:D477)*7</f>
        <v>46</v>
      </c>
      <c r="E273" s="167">
        <f>SUM(D467:D470)+SUM(D472:D477)*7</f>
        <v>18088.105463999997</v>
      </c>
      <c r="F273" s="167"/>
      <c r="G273" s="167">
        <f>SUM(F467:F470)+SUM(F472:F477)*7</f>
        <v>27132.158196</v>
      </c>
      <c r="H273" s="167"/>
    </row>
    <row r="274" spans="1:8" s="36" customFormat="1" x14ac:dyDescent="0.35">
      <c r="A274" s="253"/>
      <c r="B274" s="236"/>
      <c r="C274" s="49" t="s">
        <v>170</v>
      </c>
      <c r="D274" s="49">
        <f>COUNT(D480:D483)+COUNT(D485:D490)*7</f>
        <v>46</v>
      </c>
      <c r="E274" s="167">
        <f>SUM(D480:D483)+SUM(D485:D490)*7</f>
        <v>18088.105463999997</v>
      </c>
      <c r="F274" s="167"/>
      <c r="G274" s="167">
        <f>SUM(F480:F483)+SUM(F485:F490)*7</f>
        <v>27132.158196</v>
      </c>
      <c r="H274" s="167"/>
    </row>
    <row r="275" spans="1:8" s="36" customFormat="1" x14ac:dyDescent="0.35">
      <c r="A275" s="253"/>
      <c r="B275" s="192" t="s">
        <v>210</v>
      </c>
      <c r="C275" s="49" t="s">
        <v>169</v>
      </c>
      <c r="D275" s="49">
        <f>COUNT(D494:D497)+COUNT(D499:D504)*7</f>
        <v>46</v>
      </c>
      <c r="E275" s="167">
        <f>SUM(D494:D497)+SUM(D499:D504)*7</f>
        <v>18088.105463999997</v>
      </c>
      <c r="F275" s="167"/>
      <c r="G275" s="167">
        <f>SUM(F494:F497)+SUM(F499:F504)*7</f>
        <v>27132.158196</v>
      </c>
      <c r="H275" s="167"/>
    </row>
    <row r="276" spans="1:8" s="36" customFormat="1" x14ac:dyDescent="0.35">
      <c r="A276" s="254"/>
      <c r="B276" s="236"/>
      <c r="C276" s="49" t="s">
        <v>170</v>
      </c>
      <c r="D276" s="49">
        <f>COUNT(D507:D510)+COUNT(D512:D517)*7</f>
        <v>46</v>
      </c>
      <c r="E276" s="167">
        <f>SUM(D507:D510)+SUM(D512:D517)*7</f>
        <v>18088.105463999997</v>
      </c>
      <c r="F276" s="167"/>
      <c r="G276" s="167">
        <f>SUM(F507:F510)+SUM(F512:F517)*7</f>
        <v>27132.158196</v>
      </c>
      <c r="H276" s="167"/>
    </row>
    <row r="277" spans="1:8" s="36" customFormat="1" x14ac:dyDescent="0.35">
      <c r="A277" s="252" t="s">
        <v>201</v>
      </c>
      <c r="B277" s="192" t="s">
        <v>189</v>
      </c>
      <c r="C277" s="49" t="s">
        <v>169</v>
      </c>
      <c r="D277" s="49">
        <f>COUNT(D522:D527)*10+COUNT(D529:D532,D534)</f>
        <v>65</v>
      </c>
      <c r="E277" s="167">
        <f>SUM(D522:D527)*10+SUM(D529:D532,D534)</f>
        <v>27181.791000000001</v>
      </c>
      <c r="F277" s="167"/>
      <c r="G277" s="167">
        <f>SUM(F522:F527)*10+SUM(F529:F532,F534)</f>
        <v>40772.686500000003</v>
      </c>
      <c r="H277" s="167"/>
    </row>
    <row r="278" spans="1:8" s="36" customFormat="1" x14ac:dyDescent="0.35">
      <c r="A278" s="253"/>
      <c r="B278" s="236"/>
      <c r="C278" s="49" t="s">
        <v>170</v>
      </c>
      <c r="D278" s="49">
        <f>COUNT(D537:D542)*10+COUNT(D544:D547,D549)</f>
        <v>65</v>
      </c>
      <c r="E278" s="167">
        <f>SUM(D537:D542)*10+SUM(D544:D547,D549)</f>
        <v>27181.791000000001</v>
      </c>
      <c r="F278" s="167"/>
      <c r="G278" s="167">
        <f>SUM(F537:F542)*10+SUM(F544:F547,F549)</f>
        <v>40772.686500000003</v>
      </c>
      <c r="H278" s="167"/>
    </row>
    <row r="279" spans="1:8" s="36" customFormat="1" x14ac:dyDescent="0.35">
      <c r="A279" s="253"/>
      <c r="B279" s="192" t="s">
        <v>192</v>
      </c>
      <c r="C279" s="49" t="s">
        <v>169</v>
      </c>
      <c r="D279" s="49">
        <f>COUNT(D553:D558)*10+COUNT(D560:D563,D565)</f>
        <v>65</v>
      </c>
      <c r="E279" s="167">
        <f>SUM(D553:D558)*10+SUM(D560:D563,D565)</f>
        <v>27181.791000000001</v>
      </c>
      <c r="F279" s="167"/>
      <c r="G279" s="167">
        <f>SUM(F553:F558)*10+SUM(F560:F563,F565)</f>
        <v>40772.686500000003</v>
      </c>
      <c r="H279" s="167"/>
    </row>
    <row r="280" spans="1:8" s="36" customFormat="1" x14ac:dyDescent="0.35">
      <c r="A280" s="253"/>
      <c r="B280" s="236"/>
      <c r="C280" s="49" t="s">
        <v>170</v>
      </c>
      <c r="D280" s="49">
        <f>COUNT(D568:D573)*10+COUNT(D575:D578,D580)</f>
        <v>65</v>
      </c>
      <c r="E280" s="167">
        <f>SUM(D568:D573)*10+SUM(D575:D578,D580)</f>
        <v>27181.791000000001</v>
      </c>
      <c r="F280" s="167"/>
      <c r="G280" s="167">
        <f>SUM(F568:F573)*10+SUM(F575:F578,F580)</f>
        <v>40772.686500000003</v>
      </c>
      <c r="H280" s="167"/>
    </row>
    <row r="281" spans="1:8" s="36" customFormat="1" x14ac:dyDescent="0.35">
      <c r="A281" s="253"/>
      <c r="B281" s="192" t="s">
        <v>193</v>
      </c>
      <c r="C281" s="49" t="s">
        <v>169</v>
      </c>
      <c r="D281" s="49">
        <f>COUNT(D584:D589)*10+COUNT(D591:D594,D596)</f>
        <v>65</v>
      </c>
      <c r="E281" s="167">
        <f>SUM(D584:D589)*10+SUM(D591:D594,D596)</f>
        <v>27181.791000000001</v>
      </c>
      <c r="F281" s="167"/>
      <c r="G281" s="167">
        <f>SUM(F584:F589)*10+SUM(F591:F594,F596)</f>
        <v>40772.686500000003</v>
      </c>
      <c r="H281" s="167"/>
    </row>
    <row r="282" spans="1:8" s="36" customFormat="1" x14ac:dyDescent="0.35">
      <c r="A282" s="253"/>
      <c r="B282" s="236"/>
      <c r="C282" s="49" t="s">
        <v>170</v>
      </c>
      <c r="D282" s="49">
        <f>COUNT(D599:D604)*10+COUNT(D606:D609,D611)</f>
        <v>65</v>
      </c>
      <c r="E282" s="167">
        <f>SUM(D599:D604)*10+SUM(D606:D609,D611)</f>
        <v>27181.791000000001</v>
      </c>
      <c r="F282" s="167"/>
      <c r="G282" s="167">
        <f>SUM(F599:F604)*10+SUM(F606:F609,F611)</f>
        <v>40772.686500000003</v>
      </c>
      <c r="H282" s="167"/>
    </row>
    <row r="283" spans="1:8" s="36" customFormat="1" x14ac:dyDescent="0.35">
      <c r="A283" s="253"/>
      <c r="B283" s="192" t="s">
        <v>200</v>
      </c>
      <c r="C283" s="49" t="s">
        <v>169</v>
      </c>
      <c r="D283" s="49">
        <f>COUNT(D615:D618)+COUNT(D620:D625)*7</f>
        <v>46</v>
      </c>
      <c r="E283" s="167">
        <f>SUM(D615:D618)+SUM(D620:D625)*7</f>
        <v>18088.105463999997</v>
      </c>
      <c r="F283" s="167"/>
      <c r="G283" s="167">
        <f>SUM(F615:F618)+SUM(F620:F625)*7</f>
        <v>27132.158196</v>
      </c>
      <c r="H283" s="167"/>
    </row>
    <row r="284" spans="1:8" s="36" customFormat="1" x14ac:dyDescent="0.35">
      <c r="A284" s="254"/>
      <c r="B284" s="236"/>
      <c r="C284" s="49" t="s">
        <v>170</v>
      </c>
      <c r="D284" s="49">
        <f>COUNT(D628:D631)+COUNT(D633:D638)*7</f>
        <v>46</v>
      </c>
      <c r="E284" s="167">
        <f>SUM(D628:D631)+SUM(D633:D638)*7</f>
        <v>18088.105463999997</v>
      </c>
      <c r="F284" s="167"/>
      <c r="G284" s="167">
        <f>SUM(F628:F631)+SUM(F633:F638)*7</f>
        <v>27132.158196</v>
      </c>
      <c r="H284" s="167"/>
    </row>
    <row r="285" spans="1:8" s="36" customFormat="1" x14ac:dyDescent="0.35">
      <c r="A285" s="255" t="s">
        <v>148</v>
      </c>
      <c r="B285" s="256"/>
      <c r="C285" s="257"/>
      <c r="D285" s="57">
        <f>SUM(D267:D284)</f>
        <v>942</v>
      </c>
      <c r="E285" s="237">
        <f>SUM(E267:E284)</f>
        <v>380148.01156800007</v>
      </c>
      <c r="F285" s="237"/>
      <c r="G285" s="237">
        <f>SUM(G267:G284)</f>
        <v>570222.01735200011</v>
      </c>
      <c r="H285" s="237"/>
    </row>
    <row r="286" spans="1:8" s="35" customFormat="1" x14ac:dyDescent="0.35">
      <c r="A286" s="221" t="s">
        <v>55</v>
      </c>
      <c r="B286" s="221"/>
      <c r="C286" s="221"/>
      <c r="D286" s="221"/>
      <c r="E286" s="221"/>
      <c r="F286" s="221"/>
      <c r="G286" s="221"/>
      <c r="H286" s="221"/>
    </row>
    <row r="287" spans="1:8" x14ac:dyDescent="0.35">
      <c r="A287" s="221" t="s">
        <v>56</v>
      </c>
      <c r="B287" s="221"/>
      <c r="C287" s="221"/>
      <c r="D287" s="221"/>
      <c r="E287" s="221"/>
      <c r="F287" s="221"/>
      <c r="G287" s="221"/>
      <c r="H287" s="221"/>
    </row>
    <row r="288" spans="1:8" ht="47.25" customHeight="1" x14ac:dyDescent="0.35">
      <c r="A288" s="250" t="s">
        <v>115</v>
      </c>
      <c r="B288" s="250" t="s">
        <v>114</v>
      </c>
      <c r="C288" s="250" t="s">
        <v>57</v>
      </c>
      <c r="D288" s="250" t="s">
        <v>58</v>
      </c>
      <c r="E288" s="240" t="s">
        <v>154</v>
      </c>
      <c r="F288" s="62" t="s">
        <v>147</v>
      </c>
      <c r="G288" s="242" t="s">
        <v>60</v>
      </c>
      <c r="H288" s="243"/>
    </row>
    <row r="289" spans="1:16" s="63" customFormat="1" x14ac:dyDescent="0.35">
      <c r="A289" s="251"/>
      <c r="B289" s="251"/>
      <c r="C289" s="251"/>
      <c r="D289" s="251"/>
      <c r="E289" s="241"/>
      <c r="F289" s="15">
        <v>0.55000000000000004</v>
      </c>
      <c r="G289" s="244"/>
      <c r="H289" s="245"/>
    </row>
    <row r="290" spans="1:16" s="63" customFormat="1" x14ac:dyDescent="0.35">
      <c r="A290" s="169" t="s">
        <v>194</v>
      </c>
      <c r="B290" s="169"/>
      <c r="C290" s="169"/>
      <c r="D290" s="169"/>
      <c r="E290" s="169"/>
      <c r="F290" s="169"/>
      <c r="G290" s="169"/>
      <c r="H290" s="169"/>
      <c r="I290" s="37"/>
    </row>
    <row r="291" spans="1:16" s="63" customFormat="1" ht="17.25" customHeight="1" x14ac:dyDescent="0.35">
      <c r="A291" s="169" t="s">
        <v>189</v>
      </c>
      <c r="B291" s="169"/>
      <c r="C291" s="169"/>
      <c r="D291" s="169"/>
      <c r="E291" s="169"/>
      <c r="F291" s="169"/>
      <c r="G291" s="169"/>
      <c r="H291" s="169"/>
      <c r="I291" s="37"/>
      <c r="P291" s="38"/>
    </row>
    <row r="292" spans="1:16" s="63" customFormat="1" ht="15.75" hidden="1" customHeight="1" x14ac:dyDescent="0.35">
      <c r="A292" s="169" t="s">
        <v>190</v>
      </c>
      <c r="B292" s="169"/>
      <c r="C292" s="169"/>
      <c r="D292" s="169"/>
      <c r="E292" s="169"/>
      <c r="F292" s="169"/>
      <c r="G292" s="169"/>
      <c r="H292" s="169"/>
      <c r="I292" s="37"/>
      <c r="P292" s="38"/>
    </row>
    <row r="293" spans="1:16" s="63" customFormat="1" ht="15.75" customHeight="1" x14ac:dyDescent="0.35">
      <c r="A293" s="170" t="s">
        <v>240</v>
      </c>
      <c r="B293" s="171"/>
      <c r="C293" s="171"/>
      <c r="D293" s="171"/>
      <c r="E293" s="171"/>
      <c r="F293" s="171"/>
      <c r="G293" s="171"/>
      <c r="H293" s="172"/>
      <c r="I293" s="37"/>
      <c r="P293" s="38"/>
    </row>
    <row r="294" spans="1:16" s="63" customFormat="1" ht="15.75" customHeight="1" x14ac:dyDescent="0.35">
      <c r="A294" s="164">
        <v>1</v>
      </c>
      <c r="B294" s="165"/>
      <c r="C294" s="51" t="s">
        <v>171</v>
      </c>
      <c r="D294" s="75">
        <f>(9.75)*10.764</f>
        <v>104.949</v>
      </c>
      <c r="E294" s="51">
        <v>0</v>
      </c>
      <c r="F294" s="51">
        <f>(D294+E294)*(($F$289)+1)</f>
        <v>162.67095</v>
      </c>
      <c r="G294" s="164" t="str">
        <f>A293</f>
        <v>Ground Floor For Commercial, Society Office, Drivers Room, Meter Room &amp; Parking</v>
      </c>
      <c r="H294" s="165"/>
      <c r="I294" s="63">
        <f>2.6*2.85</f>
        <v>7.41</v>
      </c>
      <c r="J294" s="75">
        <v>10.763999999999999</v>
      </c>
    </row>
    <row r="295" spans="1:16" s="63" customFormat="1" x14ac:dyDescent="0.35">
      <c r="A295" s="164">
        <v>2</v>
      </c>
      <c r="B295" s="165"/>
      <c r="C295" s="51" t="s">
        <v>171</v>
      </c>
      <c r="D295" s="75">
        <f>(11.35)*10.764</f>
        <v>122.17139999999999</v>
      </c>
      <c r="E295" s="51">
        <v>0</v>
      </c>
      <c r="F295" s="51">
        <f t="shared" ref="F295:F297" si="0">(D295+E295)*(($F$289)+1)</f>
        <v>189.36566999999999</v>
      </c>
      <c r="G295" s="164" t="str">
        <f t="shared" ref="G295:G305" si="1">G294</f>
        <v>Ground Floor For Commercial, Society Office, Drivers Room, Meter Room &amp; Parking</v>
      </c>
      <c r="H295" s="165"/>
      <c r="I295" s="37">
        <f>2.5*2.85</f>
        <v>7.125</v>
      </c>
      <c r="L295" s="174"/>
      <c r="M295" s="174"/>
      <c r="N295" s="37"/>
    </row>
    <row r="296" spans="1:16" s="63" customFormat="1" x14ac:dyDescent="0.35">
      <c r="A296" s="164">
        <v>3</v>
      </c>
      <c r="B296" s="165"/>
      <c r="C296" s="51" t="s">
        <v>171</v>
      </c>
      <c r="D296" s="75">
        <f>(22.69)*10.764</f>
        <v>244.23516000000001</v>
      </c>
      <c r="E296" s="51">
        <v>0</v>
      </c>
      <c r="F296" s="51">
        <f t="shared" si="0"/>
        <v>378.56449800000001</v>
      </c>
      <c r="G296" s="164" t="str">
        <f t="shared" si="1"/>
        <v>Ground Floor For Commercial, Society Office, Drivers Room, Meter Room &amp; Parking</v>
      </c>
      <c r="H296" s="165"/>
      <c r="I296" s="37">
        <f>8000*F296</f>
        <v>3028515.9840000002</v>
      </c>
      <c r="L296" s="174"/>
      <c r="M296" s="174"/>
      <c r="N296" s="37"/>
    </row>
    <row r="297" spans="1:16" s="63" customFormat="1" x14ac:dyDescent="0.35">
      <c r="A297" s="164">
        <v>4</v>
      </c>
      <c r="B297" s="165"/>
      <c r="C297" s="51" t="s">
        <v>171</v>
      </c>
      <c r="D297" s="75">
        <f>(13.44)*10.764</f>
        <v>144.66815999999997</v>
      </c>
      <c r="E297" s="51">
        <v>0</v>
      </c>
      <c r="F297" s="51">
        <f t="shared" si="0"/>
        <v>224.23564799999997</v>
      </c>
      <c r="G297" s="164" t="str">
        <f t="shared" si="1"/>
        <v>Ground Floor For Commercial, Society Office, Drivers Room, Meter Room &amp; Parking</v>
      </c>
      <c r="H297" s="165"/>
      <c r="I297" s="37"/>
      <c r="L297" s="174"/>
      <c r="M297" s="174"/>
      <c r="N297" s="37"/>
    </row>
    <row r="298" spans="1:16" s="63" customFormat="1" x14ac:dyDescent="0.35">
      <c r="A298" s="164">
        <v>5</v>
      </c>
      <c r="B298" s="165"/>
      <c r="C298" s="51" t="s">
        <v>171</v>
      </c>
      <c r="D298" s="75">
        <f>(11.35)*10.764</f>
        <v>122.17139999999999</v>
      </c>
      <c r="E298" s="51">
        <v>0</v>
      </c>
      <c r="F298" s="51">
        <f>(D298+E298)*(($F$289)+1)</f>
        <v>189.36566999999999</v>
      </c>
      <c r="G298" s="164" t="str">
        <f t="shared" si="1"/>
        <v>Ground Floor For Commercial, Society Office, Drivers Room, Meter Room &amp; Parking</v>
      </c>
      <c r="H298" s="165"/>
      <c r="I298" s="37"/>
      <c r="L298" s="174"/>
      <c r="M298" s="174"/>
      <c r="N298" s="37"/>
    </row>
    <row r="299" spans="1:16" s="63" customFormat="1" x14ac:dyDescent="0.35">
      <c r="A299" s="164">
        <v>6</v>
      </c>
      <c r="B299" s="165"/>
      <c r="C299" s="51" t="s">
        <v>171</v>
      </c>
      <c r="D299" s="75">
        <f>(9.75)*10.764</f>
        <v>104.949</v>
      </c>
      <c r="E299" s="51">
        <v>0</v>
      </c>
      <c r="F299" s="51">
        <f t="shared" ref="F299:F301" si="2">(D299+E299)*(($F$289)+1)</f>
        <v>162.67095</v>
      </c>
      <c r="G299" s="164" t="str">
        <f t="shared" si="1"/>
        <v>Ground Floor For Commercial, Society Office, Drivers Room, Meter Room &amp; Parking</v>
      </c>
      <c r="H299" s="165"/>
      <c r="I299" s="37"/>
      <c r="L299" s="174"/>
      <c r="M299" s="174"/>
      <c r="N299" s="37"/>
    </row>
    <row r="300" spans="1:16" s="63" customFormat="1" ht="15.75" customHeight="1" x14ac:dyDescent="0.35">
      <c r="A300" s="164">
        <v>7</v>
      </c>
      <c r="B300" s="165"/>
      <c r="C300" s="51" t="s">
        <v>171</v>
      </c>
      <c r="D300" s="75">
        <f>(9.75)*10.764</f>
        <v>104.949</v>
      </c>
      <c r="E300" s="51">
        <v>0</v>
      </c>
      <c r="F300" s="51">
        <f t="shared" si="2"/>
        <v>162.67095</v>
      </c>
      <c r="G300" s="164" t="str">
        <f>G299</f>
        <v>Ground Floor For Commercial, Society Office, Drivers Room, Meter Room &amp; Parking</v>
      </c>
      <c r="H300" s="165"/>
      <c r="I300" s="37"/>
      <c r="P300" s="38"/>
    </row>
    <row r="301" spans="1:16" s="63" customFormat="1" x14ac:dyDescent="0.35">
      <c r="A301" s="164">
        <v>8</v>
      </c>
      <c r="B301" s="165"/>
      <c r="C301" s="51" t="s">
        <v>171</v>
      </c>
      <c r="D301" s="75">
        <f>(11.35)*10.764</f>
        <v>122.17139999999999</v>
      </c>
      <c r="E301" s="51">
        <v>0</v>
      </c>
      <c r="F301" s="51">
        <f t="shared" si="2"/>
        <v>189.36566999999999</v>
      </c>
      <c r="G301" s="164" t="str">
        <f t="shared" si="1"/>
        <v>Ground Floor For Commercial, Society Office, Drivers Room, Meter Room &amp; Parking</v>
      </c>
      <c r="H301" s="165"/>
      <c r="I301" s="37"/>
      <c r="L301" s="174"/>
      <c r="M301" s="174"/>
      <c r="N301" s="37"/>
    </row>
    <row r="302" spans="1:16" s="63" customFormat="1" x14ac:dyDescent="0.35">
      <c r="A302" s="164">
        <v>9</v>
      </c>
      <c r="B302" s="165"/>
      <c r="C302" s="51" t="s">
        <v>171</v>
      </c>
      <c r="D302" s="75">
        <f>(13.44)*10.764</f>
        <v>144.66815999999997</v>
      </c>
      <c r="E302" s="51">
        <v>0</v>
      </c>
      <c r="F302" s="51">
        <f>(D302+E302)*(($F$289)+1)</f>
        <v>224.23564799999997</v>
      </c>
      <c r="G302" s="164" t="str">
        <f t="shared" si="1"/>
        <v>Ground Floor For Commercial, Society Office, Drivers Room, Meter Room &amp; Parking</v>
      </c>
      <c r="H302" s="165"/>
      <c r="I302" s="37"/>
      <c r="L302" s="174"/>
      <c r="M302" s="174"/>
      <c r="N302" s="37"/>
    </row>
    <row r="303" spans="1:16" s="63" customFormat="1" x14ac:dyDescent="0.35">
      <c r="A303" s="164">
        <v>10</v>
      </c>
      <c r="B303" s="165"/>
      <c r="C303" s="51" t="s">
        <v>171</v>
      </c>
      <c r="D303" s="75">
        <f>(22.69)*10.764</f>
        <v>244.23516000000001</v>
      </c>
      <c r="E303" s="51">
        <v>0</v>
      </c>
      <c r="F303" s="51">
        <f t="shared" ref="F303:F305" si="3">(D303+E303)*(($F$289)+1)</f>
        <v>378.56449800000001</v>
      </c>
      <c r="G303" s="164" t="str">
        <f t="shared" si="1"/>
        <v>Ground Floor For Commercial, Society Office, Drivers Room, Meter Room &amp; Parking</v>
      </c>
      <c r="H303" s="165"/>
      <c r="I303" s="37"/>
      <c r="L303" s="174"/>
      <c r="M303" s="174"/>
      <c r="N303" s="37"/>
    </row>
    <row r="304" spans="1:16" s="63" customFormat="1" x14ac:dyDescent="0.35">
      <c r="A304" s="164">
        <v>11</v>
      </c>
      <c r="B304" s="165"/>
      <c r="C304" s="51" t="s">
        <v>171</v>
      </c>
      <c r="D304" s="75">
        <f>(11.35)*10.764</f>
        <v>122.17139999999999</v>
      </c>
      <c r="E304" s="51">
        <v>0</v>
      </c>
      <c r="F304" s="51">
        <f t="shared" si="3"/>
        <v>189.36566999999999</v>
      </c>
      <c r="G304" s="164" t="str">
        <f t="shared" si="1"/>
        <v>Ground Floor For Commercial, Society Office, Drivers Room, Meter Room &amp; Parking</v>
      </c>
      <c r="H304" s="165"/>
      <c r="I304" s="37"/>
      <c r="L304" s="174"/>
      <c r="M304" s="174"/>
      <c r="N304" s="37"/>
    </row>
    <row r="305" spans="1:16" s="63" customFormat="1" x14ac:dyDescent="0.35">
      <c r="A305" s="164">
        <v>12</v>
      </c>
      <c r="B305" s="165"/>
      <c r="C305" s="51" t="s">
        <v>171</v>
      </c>
      <c r="D305" s="75">
        <f>(9.75)*10.764</f>
        <v>104.949</v>
      </c>
      <c r="E305" s="51">
        <v>0</v>
      </c>
      <c r="F305" s="51">
        <f t="shared" si="3"/>
        <v>162.67095</v>
      </c>
      <c r="G305" s="164" t="str">
        <f t="shared" si="1"/>
        <v>Ground Floor For Commercial, Society Office, Drivers Room, Meter Room &amp; Parking</v>
      </c>
      <c r="H305" s="165"/>
      <c r="I305" s="37"/>
      <c r="L305" s="174"/>
      <c r="M305" s="174"/>
      <c r="N305" s="37"/>
    </row>
    <row r="306" spans="1:16" s="63" customFormat="1" ht="17.25" customHeight="1" x14ac:dyDescent="0.35">
      <c r="A306" s="170" t="s">
        <v>192</v>
      </c>
      <c r="B306" s="171"/>
      <c r="C306" s="171"/>
      <c r="D306" s="171"/>
      <c r="E306" s="171"/>
      <c r="F306" s="171"/>
      <c r="G306" s="171"/>
      <c r="H306" s="172"/>
      <c r="I306" s="37"/>
      <c r="P306" s="38"/>
    </row>
    <row r="307" spans="1:16" s="63" customFormat="1" ht="15.75" hidden="1" customHeight="1" x14ac:dyDescent="0.35">
      <c r="A307" s="170" t="s">
        <v>190</v>
      </c>
      <c r="B307" s="171"/>
      <c r="C307" s="171"/>
      <c r="D307" s="171"/>
      <c r="E307" s="171"/>
      <c r="F307" s="171"/>
      <c r="G307" s="171"/>
      <c r="H307" s="172"/>
      <c r="I307" s="37"/>
      <c r="P307" s="38"/>
    </row>
    <row r="308" spans="1:16" s="63" customFormat="1" ht="15.75" customHeight="1" x14ac:dyDescent="0.35">
      <c r="A308" s="170" t="s">
        <v>240</v>
      </c>
      <c r="B308" s="171"/>
      <c r="C308" s="171"/>
      <c r="D308" s="171"/>
      <c r="E308" s="171"/>
      <c r="F308" s="171"/>
      <c r="G308" s="171"/>
      <c r="H308" s="172"/>
      <c r="I308" s="37"/>
      <c r="P308" s="38"/>
    </row>
    <row r="309" spans="1:16" s="63" customFormat="1" ht="15.75" customHeight="1" x14ac:dyDescent="0.35">
      <c r="A309" s="164">
        <v>1</v>
      </c>
      <c r="B309" s="165"/>
      <c r="C309" s="51" t="s">
        <v>171</v>
      </c>
      <c r="D309" s="75">
        <f>(9.75)*10.764</f>
        <v>104.949</v>
      </c>
      <c r="E309" s="51">
        <v>0</v>
      </c>
      <c r="F309" s="51">
        <f>(D309+E309)*(($F$289)+1)</f>
        <v>162.67095</v>
      </c>
      <c r="G309" s="164" t="str">
        <f>A308</f>
        <v>Ground Floor For Commercial, Society Office, Drivers Room, Meter Room &amp; Parking</v>
      </c>
      <c r="H309" s="165"/>
      <c r="J309" s="76">
        <f>(7.69*10.764)</f>
        <v>82.77516</v>
      </c>
    </row>
    <row r="310" spans="1:16" s="63" customFormat="1" x14ac:dyDescent="0.35">
      <c r="A310" s="164">
        <v>2</v>
      </c>
      <c r="B310" s="165"/>
      <c r="C310" s="51" t="s">
        <v>171</v>
      </c>
      <c r="D310" s="75">
        <f>(11.35)*10.764</f>
        <v>122.17139999999999</v>
      </c>
      <c r="E310" s="51">
        <v>0</v>
      </c>
      <c r="F310" s="51">
        <f t="shared" ref="F310:F312" si="4">(D310+E310)*(($F$289)+1)</f>
        <v>189.36566999999999</v>
      </c>
      <c r="G310" s="164" t="str">
        <f t="shared" ref="G310:G320" si="5">G309</f>
        <v>Ground Floor For Commercial, Society Office, Drivers Room, Meter Room &amp; Parking</v>
      </c>
      <c r="H310" s="165"/>
      <c r="I310" s="37"/>
      <c r="J310" s="76">
        <f>(7.44*10.764)</f>
        <v>80.084159999999997</v>
      </c>
      <c r="L310" s="174"/>
      <c r="M310" s="174"/>
      <c r="N310" s="37"/>
    </row>
    <row r="311" spans="1:16" s="63" customFormat="1" x14ac:dyDescent="0.35">
      <c r="A311" s="164">
        <v>3</v>
      </c>
      <c r="B311" s="165"/>
      <c r="C311" s="51" t="s">
        <v>171</v>
      </c>
      <c r="D311" s="75">
        <f>(22.69)*10.764</f>
        <v>244.23516000000001</v>
      </c>
      <c r="E311" s="51">
        <v>0</v>
      </c>
      <c r="F311" s="51">
        <f t="shared" si="4"/>
        <v>378.56449800000001</v>
      </c>
      <c r="G311" s="164" t="str">
        <f t="shared" si="5"/>
        <v>Ground Floor For Commercial, Society Office, Drivers Room, Meter Room &amp; Parking</v>
      </c>
      <c r="H311" s="165"/>
      <c r="I311" s="37"/>
      <c r="J311" s="76">
        <f>(12.74*10.764)</f>
        <v>137.13335999999998</v>
      </c>
      <c r="L311" s="174"/>
      <c r="M311" s="174"/>
      <c r="N311" s="37"/>
    </row>
    <row r="312" spans="1:16" s="63" customFormat="1" x14ac:dyDescent="0.35">
      <c r="A312" s="164">
        <v>4</v>
      </c>
      <c r="B312" s="165"/>
      <c r="C312" s="51" t="s">
        <v>171</v>
      </c>
      <c r="D312" s="75">
        <f>(13.44)*10.764</f>
        <v>144.66815999999997</v>
      </c>
      <c r="E312" s="51">
        <v>0</v>
      </c>
      <c r="F312" s="51">
        <f t="shared" si="4"/>
        <v>224.23564799999997</v>
      </c>
      <c r="G312" s="164" t="str">
        <f t="shared" si="5"/>
        <v>Ground Floor For Commercial, Society Office, Drivers Room, Meter Room &amp; Parking</v>
      </c>
      <c r="H312" s="165"/>
      <c r="I312" s="37"/>
      <c r="J312" s="76">
        <f>(12.74*10.764)</f>
        <v>137.13335999999998</v>
      </c>
      <c r="L312" s="174"/>
      <c r="M312" s="174"/>
      <c r="N312" s="37"/>
    </row>
    <row r="313" spans="1:16" s="63" customFormat="1" x14ac:dyDescent="0.35">
      <c r="A313" s="164">
        <v>5</v>
      </c>
      <c r="B313" s="165"/>
      <c r="C313" s="51" t="s">
        <v>171</v>
      </c>
      <c r="D313" s="75">
        <f>(11.35)*10.764</f>
        <v>122.17139999999999</v>
      </c>
      <c r="E313" s="51">
        <v>0</v>
      </c>
      <c r="F313" s="51">
        <f>(D313+E313)*(($F$289)+1)</f>
        <v>189.36566999999999</v>
      </c>
      <c r="G313" s="164" t="str">
        <f t="shared" si="5"/>
        <v>Ground Floor For Commercial, Society Office, Drivers Room, Meter Room &amp; Parking</v>
      </c>
      <c r="H313" s="165"/>
      <c r="I313" s="37"/>
      <c r="J313" s="76">
        <f>(11*10.764)</f>
        <v>118.404</v>
      </c>
      <c r="L313" s="174"/>
      <c r="M313" s="174"/>
      <c r="N313" s="37"/>
    </row>
    <row r="314" spans="1:16" s="63" customFormat="1" x14ac:dyDescent="0.35">
      <c r="A314" s="164">
        <v>6</v>
      </c>
      <c r="B314" s="165"/>
      <c r="C314" s="51" t="s">
        <v>171</v>
      </c>
      <c r="D314" s="75">
        <f>(9.75)*10.764</f>
        <v>104.949</v>
      </c>
      <c r="E314" s="51">
        <v>0</v>
      </c>
      <c r="F314" s="51">
        <f t="shared" ref="F314:F316" si="6">(D314+E314)*(($F$289)+1)</f>
        <v>162.67095</v>
      </c>
      <c r="G314" s="164" t="str">
        <f t="shared" si="5"/>
        <v>Ground Floor For Commercial, Society Office, Drivers Room, Meter Room &amp; Parking</v>
      </c>
      <c r="H314" s="165"/>
      <c r="I314" s="37"/>
      <c r="J314" s="76">
        <f>(7.68*10.764)</f>
        <v>82.667519999999996</v>
      </c>
      <c r="L314" s="174"/>
      <c r="M314" s="174"/>
      <c r="N314" s="37"/>
    </row>
    <row r="315" spans="1:16" s="63" customFormat="1" ht="15.75" customHeight="1" x14ac:dyDescent="0.35">
      <c r="A315" s="164">
        <v>7</v>
      </c>
      <c r="B315" s="165"/>
      <c r="C315" s="51" t="s">
        <v>171</v>
      </c>
      <c r="D315" s="75">
        <f>(9.75)*10.764</f>
        <v>104.949</v>
      </c>
      <c r="E315" s="51">
        <v>0</v>
      </c>
      <c r="F315" s="51">
        <f t="shared" si="6"/>
        <v>162.67095</v>
      </c>
      <c r="G315" s="164" t="str">
        <f>G314</f>
        <v>Ground Floor For Commercial, Society Office, Drivers Room, Meter Room &amp; Parking</v>
      </c>
      <c r="H315" s="165"/>
      <c r="I315" s="37"/>
      <c r="J315" s="76">
        <f>(7.68*10.764)</f>
        <v>82.667519999999996</v>
      </c>
      <c r="P315" s="38"/>
    </row>
    <row r="316" spans="1:16" s="63" customFormat="1" x14ac:dyDescent="0.35">
      <c r="A316" s="164">
        <v>8</v>
      </c>
      <c r="B316" s="165"/>
      <c r="C316" s="51" t="s">
        <v>171</v>
      </c>
      <c r="D316" s="75">
        <f>(11.35)*10.764</f>
        <v>122.17139999999999</v>
      </c>
      <c r="E316" s="51">
        <v>0</v>
      </c>
      <c r="F316" s="51">
        <f t="shared" si="6"/>
        <v>189.36566999999999</v>
      </c>
      <c r="G316" s="164" t="str">
        <f t="shared" si="5"/>
        <v>Ground Floor For Commercial, Society Office, Drivers Room, Meter Room &amp; Parking</v>
      </c>
      <c r="H316" s="165"/>
      <c r="I316" s="37"/>
      <c r="J316" s="76">
        <f>(11*10.764)</f>
        <v>118.404</v>
      </c>
      <c r="L316" s="174"/>
      <c r="M316" s="174"/>
      <c r="N316" s="37"/>
    </row>
    <row r="317" spans="1:16" s="63" customFormat="1" x14ac:dyDescent="0.35">
      <c r="A317" s="164">
        <v>9</v>
      </c>
      <c r="B317" s="165"/>
      <c r="C317" s="51" t="s">
        <v>171</v>
      </c>
      <c r="D317" s="75">
        <f>(13.44)*10.764</f>
        <v>144.66815999999997</v>
      </c>
      <c r="E317" s="51">
        <v>0</v>
      </c>
      <c r="F317" s="51">
        <f>(D317+E317)*(($F$289)+1)</f>
        <v>224.23564799999997</v>
      </c>
      <c r="G317" s="164" t="str">
        <f t="shared" si="5"/>
        <v>Ground Floor For Commercial, Society Office, Drivers Room, Meter Room &amp; Parking</v>
      </c>
      <c r="H317" s="165"/>
      <c r="I317" s="37"/>
      <c r="J317" s="76">
        <f>(12.74*10.764)</f>
        <v>137.13335999999998</v>
      </c>
      <c r="L317" s="174"/>
      <c r="M317" s="174"/>
      <c r="N317" s="37"/>
    </row>
    <row r="318" spans="1:16" s="63" customFormat="1" x14ac:dyDescent="0.35">
      <c r="A318" s="164">
        <v>10</v>
      </c>
      <c r="B318" s="165"/>
      <c r="C318" s="51" t="s">
        <v>171</v>
      </c>
      <c r="D318" s="75">
        <f>(22.69)*10.764</f>
        <v>244.23516000000001</v>
      </c>
      <c r="E318" s="51">
        <v>0</v>
      </c>
      <c r="F318" s="51">
        <f t="shared" ref="F318:F320" si="7">(D318+E318)*(($F$289)+1)</f>
        <v>378.56449800000001</v>
      </c>
      <c r="G318" s="164" t="str">
        <f t="shared" si="5"/>
        <v>Ground Floor For Commercial, Society Office, Drivers Room, Meter Room &amp; Parking</v>
      </c>
      <c r="H318" s="165"/>
      <c r="I318" s="37"/>
      <c r="J318" s="76">
        <f>(12.74*10.764)</f>
        <v>137.13335999999998</v>
      </c>
      <c r="L318" s="174"/>
      <c r="M318" s="174"/>
      <c r="N318" s="37"/>
    </row>
    <row r="319" spans="1:16" s="63" customFormat="1" x14ac:dyDescent="0.35">
      <c r="A319" s="164">
        <v>11</v>
      </c>
      <c r="B319" s="165"/>
      <c r="C319" s="51" t="s">
        <v>171</v>
      </c>
      <c r="D319" s="75">
        <f>(11.35)*10.764</f>
        <v>122.17139999999999</v>
      </c>
      <c r="E319" s="51">
        <v>0</v>
      </c>
      <c r="F319" s="51">
        <f t="shared" si="7"/>
        <v>189.36566999999999</v>
      </c>
      <c r="G319" s="164" t="str">
        <f t="shared" si="5"/>
        <v>Ground Floor For Commercial, Society Office, Drivers Room, Meter Room &amp; Parking</v>
      </c>
      <c r="H319" s="165"/>
      <c r="I319" s="37"/>
      <c r="J319" s="76">
        <f>(7.44*10.764)</f>
        <v>80.084159999999997</v>
      </c>
      <c r="L319" s="174"/>
      <c r="M319" s="174"/>
      <c r="N319" s="37"/>
    </row>
    <row r="320" spans="1:16" s="63" customFormat="1" x14ac:dyDescent="0.35">
      <c r="A320" s="164">
        <v>12</v>
      </c>
      <c r="B320" s="165"/>
      <c r="C320" s="51" t="s">
        <v>171</v>
      </c>
      <c r="D320" s="75">
        <f>(9.75)*10.764</f>
        <v>104.949</v>
      </c>
      <c r="E320" s="51">
        <v>0</v>
      </c>
      <c r="F320" s="51">
        <f t="shared" si="7"/>
        <v>162.67095</v>
      </c>
      <c r="G320" s="164" t="str">
        <f t="shared" si="5"/>
        <v>Ground Floor For Commercial, Society Office, Drivers Room, Meter Room &amp; Parking</v>
      </c>
      <c r="H320" s="165"/>
      <c r="I320" s="37"/>
      <c r="J320" s="76">
        <f>(7.69*10.764)</f>
        <v>82.77516</v>
      </c>
      <c r="L320" s="174"/>
      <c r="M320" s="174"/>
      <c r="N320" s="37"/>
    </row>
    <row r="321" spans="1:16" s="63" customFormat="1" ht="17.25" customHeight="1" x14ac:dyDescent="0.35">
      <c r="A321" s="170" t="s">
        <v>193</v>
      </c>
      <c r="B321" s="171"/>
      <c r="C321" s="171"/>
      <c r="D321" s="171"/>
      <c r="E321" s="171"/>
      <c r="F321" s="171"/>
      <c r="G321" s="171"/>
      <c r="H321" s="172"/>
      <c r="I321" s="37"/>
      <c r="P321" s="38"/>
    </row>
    <row r="322" spans="1:16" s="63" customFormat="1" ht="15.75" hidden="1" customHeight="1" x14ac:dyDescent="0.35">
      <c r="A322" s="170" t="s">
        <v>190</v>
      </c>
      <c r="B322" s="171"/>
      <c r="C322" s="171"/>
      <c r="D322" s="171"/>
      <c r="E322" s="171"/>
      <c r="F322" s="171"/>
      <c r="G322" s="171"/>
      <c r="H322" s="172"/>
      <c r="I322" s="37"/>
      <c r="P322" s="38"/>
    </row>
    <row r="323" spans="1:16" s="63" customFormat="1" ht="15.75" customHeight="1" x14ac:dyDescent="0.35">
      <c r="A323" s="170" t="s">
        <v>240</v>
      </c>
      <c r="B323" s="171"/>
      <c r="C323" s="171"/>
      <c r="D323" s="171"/>
      <c r="E323" s="171"/>
      <c r="F323" s="171"/>
      <c r="G323" s="171"/>
      <c r="H323" s="172"/>
      <c r="I323" s="37"/>
      <c r="P323" s="38"/>
    </row>
    <row r="324" spans="1:16" s="63" customFormat="1" ht="15.75" customHeight="1" x14ac:dyDescent="0.35">
      <c r="A324" s="164">
        <v>1</v>
      </c>
      <c r="B324" s="165"/>
      <c r="C324" s="51" t="s">
        <v>171</v>
      </c>
      <c r="D324" s="75">
        <f>(9.75)*10.764</f>
        <v>104.949</v>
      </c>
      <c r="E324" s="51">
        <v>0</v>
      </c>
      <c r="F324" s="51">
        <f>(D324+E324)*(($F$289)+1)</f>
        <v>162.67095</v>
      </c>
      <c r="G324" s="164" t="str">
        <f>A323</f>
        <v>Ground Floor For Commercial, Society Office, Drivers Room, Meter Room &amp; Parking</v>
      </c>
      <c r="H324" s="165"/>
      <c r="J324" s="37"/>
    </row>
    <row r="325" spans="1:16" s="63" customFormat="1" x14ac:dyDescent="0.35">
      <c r="A325" s="164">
        <v>2</v>
      </c>
      <c r="B325" s="165"/>
      <c r="C325" s="51" t="s">
        <v>171</v>
      </c>
      <c r="D325" s="75">
        <f>(11.35)*10.764</f>
        <v>122.17139999999999</v>
      </c>
      <c r="E325" s="51">
        <v>0</v>
      </c>
      <c r="F325" s="51">
        <f t="shared" ref="F325:F327" si="8">(D325+E325)*(($F$289)+1)</f>
        <v>189.36566999999999</v>
      </c>
      <c r="G325" s="164" t="str">
        <f t="shared" ref="G325:G335" si="9">G324</f>
        <v>Ground Floor For Commercial, Society Office, Drivers Room, Meter Room &amp; Parking</v>
      </c>
      <c r="H325" s="165"/>
      <c r="I325" s="37"/>
      <c r="L325" s="174"/>
      <c r="M325" s="174"/>
      <c r="N325" s="37"/>
    </row>
    <row r="326" spans="1:16" s="63" customFormat="1" x14ac:dyDescent="0.35">
      <c r="A326" s="164">
        <v>3</v>
      </c>
      <c r="B326" s="165"/>
      <c r="C326" s="51" t="s">
        <v>171</v>
      </c>
      <c r="D326" s="75">
        <f>(22.69)*10.764</f>
        <v>244.23516000000001</v>
      </c>
      <c r="E326" s="51">
        <v>0</v>
      </c>
      <c r="F326" s="51">
        <f t="shared" si="8"/>
        <v>378.56449800000001</v>
      </c>
      <c r="G326" s="164" t="str">
        <f t="shared" si="9"/>
        <v>Ground Floor For Commercial, Society Office, Drivers Room, Meter Room &amp; Parking</v>
      </c>
      <c r="H326" s="165"/>
      <c r="I326" s="37"/>
      <c r="L326" s="174"/>
      <c r="M326" s="174"/>
      <c r="N326" s="37"/>
    </row>
    <row r="327" spans="1:16" s="63" customFormat="1" x14ac:dyDescent="0.35">
      <c r="A327" s="164">
        <v>4</v>
      </c>
      <c r="B327" s="165"/>
      <c r="C327" s="51" t="s">
        <v>171</v>
      </c>
      <c r="D327" s="75">
        <f>(13.44)*10.764</f>
        <v>144.66815999999997</v>
      </c>
      <c r="E327" s="51">
        <v>0</v>
      </c>
      <c r="F327" s="51">
        <f t="shared" si="8"/>
        <v>224.23564799999997</v>
      </c>
      <c r="G327" s="164" t="str">
        <f t="shared" si="9"/>
        <v>Ground Floor For Commercial, Society Office, Drivers Room, Meter Room &amp; Parking</v>
      </c>
      <c r="H327" s="165"/>
      <c r="I327" s="37"/>
      <c r="L327" s="174"/>
      <c r="M327" s="174"/>
      <c r="N327" s="37"/>
    </row>
    <row r="328" spans="1:16" s="63" customFormat="1" x14ac:dyDescent="0.35">
      <c r="A328" s="164">
        <v>5</v>
      </c>
      <c r="B328" s="165"/>
      <c r="C328" s="51" t="s">
        <v>171</v>
      </c>
      <c r="D328" s="75">
        <f>(11.35)*10.764</f>
        <v>122.17139999999999</v>
      </c>
      <c r="E328" s="51">
        <v>0</v>
      </c>
      <c r="F328" s="51">
        <f>(D328+E328)*(($F$289)+1)</f>
        <v>189.36566999999999</v>
      </c>
      <c r="G328" s="164" t="str">
        <f t="shared" si="9"/>
        <v>Ground Floor For Commercial, Society Office, Drivers Room, Meter Room &amp; Parking</v>
      </c>
      <c r="H328" s="165"/>
      <c r="I328" s="37"/>
      <c r="L328" s="174"/>
      <c r="M328" s="174"/>
      <c r="N328" s="37"/>
    </row>
    <row r="329" spans="1:16" s="63" customFormat="1" x14ac:dyDescent="0.35">
      <c r="A329" s="164">
        <v>6</v>
      </c>
      <c r="B329" s="165"/>
      <c r="C329" s="51" t="s">
        <v>171</v>
      </c>
      <c r="D329" s="75">
        <f>(9.75)*10.764</f>
        <v>104.949</v>
      </c>
      <c r="E329" s="51">
        <v>0</v>
      </c>
      <c r="F329" s="51">
        <f t="shared" ref="F329:F331" si="10">(D329+E329)*(($F$289)+1)</f>
        <v>162.67095</v>
      </c>
      <c r="G329" s="164" t="str">
        <f t="shared" si="9"/>
        <v>Ground Floor For Commercial, Society Office, Drivers Room, Meter Room &amp; Parking</v>
      </c>
      <c r="H329" s="165"/>
      <c r="I329" s="37"/>
      <c r="L329" s="174"/>
      <c r="M329" s="174"/>
      <c r="N329" s="37"/>
    </row>
    <row r="330" spans="1:16" s="63" customFormat="1" ht="15.75" customHeight="1" x14ac:dyDescent="0.35">
      <c r="A330" s="164">
        <v>7</v>
      </c>
      <c r="B330" s="165"/>
      <c r="C330" s="51" t="s">
        <v>171</v>
      </c>
      <c r="D330" s="75">
        <f>(9.75)*10.764</f>
        <v>104.949</v>
      </c>
      <c r="E330" s="51">
        <v>0</v>
      </c>
      <c r="F330" s="51">
        <f t="shared" si="10"/>
        <v>162.67095</v>
      </c>
      <c r="G330" s="164" t="str">
        <f>G329</f>
        <v>Ground Floor For Commercial, Society Office, Drivers Room, Meter Room &amp; Parking</v>
      </c>
      <c r="H330" s="165"/>
      <c r="I330" s="37"/>
      <c r="P330" s="38"/>
    </row>
    <row r="331" spans="1:16" s="63" customFormat="1" x14ac:dyDescent="0.35">
      <c r="A331" s="175">
        <v>8</v>
      </c>
      <c r="B331" s="175"/>
      <c r="C331" s="51" t="s">
        <v>171</v>
      </c>
      <c r="D331" s="75">
        <f>(11.35)*10.764</f>
        <v>122.17139999999999</v>
      </c>
      <c r="E331" s="51">
        <v>0</v>
      </c>
      <c r="F331" s="51">
        <f t="shared" si="10"/>
        <v>189.36566999999999</v>
      </c>
      <c r="G331" s="175" t="str">
        <f t="shared" si="9"/>
        <v>Ground Floor For Commercial, Society Office, Drivers Room, Meter Room &amp; Parking</v>
      </c>
      <c r="H331" s="175"/>
      <c r="I331" s="37"/>
      <c r="L331" s="174"/>
      <c r="M331" s="174"/>
      <c r="N331" s="37"/>
    </row>
    <row r="332" spans="1:16" s="63" customFormat="1" x14ac:dyDescent="0.35">
      <c r="A332" s="175">
        <v>9</v>
      </c>
      <c r="B332" s="175"/>
      <c r="C332" s="51" t="s">
        <v>171</v>
      </c>
      <c r="D332" s="75">
        <f>(13.44)*10.764</f>
        <v>144.66815999999997</v>
      </c>
      <c r="E332" s="51">
        <v>0</v>
      </c>
      <c r="F332" s="51">
        <f>(D332+E332)*(($F$289)+1)</f>
        <v>224.23564799999997</v>
      </c>
      <c r="G332" s="175" t="str">
        <f t="shared" si="9"/>
        <v>Ground Floor For Commercial, Society Office, Drivers Room, Meter Room &amp; Parking</v>
      </c>
      <c r="H332" s="175"/>
      <c r="I332" s="37"/>
      <c r="L332" s="174"/>
      <c r="M332" s="174"/>
      <c r="N332" s="37"/>
    </row>
    <row r="333" spans="1:16" s="63" customFormat="1" x14ac:dyDescent="0.35">
      <c r="A333" s="175">
        <v>10</v>
      </c>
      <c r="B333" s="175"/>
      <c r="C333" s="51" t="s">
        <v>171</v>
      </c>
      <c r="D333" s="75">
        <f>(22.69)*10.764</f>
        <v>244.23516000000001</v>
      </c>
      <c r="E333" s="51">
        <v>0</v>
      </c>
      <c r="F333" s="51">
        <f t="shared" ref="F333:F335" si="11">(D333+E333)*(($F$289)+1)</f>
        <v>378.56449800000001</v>
      </c>
      <c r="G333" s="175" t="str">
        <f t="shared" si="9"/>
        <v>Ground Floor For Commercial, Society Office, Drivers Room, Meter Room &amp; Parking</v>
      </c>
      <c r="H333" s="175"/>
      <c r="I333" s="37"/>
      <c r="L333" s="174"/>
      <c r="M333" s="174"/>
      <c r="N333" s="37"/>
    </row>
    <row r="334" spans="1:16" s="63" customFormat="1" x14ac:dyDescent="0.35">
      <c r="A334" s="175">
        <v>11</v>
      </c>
      <c r="B334" s="175"/>
      <c r="C334" s="51" t="s">
        <v>171</v>
      </c>
      <c r="D334" s="75">
        <f>(11.35)*10.764</f>
        <v>122.17139999999999</v>
      </c>
      <c r="E334" s="51">
        <v>0</v>
      </c>
      <c r="F334" s="51">
        <f t="shared" si="11"/>
        <v>189.36566999999999</v>
      </c>
      <c r="G334" s="175" t="str">
        <f t="shared" si="9"/>
        <v>Ground Floor For Commercial, Society Office, Drivers Room, Meter Room &amp; Parking</v>
      </c>
      <c r="H334" s="175"/>
      <c r="I334" s="37"/>
      <c r="L334" s="174"/>
      <c r="M334" s="174"/>
      <c r="N334" s="37"/>
    </row>
    <row r="335" spans="1:16" s="63" customFormat="1" x14ac:dyDescent="0.35">
      <c r="A335" s="175">
        <v>12</v>
      </c>
      <c r="B335" s="175"/>
      <c r="C335" s="51" t="s">
        <v>171</v>
      </c>
      <c r="D335" s="75">
        <f>(9.75)*10.764</f>
        <v>104.949</v>
      </c>
      <c r="E335" s="51">
        <v>0</v>
      </c>
      <c r="F335" s="51">
        <f t="shared" si="11"/>
        <v>162.67095</v>
      </c>
      <c r="G335" s="175" t="str">
        <f t="shared" si="9"/>
        <v>Ground Floor For Commercial, Society Office, Drivers Room, Meter Room &amp; Parking</v>
      </c>
      <c r="H335" s="175"/>
      <c r="I335" s="37"/>
      <c r="L335" s="174"/>
      <c r="M335" s="174"/>
      <c r="N335" s="37"/>
    </row>
    <row r="336" spans="1:16" s="63" customFormat="1" ht="17.25" hidden="1" customHeight="1" x14ac:dyDescent="0.35">
      <c r="A336" s="169" t="s">
        <v>172</v>
      </c>
      <c r="B336" s="169"/>
      <c r="C336" s="169"/>
      <c r="D336" s="169"/>
      <c r="E336" s="169"/>
      <c r="F336" s="169"/>
      <c r="G336" s="169"/>
      <c r="H336" s="169"/>
      <c r="I336" s="37"/>
      <c r="P336" s="38"/>
    </row>
    <row r="337" spans="1:16" s="63" customFormat="1" ht="15.75" hidden="1" customHeight="1" x14ac:dyDescent="0.35">
      <c r="A337" s="169" t="s">
        <v>191</v>
      </c>
      <c r="B337" s="169"/>
      <c r="C337" s="169"/>
      <c r="D337" s="169"/>
      <c r="E337" s="169"/>
      <c r="F337" s="169"/>
      <c r="G337" s="169"/>
      <c r="H337" s="169"/>
      <c r="I337" s="37"/>
      <c r="P337" s="38"/>
    </row>
    <row r="338" spans="1:16" s="63" customFormat="1" ht="15.75" hidden="1" customHeight="1" x14ac:dyDescent="0.35">
      <c r="A338" s="175">
        <v>1</v>
      </c>
      <c r="B338" s="175"/>
      <c r="C338" s="51" t="s">
        <v>171</v>
      </c>
      <c r="D338" s="51">
        <f>(18.34*10.764)</f>
        <v>197.41175999999999</v>
      </c>
      <c r="E338" s="51">
        <v>0</v>
      </c>
      <c r="F338" s="51">
        <f>(D338+E338)*(($F$289)+1)</f>
        <v>305.98822799999999</v>
      </c>
      <c r="G338" s="175" t="str">
        <f>A337</f>
        <v>Ground Floor For Commercial &amp; Parking</v>
      </c>
      <c r="H338" s="175"/>
      <c r="J338" s="37"/>
    </row>
    <row r="339" spans="1:16" s="63" customFormat="1" hidden="1" x14ac:dyDescent="0.35">
      <c r="A339" s="175">
        <v>2</v>
      </c>
      <c r="B339" s="175"/>
      <c r="C339" s="51" t="s">
        <v>171</v>
      </c>
      <c r="D339" s="51">
        <f>(18.34*10.764)</f>
        <v>197.41175999999999</v>
      </c>
      <c r="E339" s="51">
        <v>0</v>
      </c>
      <c r="F339" s="51">
        <f t="shared" ref="F339:F341" si="12">(D339+E339)*(($F$289)+1)</f>
        <v>305.98822799999999</v>
      </c>
      <c r="G339" s="175" t="str">
        <f t="shared" ref="G339:G357" si="13">G338</f>
        <v>Ground Floor For Commercial &amp; Parking</v>
      </c>
      <c r="H339" s="175"/>
      <c r="I339" s="37"/>
      <c r="L339" s="174"/>
      <c r="M339" s="174"/>
      <c r="N339" s="37"/>
    </row>
    <row r="340" spans="1:16" s="63" customFormat="1" hidden="1" x14ac:dyDescent="0.35">
      <c r="A340" s="175">
        <v>3</v>
      </c>
      <c r="B340" s="175"/>
      <c r="C340" s="51" t="s">
        <v>171</v>
      </c>
      <c r="D340" s="51">
        <f>(26.19*10.764)</f>
        <v>281.90915999999999</v>
      </c>
      <c r="E340" s="51">
        <v>0</v>
      </c>
      <c r="F340" s="51">
        <f t="shared" si="12"/>
        <v>436.95919800000001</v>
      </c>
      <c r="G340" s="175" t="str">
        <f t="shared" si="13"/>
        <v>Ground Floor For Commercial &amp; Parking</v>
      </c>
      <c r="H340" s="175"/>
      <c r="I340" s="37"/>
      <c r="L340" s="174"/>
      <c r="M340" s="174"/>
      <c r="N340" s="37"/>
    </row>
    <row r="341" spans="1:16" s="63" customFormat="1" hidden="1" x14ac:dyDescent="0.35">
      <c r="A341" s="175">
        <v>4</v>
      </c>
      <c r="B341" s="175"/>
      <c r="C341" s="51" t="s">
        <v>171</v>
      </c>
      <c r="D341" s="51">
        <f>(26.19*10.764)</f>
        <v>281.90915999999999</v>
      </c>
      <c r="E341" s="51">
        <v>0</v>
      </c>
      <c r="F341" s="51">
        <f t="shared" si="12"/>
        <v>436.95919800000001</v>
      </c>
      <c r="G341" s="175" t="str">
        <f t="shared" si="13"/>
        <v>Ground Floor For Commercial &amp; Parking</v>
      </c>
      <c r="H341" s="175"/>
      <c r="I341" s="37"/>
      <c r="K341" s="48">
        <f>SUM($J$341:J341)</f>
        <v>0</v>
      </c>
      <c r="L341" s="174"/>
      <c r="M341" s="174"/>
      <c r="N341" s="37"/>
    </row>
    <row r="342" spans="1:16" s="63" customFormat="1" hidden="1" x14ac:dyDescent="0.35">
      <c r="A342" s="175">
        <v>5</v>
      </c>
      <c r="B342" s="175"/>
      <c r="C342" s="51" t="s">
        <v>171</v>
      </c>
      <c r="D342" s="51">
        <f>(18.72*10.764)</f>
        <v>201.50207999999998</v>
      </c>
      <c r="E342" s="51">
        <v>0</v>
      </c>
      <c r="F342" s="51">
        <f>(D342+E342)*(($F$289)+1)</f>
        <v>312.32822399999998</v>
      </c>
      <c r="G342" s="175" t="str">
        <f t="shared" si="13"/>
        <v>Ground Floor For Commercial &amp; Parking</v>
      </c>
      <c r="H342" s="175"/>
      <c r="I342" s="37"/>
      <c r="K342" s="48">
        <f>SUM($J$341:J342)</f>
        <v>0</v>
      </c>
      <c r="L342" s="174"/>
      <c r="M342" s="174"/>
      <c r="N342" s="37"/>
    </row>
    <row r="343" spans="1:16" s="63" customFormat="1" hidden="1" x14ac:dyDescent="0.35">
      <c r="A343" s="175">
        <v>6</v>
      </c>
      <c r="B343" s="175"/>
      <c r="C343" s="51" t="s">
        <v>171</v>
      </c>
      <c r="D343" s="51">
        <f t="shared" ref="D343:D357" si="14">(18.72*10.764)</f>
        <v>201.50207999999998</v>
      </c>
      <c r="E343" s="51">
        <v>0</v>
      </c>
      <c r="F343" s="51">
        <f t="shared" ref="F343:F345" si="15">(D343+E343)*(($F$289)+1)</f>
        <v>312.32822399999998</v>
      </c>
      <c r="G343" s="175" t="str">
        <f t="shared" si="13"/>
        <v>Ground Floor For Commercial &amp; Parking</v>
      </c>
      <c r="H343" s="175"/>
      <c r="I343" s="37"/>
      <c r="L343" s="174"/>
      <c r="M343" s="174"/>
      <c r="N343" s="37"/>
    </row>
    <row r="344" spans="1:16" s="63" customFormat="1" hidden="1" x14ac:dyDescent="0.35">
      <c r="A344" s="175">
        <v>7</v>
      </c>
      <c r="B344" s="175"/>
      <c r="C344" s="51" t="s">
        <v>171</v>
      </c>
      <c r="D344" s="51">
        <f t="shared" si="14"/>
        <v>201.50207999999998</v>
      </c>
      <c r="E344" s="51">
        <v>0</v>
      </c>
      <c r="F344" s="51">
        <f t="shared" si="15"/>
        <v>312.32822399999998</v>
      </c>
      <c r="G344" s="175" t="str">
        <f t="shared" si="13"/>
        <v>Ground Floor For Commercial &amp; Parking</v>
      </c>
      <c r="H344" s="175"/>
      <c r="I344" s="37"/>
      <c r="L344" s="174"/>
      <c r="M344" s="174"/>
      <c r="N344" s="37"/>
    </row>
    <row r="345" spans="1:16" s="63" customFormat="1" hidden="1" x14ac:dyDescent="0.35">
      <c r="A345" s="175">
        <v>8</v>
      </c>
      <c r="B345" s="175"/>
      <c r="C345" s="51" t="s">
        <v>171</v>
      </c>
      <c r="D345" s="51">
        <f t="shared" si="14"/>
        <v>201.50207999999998</v>
      </c>
      <c r="E345" s="51">
        <v>0</v>
      </c>
      <c r="F345" s="51">
        <f t="shared" si="15"/>
        <v>312.32822399999998</v>
      </c>
      <c r="G345" s="175" t="str">
        <f t="shared" si="13"/>
        <v>Ground Floor For Commercial &amp; Parking</v>
      </c>
      <c r="H345" s="175"/>
      <c r="I345" s="37"/>
      <c r="L345" s="174"/>
      <c r="M345" s="174"/>
      <c r="N345" s="37"/>
    </row>
    <row r="346" spans="1:16" s="63" customFormat="1" hidden="1" x14ac:dyDescent="0.35">
      <c r="A346" s="175">
        <v>9</v>
      </c>
      <c r="B346" s="175"/>
      <c r="C346" s="51" t="s">
        <v>171</v>
      </c>
      <c r="D346" s="51">
        <f>(18.72*10.764)</f>
        <v>201.50207999999998</v>
      </c>
      <c r="E346" s="51">
        <v>0</v>
      </c>
      <c r="F346" s="51">
        <f>(D346+E346)*(($F$289)+1)</f>
        <v>312.32822399999998</v>
      </c>
      <c r="G346" s="175" t="str">
        <f t="shared" si="13"/>
        <v>Ground Floor For Commercial &amp; Parking</v>
      </c>
      <c r="H346" s="175"/>
      <c r="I346" s="37"/>
      <c r="L346" s="174"/>
      <c r="M346" s="174"/>
      <c r="N346" s="37"/>
    </row>
    <row r="347" spans="1:16" s="63" customFormat="1" hidden="1" x14ac:dyDescent="0.35">
      <c r="A347" s="175">
        <v>10</v>
      </c>
      <c r="B347" s="175"/>
      <c r="C347" s="51" t="s">
        <v>171</v>
      </c>
      <c r="D347" s="51">
        <f t="shared" si="14"/>
        <v>201.50207999999998</v>
      </c>
      <c r="E347" s="51">
        <v>0</v>
      </c>
      <c r="F347" s="51">
        <f t="shared" ref="F347" si="16">(D347+E347)*(($F$289)+1)</f>
        <v>312.32822399999998</v>
      </c>
      <c r="G347" s="175" t="str">
        <f t="shared" si="13"/>
        <v>Ground Floor For Commercial &amp; Parking</v>
      </c>
      <c r="H347" s="175"/>
      <c r="I347" s="37"/>
      <c r="L347" s="174"/>
      <c r="M347" s="174"/>
      <c r="N347" s="37"/>
    </row>
    <row r="348" spans="1:16" s="63" customFormat="1" hidden="1" x14ac:dyDescent="0.35">
      <c r="A348" s="175">
        <v>11</v>
      </c>
      <c r="B348" s="175"/>
      <c r="C348" s="51" t="s">
        <v>171</v>
      </c>
      <c r="D348" s="51">
        <f t="shared" si="14"/>
        <v>201.50207999999998</v>
      </c>
      <c r="E348" s="51">
        <v>0</v>
      </c>
      <c r="F348" s="51">
        <f>(D348+E348)*(($F$289)+1)</f>
        <v>312.32822399999998</v>
      </c>
      <c r="G348" s="175" t="str">
        <f t="shared" si="13"/>
        <v>Ground Floor For Commercial &amp; Parking</v>
      </c>
      <c r="H348" s="175"/>
      <c r="I348" s="37"/>
      <c r="L348" s="174"/>
      <c r="M348" s="174"/>
      <c r="N348" s="37"/>
    </row>
    <row r="349" spans="1:16" s="63" customFormat="1" hidden="1" x14ac:dyDescent="0.35">
      <c r="A349" s="175">
        <v>12</v>
      </c>
      <c r="B349" s="175"/>
      <c r="C349" s="51" t="s">
        <v>171</v>
      </c>
      <c r="D349" s="51">
        <f t="shared" si="14"/>
        <v>201.50207999999998</v>
      </c>
      <c r="E349" s="51">
        <v>0</v>
      </c>
      <c r="F349" s="51">
        <f t="shared" ref="F349:F351" si="17">(D349+E349)*(($F$289)+1)</f>
        <v>312.32822399999998</v>
      </c>
      <c r="G349" s="175" t="str">
        <f t="shared" si="13"/>
        <v>Ground Floor For Commercial &amp; Parking</v>
      </c>
      <c r="H349" s="175"/>
      <c r="I349" s="37"/>
      <c r="L349" s="174"/>
      <c r="M349" s="174"/>
      <c r="N349" s="37"/>
    </row>
    <row r="350" spans="1:16" s="63" customFormat="1" hidden="1" x14ac:dyDescent="0.35">
      <c r="A350" s="175">
        <v>13</v>
      </c>
      <c r="B350" s="175"/>
      <c r="C350" s="51" t="s">
        <v>171</v>
      </c>
      <c r="D350" s="51">
        <f t="shared" si="14"/>
        <v>201.50207999999998</v>
      </c>
      <c r="E350" s="51">
        <v>0</v>
      </c>
      <c r="F350" s="51">
        <f t="shared" si="17"/>
        <v>312.32822399999998</v>
      </c>
      <c r="G350" s="175" t="str">
        <f t="shared" si="13"/>
        <v>Ground Floor For Commercial &amp; Parking</v>
      </c>
      <c r="H350" s="175"/>
      <c r="I350" s="37"/>
      <c r="L350" s="174"/>
      <c r="M350" s="174"/>
      <c r="N350" s="37"/>
    </row>
    <row r="351" spans="1:16" s="63" customFormat="1" hidden="1" x14ac:dyDescent="0.35">
      <c r="A351" s="175">
        <v>14</v>
      </c>
      <c r="B351" s="175"/>
      <c r="C351" s="51" t="s">
        <v>171</v>
      </c>
      <c r="D351" s="51">
        <f t="shared" si="14"/>
        <v>201.50207999999998</v>
      </c>
      <c r="E351" s="51">
        <v>0</v>
      </c>
      <c r="F351" s="51">
        <f t="shared" si="17"/>
        <v>312.32822399999998</v>
      </c>
      <c r="G351" s="175" t="str">
        <f t="shared" si="13"/>
        <v>Ground Floor For Commercial &amp; Parking</v>
      </c>
      <c r="H351" s="175"/>
      <c r="I351" s="37"/>
      <c r="L351" s="174"/>
      <c r="M351" s="174"/>
      <c r="N351" s="37"/>
    </row>
    <row r="352" spans="1:16" s="63" customFormat="1" hidden="1" x14ac:dyDescent="0.35">
      <c r="A352" s="175">
        <v>15</v>
      </c>
      <c r="B352" s="175"/>
      <c r="C352" s="51" t="s">
        <v>171</v>
      </c>
      <c r="D352" s="51">
        <f t="shared" si="14"/>
        <v>201.50207999999998</v>
      </c>
      <c r="E352" s="51">
        <v>0</v>
      </c>
      <c r="F352" s="51">
        <f>(D352+E352)*(($F$289)+1)</f>
        <v>312.32822399999998</v>
      </c>
      <c r="G352" s="175" t="str">
        <f t="shared" si="13"/>
        <v>Ground Floor For Commercial &amp; Parking</v>
      </c>
      <c r="H352" s="175"/>
      <c r="I352" s="37"/>
      <c r="L352" s="174"/>
      <c r="M352" s="174"/>
      <c r="N352" s="37"/>
    </row>
    <row r="353" spans="1:16" s="63" customFormat="1" hidden="1" x14ac:dyDescent="0.35">
      <c r="A353" s="175">
        <v>16</v>
      </c>
      <c r="B353" s="175"/>
      <c r="C353" s="51" t="s">
        <v>171</v>
      </c>
      <c r="D353" s="51">
        <f t="shared" si="14"/>
        <v>201.50207999999998</v>
      </c>
      <c r="E353" s="51">
        <v>0</v>
      </c>
      <c r="F353" s="51">
        <f t="shared" ref="F353:F355" si="18">(D353+E353)*(($F$289)+1)</f>
        <v>312.32822399999998</v>
      </c>
      <c r="G353" s="175" t="str">
        <f t="shared" si="13"/>
        <v>Ground Floor For Commercial &amp; Parking</v>
      </c>
      <c r="H353" s="175"/>
      <c r="I353" s="37"/>
      <c r="L353" s="174"/>
      <c r="M353" s="174"/>
      <c r="N353" s="37"/>
    </row>
    <row r="354" spans="1:16" s="63" customFormat="1" hidden="1" x14ac:dyDescent="0.35">
      <c r="A354" s="175">
        <v>17</v>
      </c>
      <c r="B354" s="175"/>
      <c r="C354" s="51" t="s">
        <v>171</v>
      </c>
      <c r="D354" s="51">
        <f t="shared" si="14"/>
        <v>201.50207999999998</v>
      </c>
      <c r="E354" s="51">
        <v>0</v>
      </c>
      <c r="F354" s="51">
        <f t="shared" si="18"/>
        <v>312.32822399999998</v>
      </c>
      <c r="G354" s="175" t="str">
        <f t="shared" si="13"/>
        <v>Ground Floor For Commercial &amp; Parking</v>
      </c>
      <c r="H354" s="175"/>
      <c r="I354" s="37"/>
      <c r="L354" s="174"/>
      <c r="M354" s="174"/>
      <c r="N354" s="37"/>
    </row>
    <row r="355" spans="1:16" s="63" customFormat="1" hidden="1" x14ac:dyDescent="0.35">
      <c r="A355" s="175">
        <v>18</v>
      </c>
      <c r="B355" s="175"/>
      <c r="C355" s="51" t="s">
        <v>171</v>
      </c>
      <c r="D355" s="51">
        <f t="shared" si="14"/>
        <v>201.50207999999998</v>
      </c>
      <c r="E355" s="51">
        <v>0</v>
      </c>
      <c r="F355" s="51">
        <f t="shared" si="18"/>
        <v>312.32822399999998</v>
      </c>
      <c r="G355" s="175" t="str">
        <f t="shared" si="13"/>
        <v>Ground Floor For Commercial &amp; Parking</v>
      </c>
      <c r="H355" s="175"/>
      <c r="I355" s="37"/>
      <c r="L355" s="174"/>
      <c r="M355" s="174"/>
      <c r="N355" s="37"/>
    </row>
    <row r="356" spans="1:16" s="63" customFormat="1" hidden="1" x14ac:dyDescent="0.35">
      <c r="A356" s="175">
        <v>19</v>
      </c>
      <c r="B356" s="175"/>
      <c r="C356" s="51" t="s">
        <v>171</v>
      </c>
      <c r="D356" s="51">
        <f t="shared" si="14"/>
        <v>201.50207999999998</v>
      </c>
      <c r="E356" s="51">
        <v>0</v>
      </c>
      <c r="F356" s="51">
        <f>(D356+E356)*(($F$289)+1)</f>
        <v>312.32822399999998</v>
      </c>
      <c r="G356" s="175" t="str">
        <f t="shared" si="13"/>
        <v>Ground Floor For Commercial &amp; Parking</v>
      </c>
      <c r="H356" s="175"/>
      <c r="I356" s="37"/>
      <c r="L356" s="174"/>
      <c r="M356" s="174"/>
      <c r="N356" s="37"/>
    </row>
    <row r="357" spans="1:16" s="63" customFormat="1" hidden="1" x14ac:dyDescent="0.35">
      <c r="A357" s="175">
        <v>20</v>
      </c>
      <c r="B357" s="175"/>
      <c r="C357" s="51" t="s">
        <v>171</v>
      </c>
      <c r="D357" s="51">
        <f t="shared" si="14"/>
        <v>201.50207999999998</v>
      </c>
      <c r="E357" s="51">
        <v>0</v>
      </c>
      <c r="F357" s="51">
        <f t="shared" ref="F357" si="19">(D357+E357)*(($F$289)+1)</f>
        <v>312.32822399999998</v>
      </c>
      <c r="G357" s="175" t="str">
        <f t="shared" si="13"/>
        <v>Ground Floor For Commercial &amp; Parking</v>
      </c>
      <c r="H357" s="175"/>
      <c r="I357" s="37"/>
      <c r="L357" s="174"/>
      <c r="M357" s="174"/>
      <c r="N357" s="37"/>
    </row>
    <row r="358" spans="1:16" s="63" customFormat="1" ht="15.75" hidden="1" customHeight="1" x14ac:dyDescent="0.35">
      <c r="A358" s="169" t="s">
        <v>177</v>
      </c>
      <c r="B358" s="169"/>
      <c r="C358" s="169"/>
      <c r="D358" s="169"/>
      <c r="E358" s="169"/>
      <c r="F358" s="169"/>
      <c r="G358" s="169"/>
      <c r="H358" s="169"/>
      <c r="I358" s="37"/>
      <c r="P358" s="38"/>
    </row>
    <row r="359" spans="1:16" s="63" customFormat="1" ht="15.75" hidden="1" customHeight="1" x14ac:dyDescent="0.35">
      <c r="A359" s="175">
        <v>1</v>
      </c>
      <c r="B359" s="175"/>
      <c r="C359" s="51" t="s">
        <v>171</v>
      </c>
      <c r="D359" s="51">
        <f>(18.35*10.764)</f>
        <v>197.51939999999999</v>
      </c>
      <c r="E359" s="51">
        <v>0</v>
      </c>
      <c r="F359" s="51">
        <f>(D359+E359)*(($F$289)+1)</f>
        <v>306.15506999999997</v>
      </c>
      <c r="G359" s="175" t="str">
        <f>A358</f>
        <v xml:space="preserve"> 1st Floor For Commrecial</v>
      </c>
      <c r="H359" s="175"/>
      <c r="J359" s="37"/>
    </row>
    <row r="360" spans="1:16" s="63" customFormat="1" hidden="1" x14ac:dyDescent="0.35">
      <c r="A360" s="175">
        <v>2</v>
      </c>
      <c r="B360" s="175"/>
      <c r="C360" s="51" t="s">
        <v>171</v>
      </c>
      <c r="D360" s="51">
        <f t="shared" ref="D360:D374" si="20">(18.35*10.764)</f>
        <v>197.51939999999999</v>
      </c>
      <c r="E360" s="51">
        <v>0</v>
      </c>
      <c r="F360" s="51">
        <f t="shared" ref="F360:F362" si="21">(D360+E360)*(($F$289)+1)</f>
        <v>306.15506999999997</v>
      </c>
      <c r="G360" s="175" t="str">
        <f t="shared" ref="G360:G374" si="22">G359</f>
        <v xml:space="preserve"> 1st Floor For Commrecial</v>
      </c>
      <c r="H360" s="175"/>
      <c r="I360" s="37"/>
      <c r="L360" s="174"/>
      <c r="M360" s="174"/>
      <c r="N360" s="37"/>
    </row>
    <row r="361" spans="1:16" s="63" customFormat="1" hidden="1" x14ac:dyDescent="0.35">
      <c r="A361" s="175">
        <v>3</v>
      </c>
      <c r="B361" s="175"/>
      <c r="C361" s="51" t="s">
        <v>171</v>
      </c>
      <c r="D361" s="51">
        <f>(18.35*10.764)</f>
        <v>197.51939999999999</v>
      </c>
      <c r="E361" s="51">
        <v>0</v>
      </c>
      <c r="F361" s="51">
        <f t="shared" si="21"/>
        <v>306.15506999999997</v>
      </c>
      <c r="G361" s="175" t="str">
        <f t="shared" si="22"/>
        <v xml:space="preserve"> 1st Floor For Commrecial</v>
      </c>
      <c r="H361" s="175"/>
      <c r="I361" s="37"/>
      <c r="L361" s="174"/>
      <c r="M361" s="174"/>
      <c r="N361" s="37"/>
    </row>
    <row r="362" spans="1:16" s="63" customFormat="1" hidden="1" x14ac:dyDescent="0.35">
      <c r="A362" s="175">
        <v>4</v>
      </c>
      <c r="B362" s="175"/>
      <c r="C362" s="51" t="s">
        <v>171</v>
      </c>
      <c r="D362" s="51">
        <f t="shared" si="20"/>
        <v>197.51939999999999</v>
      </c>
      <c r="E362" s="51">
        <v>0</v>
      </c>
      <c r="F362" s="51">
        <f t="shared" si="21"/>
        <v>306.15506999999997</v>
      </c>
      <c r="G362" s="175" t="str">
        <f t="shared" si="22"/>
        <v xml:space="preserve"> 1st Floor For Commrecial</v>
      </c>
      <c r="H362" s="175"/>
      <c r="I362" s="37"/>
      <c r="K362" s="48">
        <f>SUM($J$341:J362)</f>
        <v>0</v>
      </c>
      <c r="L362" s="174"/>
      <c r="M362" s="174"/>
      <c r="N362" s="37"/>
    </row>
    <row r="363" spans="1:16" s="63" customFormat="1" hidden="1" x14ac:dyDescent="0.35">
      <c r="A363" s="175">
        <v>5</v>
      </c>
      <c r="B363" s="175"/>
      <c r="C363" s="51" t="s">
        <v>171</v>
      </c>
      <c r="D363" s="51">
        <f t="shared" si="20"/>
        <v>197.51939999999999</v>
      </c>
      <c r="E363" s="51">
        <v>0</v>
      </c>
      <c r="F363" s="51">
        <f>(D363+E363)*(($F$289)+1)</f>
        <v>306.15506999999997</v>
      </c>
      <c r="G363" s="175" t="str">
        <f t="shared" si="22"/>
        <v xml:space="preserve"> 1st Floor For Commrecial</v>
      </c>
      <c r="H363" s="175"/>
      <c r="I363" s="37"/>
      <c r="K363" s="48">
        <f>SUM($J$341:J363)</f>
        <v>0</v>
      </c>
      <c r="L363" s="174"/>
      <c r="M363" s="174"/>
      <c r="N363" s="37"/>
    </row>
    <row r="364" spans="1:16" s="63" customFormat="1" hidden="1" x14ac:dyDescent="0.35">
      <c r="A364" s="175">
        <v>6</v>
      </c>
      <c r="B364" s="175"/>
      <c r="C364" s="51" t="s">
        <v>171</v>
      </c>
      <c r="D364" s="51">
        <f t="shared" si="20"/>
        <v>197.51939999999999</v>
      </c>
      <c r="E364" s="51">
        <v>0</v>
      </c>
      <c r="F364" s="51">
        <f t="shared" ref="F364:F366" si="23">(D364+E364)*(($F$289)+1)</f>
        <v>306.15506999999997</v>
      </c>
      <c r="G364" s="175" t="str">
        <f t="shared" si="22"/>
        <v xml:space="preserve"> 1st Floor For Commrecial</v>
      </c>
      <c r="H364" s="175"/>
      <c r="I364" s="37"/>
      <c r="L364" s="174"/>
      <c r="M364" s="174"/>
      <c r="N364" s="37"/>
    </row>
    <row r="365" spans="1:16" s="63" customFormat="1" hidden="1" x14ac:dyDescent="0.35">
      <c r="A365" s="175">
        <v>7</v>
      </c>
      <c r="B365" s="175"/>
      <c r="C365" s="51" t="s">
        <v>171</v>
      </c>
      <c r="D365" s="51">
        <f t="shared" si="20"/>
        <v>197.51939999999999</v>
      </c>
      <c r="E365" s="51">
        <v>0</v>
      </c>
      <c r="F365" s="51">
        <f t="shared" si="23"/>
        <v>306.15506999999997</v>
      </c>
      <c r="G365" s="175" t="str">
        <f t="shared" si="22"/>
        <v xml:space="preserve"> 1st Floor For Commrecial</v>
      </c>
      <c r="H365" s="175"/>
      <c r="I365" s="37"/>
      <c r="L365" s="174"/>
      <c r="M365" s="174"/>
      <c r="N365" s="37"/>
    </row>
    <row r="366" spans="1:16" s="63" customFormat="1" hidden="1" x14ac:dyDescent="0.35">
      <c r="A366" s="175">
        <v>8</v>
      </c>
      <c r="B366" s="175"/>
      <c r="C366" s="51" t="s">
        <v>171</v>
      </c>
      <c r="D366" s="51">
        <f t="shared" si="20"/>
        <v>197.51939999999999</v>
      </c>
      <c r="E366" s="51">
        <v>0</v>
      </c>
      <c r="F366" s="51">
        <f t="shared" si="23"/>
        <v>306.15506999999997</v>
      </c>
      <c r="G366" s="175" t="str">
        <f t="shared" si="22"/>
        <v xml:space="preserve"> 1st Floor For Commrecial</v>
      </c>
      <c r="H366" s="175"/>
      <c r="I366" s="37"/>
      <c r="L366" s="174"/>
      <c r="M366" s="174"/>
      <c r="N366" s="37"/>
    </row>
    <row r="367" spans="1:16" s="63" customFormat="1" hidden="1" x14ac:dyDescent="0.35">
      <c r="A367" s="175">
        <v>9</v>
      </c>
      <c r="B367" s="175"/>
      <c r="C367" s="51" t="s">
        <v>171</v>
      </c>
      <c r="D367" s="51">
        <f t="shared" si="20"/>
        <v>197.51939999999999</v>
      </c>
      <c r="E367" s="51">
        <v>0</v>
      </c>
      <c r="F367" s="51">
        <f>(D367+E367)*(($F$289)+1)</f>
        <v>306.15506999999997</v>
      </c>
      <c r="G367" s="175" t="str">
        <f t="shared" si="22"/>
        <v xml:space="preserve"> 1st Floor For Commrecial</v>
      </c>
      <c r="H367" s="175"/>
      <c r="I367" s="37"/>
      <c r="L367" s="174"/>
      <c r="M367" s="174"/>
      <c r="N367" s="37"/>
    </row>
    <row r="368" spans="1:16" s="63" customFormat="1" hidden="1" x14ac:dyDescent="0.35">
      <c r="A368" s="175">
        <v>10</v>
      </c>
      <c r="B368" s="175"/>
      <c r="C368" s="51" t="s">
        <v>171</v>
      </c>
      <c r="D368" s="51">
        <f t="shared" si="20"/>
        <v>197.51939999999999</v>
      </c>
      <c r="E368" s="51">
        <v>0</v>
      </c>
      <c r="F368" s="51">
        <f t="shared" ref="F368" si="24">(D368+E368)*(($F$289)+1)</f>
        <v>306.15506999999997</v>
      </c>
      <c r="G368" s="175" t="str">
        <f t="shared" si="22"/>
        <v xml:space="preserve"> 1st Floor For Commrecial</v>
      </c>
      <c r="H368" s="175"/>
      <c r="I368" s="37"/>
      <c r="L368" s="174"/>
      <c r="M368" s="174"/>
      <c r="N368" s="37"/>
    </row>
    <row r="369" spans="1:16" s="63" customFormat="1" hidden="1" x14ac:dyDescent="0.35">
      <c r="A369" s="175">
        <v>11</v>
      </c>
      <c r="B369" s="175"/>
      <c r="C369" s="51" t="s">
        <v>171</v>
      </c>
      <c r="D369" s="51">
        <f t="shared" si="20"/>
        <v>197.51939999999999</v>
      </c>
      <c r="E369" s="51">
        <v>0</v>
      </c>
      <c r="F369" s="51">
        <f>(D369+E369)*(($F$289)+1)</f>
        <v>306.15506999999997</v>
      </c>
      <c r="G369" s="175" t="str">
        <f t="shared" si="22"/>
        <v xml:space="preserve"> 1st Floor For Commrecial</v>
      </c>
      <c r="H369" s="175"/>
      <c r="I369" s="37"/>
      <c r="L369" s="174"/>
      <c r="M369" s="174"/>
      <c r="N369" s="37"/>
    </row>
    <row r="370" spans="1:16" s="63" customFormat="1" hidden="1" x14ac:dyDescent="0.35">
      <c r="A370" s="175">
        <v>12</v>
      </c>
      <c r="B370" s="175"/>
      <c r="C370" s="51" t="s">
        <v>171</v>
      </c>
      <c r="D370" s="51">
        <f t="shared" si="20"/>
        <v>197.51939999999999</v>
      </c>
      <c r="E370" s="51">
        <v>0</v>
      </c>
      <c r="F370" s="51">
        <f t="shared" ref="F370:F372" si="25">(D370+E370)*(($F$289)+1)</f>
        <v>306.15506999999997</v>
      </c>
      <c r="G370" s="175" t="str">
        <f t="shared" si="22"/>
        <v xml:space="preserve"> 1st Floor For Commrecial</v>
      </c>
      <c r="H370" s="175"/>
      <c r="I370" s="37"/>
      <c r="L370" s="174"/>
      <c r="M370" s="174"/>
      <c r="N370" s="37"/>
    </row>
    <row r="371" spans="1:16" s="63" customFormat="1" hidden="1" x14ac:dyDescent="0.35">
      <c r="A371" s="175">
        <v>13</v>
      </c>
      <c r="B371" s="175"/>
      <c r="C371" s="51" t="s">
        <v>171</v>
      </c>
      <c r="D371" s="51">
        <f t="shared" si="20"/>
        <v>197.51939999999999</v>
      </c>
      <c r="E371" s="51">
        <v>0</v>
      </c>
      <c r="F371" s="51">
        <f t="shared" si="25"/>
        <v>306.15506999999997</v>
      </c>
      <c r="G371" s="175" t="str">
        <f t="shared" si="22"/>
        <v xml:space="preserve"> 1st Floor For Commrecial</v>
      </c>
      <c r="H371" s="175"/>
      <c r="I371" s="37"/>
      <c r="L371" s="174"/>
      <c r="M371" s="174"/>
      <c r="N371" s="37"/>
    </row>
    <row r="372" spans="1:16" s="63" customFormat="1" hidden="1" x14ac:dyDescent="0.35">
      <c r="A372" s="175">
        <v>14</v>
      </c>
      <c r="B372" s="175"/>
      <c r="C372" s="51" t="s">
        <v>171</v>
      </c>
      <c r="D372" s="51">
        <f t="shared" si="20"/>
        <v>197.51939999999999</v>
      </c>
      <c r="E372" s="51">
        <v>0</v>
      </c>
      <c r="F372" s="51">
        <f t="shared" si="25"/>
        <v>306.15506999999997</v>
      </c>
      <c r="G372" s="175" t="str">
        <f t="shared" si="22"/>
        <v xml:space="preserve"> 1st Floor For Commrecial</v>
      </c>
      <c r="H372" s="175"/>
      <c r="I372" s="37"/>
      <c r="L372" s="174"/>
      <c r="M372" s="174"/>
      <c r="N372" s="37"/>
    </row>
    <row r="373" spans="1:16" s="63" customFormat="1" hidden="1" x14ac:dyDescent="0.35">
      <c r="A373" s="175">
        <v>15</v>
      </c>
      <c r="B373" s="175"/>
      <c r="C373" s="51" t="s">
        <v>171</v>
      </c>
      <c r="D373" s="51">
        <f t="shared" si="20"/>
        <v>197.51939999999999</v>
      </c>
      <c r="E373" s="51">
        <v>0</v>
      </c>
      <c r="F373" s="51">
        <f>(D373+E373)*(($F$289)+1)</f>
        <v>306.15506999999997</v>
      </c>
      <c r="G373" s="175" t="str">
        <f t="shared" si="22"/>
        <v xml:space="preserve"> 1st Floor For Commrecial</v>
      </c>
      <c r="H373" s="175"/>
      <c r="I373" s="37"/>
      <c r="L373" s="174"/>
      <c r="M373" s="174"/>
      <c r="N373" s="37"/>
    </row>
    <row r="374" spans="1:16" s="63" customFormat="1" hidden="1" x14ac:dyDescent="0.35">
      <c r="A374" s="175">
        <v>16</v>
      </c>
      <c r="B374" s="175"/>
      <c r="C374" s="51" t="s">
        <v>171</v>
      </c>
      <c r="D374" s="51">
        <f t="shared" si="20"/>
        <v>197.51939999999999</v>
      </c>
      <c r="E374" s="51">
        <v>0</v>
      </c>
      <c r="F374" s="51">
        <f t="shared" ref="F374" si="26">(D374+E374)*(($F$289)+1)</f>
        <v>306.15506999999997</v>
      </c>
      <c r="G374" s="175" t="str">
        <f t="shared" si="22"/>
        <v xml:space="preserve"> 1st Floor For Commrecial</v>
      </c>
      <c r="H374" s="175"/>
      <c r="I374" s="37"/>
      <c r="L374" s="174"/>
      <c r="M374" s="174"/>
      <c r="N374" s="37"/>
    </row>
    <row r="375" spans="1:16" s="63" customFormat="1" ht="15.75" hidden="1" customHeight="1" x14ac:dyDescent="0.35">
      <c r="A375" s="169" t="s">
        <v>178</v>
      </c>
      <c r="B375" s="169"/>
      <c r="C375" s="169"/>
      <c r="D375" s="169"/>
      <c r="E375" s="169"/>
      <c r="F375" s="169"/>
      <c r="G375" s="169"/>
      <c r="H375" s="169"/>
      <c r="I375" s="37"/>
      <c r="P375" s="38"/>
    </row>
    <row r="376" spans="1:16" s="63" customFormat="1" ht="35.25" hidden="1" customHeight="1" x14ac:dyDescent="0.35">
      <c r="A376" s="175">
        <v>1</v>
      </c>
      <c r="B376" s="175"/>
      <c r="C376" s="51" t="s">
        <v>173</v>
      </c>
      <c r="D376" s="51">
        <f>(25.05*14.7)*10.764</f>
        <v>3963.68154</v>
      </c>
      <c r="E376" s="51">
        <v>0</v>
      </c>
      <c r="F376" s="51">
        <f>(D376+E376)*(($F$289)+1)</f>
        <v>6143.7063870000002</v>
      </c>
      <c r="G376" s="175" t="str">
        <f>A375</f>
        <v>2nd &amp; 3rd Floor For Commercial</v>
      </c>
      <c r="H376" s="175"/>
      <c r="J376" s="37"/>
    </row>
    <row r="377" spans="1:16" s="63" customFormat="1" ht="31" hidden="1" x14ac:dyDescent="0.35">
      <c r="A377" s="175">
        <v>2</v>
      </c>
      <c r="B377" s="175"/>
      <c r="C377" s="51" t="s">
        <v>174</v>
      </c>
      <c r="D377" s="51">
        <f>(6.15*8.55)*10.764</f>
        <v>565.99803000000009</v>
      </c>
      <c r="E377" s="51">
        <v>0</v>
      </c>
      <c r="F377" s="51">
        <f t="shared" ref="F377:F378" si="27">(D377+E377)*(($F$289)+1)</f>
        <v>877.2969465000001</v>
      </c>
      <c r="G377" s="175" t="str">
        <f t="shared" ref="G377:G378" si="28">G376</f>
        <v>2nd &amp; 3rd Floor For Commercial</v>
      </c>
      <c r="H377" s="175"/>
      <c r="I377" s="37"/>
      <c r="L377" s="174"/>
      <c r="M377" s="174"/>
      <c r="N377" s="37"/>
    </row>
    <row r="378" spans="1:16" s="63" customFormat="1" ht="31" hidden="1" x14ac:dyDescent="0.35">
      <c r="A378" s="175">
        <v>3</v>
      </c>
      <c r="B378" s="175"/>
      <c r="C378" s="51" t="s">
        <v>175</v>
      </c>
      <c r="D378" s="51">
        <f>(6.15*6)*10.764</f>
        <v>397.19160000000005</v>
      </c>
      <c r="E378" s="51">
        <v>0</v>
      </c>
      <c r="F378" s="51">
        <f t="shared" si="27"/>
        <v>615.6469800000001</v>
      </c>
      <c r="G378" s="175" t="str">
        <f t="shared" si="28"/>
        <v>2nd &amp; 3rd Floor For Commercial</v>
      </c>
      <c r="H378" s="175"/>
      <c r="I378" s="37"/>
      <c r="L378" s="174"/>
      <c r="M378" s="174"/>
      <c r="N378" s="37"/>
    </row>
    <row r="379" spans="1:16" s="63" customFormat="1" x14ac:dyDescent="0.35">
      <c r="A379" s="175"/>
      <c r="B379" s="175"/>
      <c r="C379" s="175"/>
      <c r="D379" s="175"/>
      <c r="E379" s="175"/>
      <c r="F379" s="175"/>
      <c r="G379" s="175"/>
      <c r="H379" s="175"/>
      <c r="I379" s="37"/>
      <c r="L379" s="174"/>
      <c r="M379" s="174"/>
      <c r="N379" s="37"/>
    </row>
    <row r="380" spans="1:16" s="63" customFormat="1" ht="45" x14ac:dyDescent="0.35">
      <c r="A380" s="185" t="s">
        <v>116</v>
      </c>
      <c r="B380" s="185" t="s">
        <v>117</v>
      </c>
      <c r="C380" s="185" t="s">
        <v>57</v>
      </c>
      <c r="D380" s="185" t="s">
        <v>58</v>
      </c>
      <c r="E380" s="186" t="s">
        <v>59</v>
      </c>
      <c r="F380" s="91" t="s">
        <v>147</v>
      </c>
      <c r="G380" s="185" t="s">
        <v>60</v>
      </c>
      <c r="H380" s="185"/>
      <c r="I380" s="37"/>
      <c r="N380" s="37"/>
    </row>
    <row r="381" spans="1:16" x14ac:dyDescent="0.35">
      <c r="A381" s="185"/>
      <c r="B381" s="185"/>
      <c r="C381" s="185"/>
      <c r="D381" s="185"/>
      <c r="E381" s="186"/>
      <c r="F381" s="92">
        <v>0.5</v>
      </c>
      <c r="G381" s="185"/>
      <c r="H381" s="185"/>
      <c r="I381" s="37"/>
    </row>
    <row r="382" spans="1:16" s="63" customFormat="1" x14ac:dyDescent="0.35">
      <c r="A382" s="170" t="s">
        <v>196</v>
      </c>
      <c r="B382" s="171"/>
      <c r="C382" s="171"/>
      <c r="D382" s="171"/>
      <c r="E382" s="171"/>
      <c r="F382" s="171"/>
      <c r="G382" s="171"/>
      <c r="H382" s="172"/>
      <c r="I382" s="37"/>
    </row>
    <row r="383" spans="1:16" s="63" customFormat="1" x14ac:dyDescent="0.35">
      <c r="A383" s="170" t="s">
        <v>197</v>
      </c>
      <c r="B383" s="171"/>
      <c r="C383" s="171"/>
      <c r="D383" s="171"/>
      <c r="E383" s="171"/>
      <c r="F383" s="171"/>
      <c r="G383" s="171"/>
      <c r="H383" s="172"/>
      <c r="I383" s="37"/>
    </row>
    <row r="384" spans="1:16" s="63" customFormat="1" x14ac:dyDescent="0.35">
      <c r="A384" s="170" t="s">
        <v>169</v>
      </c>
      <c r="B384" s="171"/>
      <c r="C384" s="171"/>
      <c r="D384" s="171"/>
      <c r="E384" s="171"/>
      <c r="F384" s="171"/>
      <c r="G384" s="171"/>
      <c r="H384" s="172"/>
      <c r="J384" s="37"/>
    </row>
    <row r="385" spans="1:16" s="63" customFormat="1" ht="15.75" customHeight="1" x14ac:dyDescent="0.35">
      <c r="A385" s="170" t="s">
        <v>238</v>
      </c>
      <c r="B385" s="171"/>
      <c r="C385" s="171"/>
      <c r="D385" s="171"/>
      <c r="E385" s="171"/>
      <c r="F385" s="171"/>
      <c r="G385" s="171"/>
      <c r="H385" s="172"/>
      <c r="J385" s="37"/>
    </row>
    <row r="386" spans="1:16" s="63" customFormat="1" ht="15.75" customHeight="1" x14ac:dyDescent="0.35">
      <c r="A386" s="164">
        <v>1</v>
      </c>
      <c r="B386" s="165"/>
      <c r="C386" s="47" t="s">
        <v>176</v>
      </c>
      <c r="D386" s="51">
        <f>(30*10.764)</f>
        <v>322.91999999999996</v>
      </c>
      <c r="E386" s="51">
        <v>0</v>
      </c>
      <c r="F386" s="51">
        <f>D386*(($F$381)+1)+(IF(E386&lt;101,E386,IF(E386&lt;201,E386/2,IF(E386&lt;=301,E386/3,E386/4))))</f>
        <v>484.37999999999994</v>
      </c>
      <c r="G386" s="177" t="str">
        <f>A385</f>
        <v>Ground Floor For Residential, Drivers Room &amp; Parking</v>
      </c>
      <c r="H386" s="178"/>
      <c r="I386" s="37">
        <f>(2.6*3.75+2.5*1.75+2.9*2.9+1.7*0.6+1.2*0.9+1.15*1.8+0.9*2.5)</f>
        <v>28.954999999999998</v>
      </c>
      <c r="J386" s="37"/>
      <c r="K386" s="63">
        <f>3000*F386</f>
        <v>1453139.9999999998</v>
      </c>
    </row>
    <row r="387" spans="1:16" s="63" customFormat="1" ht="15.75" customHeight="1" x14ac:dyDescent="0.35">
      <c r="A387" s="164">
        <v>2</v>
      </c>
      <c r="B387" s="165"/>
      <c r="C387" s="47" t="s">
        <v>176</v>
      </c>
      <c r="D387" s="51">
        <f t="shared" ref="D387:D389" si="29">(30*10.764)</f>
        <v>322.91999999999996</v>
      </c>
      <c r="E387" s="51">
        <v>0</v>
      </c>
      <c r="F387" s="51">
        <f>D387*(($F$381)+1)+(IF(E387&lt;101,E387,IF(E387&lt;201,E387/2,IF(E387&lt;=301,E387/3,E387/4))))</f>
        <v>484.37999999999994</v>
      </c>
      <c r="G387" s="179"/>
      <c r="H387" s="180"/>
      <c r="I387" s="37"/>
      <c r="K387" s="63">
        <f t="shared" ref="K387:K448" si="30">3000*F387</f>
        <v>1453139.9999999998</v>
      </c>
      <c r="L387" s="174"/>
      <c r="M387" s="174"/>
      <c r="N387" s="37"/>
    </row>
    <row r="388" spans="1:16" s="63" customFormat="1" ht="15.75" customHeight="1" x14ac:dyDescent="0.35">
      <c r="A388" s="164">
        <v>3</v>
      </c>
      <c r="B388" s="165"/>
      <c r="C388" s="47" t="s">
        <v>176</v>
      </c>
      <c r="D388" s="51">
        <f t="shared" si="29"/>
        <v>322.91999999999996</v>
      </c>
      <c r="E388" s="51">
        <v>0</v>
      </c>
      <c r="F388" s="51">
        <f>D388*(($F$381)+1)+(IF(E388&lt;101,E388,IF(E388&lt;201,E388/2,IF(E388&lt;=301,E388/3,E388/4))))</f>
        <v>484.37999999999994</v>
      </c>
      <c r="G388" s="179"/>
      <c r="H388" s="180"/>
      <c r="I388" s="37"/>
      <c r="K388" s="63">
        <f t="shared" si="30"/>
        <v>1453139.9999999998</v>
      </c>
      <c r="L388" s="174"/>
      <c r="M388" s="174"/>
      <c r="N388" s="37"/>
    </row>
    <row r="389" spans="1:16" s="63" customFormat="1" ht="15.75" customHeight="1" x14ac:dyDescent="0.35">
      <c r="A389" s="164">
        <v>4</v>
      </c>
      <c r="B389" s="165"/>
      <c r="C389" s="47" t="s">
        <v>176</v>
      </c>
      <c r="D389" s="51">
        <f t="shared" si="29"/>
        <v>322.91999999999996</v>
      </c>
      <c r="E389" s="51">
        <v>0</v>
      </c>
      <c r="F389" s="51">
        <f>D389*(($F$381)+1)+(IF(E389&lt;101,E389,IF(E389&lt;201,E389/2,IF(E389&lt;=301,E389/3,E389/4))))</f>
        <v>484.37999999999994</v>
      </c>
      <c r="G389" s="181"/>
      <c r="H389" s="182"/>
      <c r="I389" s="37"/>
      <c r="K389" s="63">
        <f t="shared" si="30"/>
        <v>1453139.9999999998</v>
      </c>
      <c r="L389" s="174"/>
      <c r="M389" s="174"/>
      <c r="N389" s="37"/>
    </row>
    <row r="390" spans="1:16" s="63" customFormat="1" x14ac:dyDescent="0.35">
      <c r="A390" s="170" t="s">
        <v>179</v>
      </c>
      <c r="B390" s="171"/>
      <c r="C390" s="171"/>
      <c r="D390" s="171"/>
      <c r="E390" s="171"/>
      <c r="F390" s="171"/>
      <c r="G390" s="171"/>
      <c r="H390" s="172"/>
      <c r="I390" s="37"/>
      <c r="K390" s="63">
        <f t="shared" si="30"/>
        <v>0</v>
      </c>
      <c r="L390" s="174"/>
      <c r="M390" s="174"/>
      <c r="N390" s="37"/>
    </row>
    <row r="391" spans="1:16" s="63" customFormat="1" ht="15.75" customHeight="1" x14ac:dyDescent="0.35">
      <c r="A391" s="164">
        <v>1</v>
      </c>
      <c r="B391" s="165"/>
      <c r="C391" s="47" t="s">
        <v>176</v>
      </c>
      <c r="D391" s="51">
        <f t="shared" ref="D391:D396" si="31">(30+1.03*2.6+2.5*0.75+2.6*1)*10.764</f>
        <v>399.91489199999995</v>
      </c>
      <c r="E391" s="51">
        <v>0</v>
      </c>
      <c r="F391" s="51">
        <f t="shared" ref="F391:F395" si="32">D391*(($F$381)+1)+(IF(E391&lt;101,E391,IF(E391&lt;201,E391/2,IF(E391&lt;=301,E391/3,E391/4))))</f>
        <v>599.8723379999999</v>
      </c>
      <c r="G391" s="177" t="str">
        <f>A390</f>
        <v>1st to 7th Floor For Residential</v>
      </c>
      <c r="H391" s="178"/>
      <c r="I391" s="37">
        <f>2049000/F391</f>
        <v>3415.7267641836161</v>
      </c>
      <c r="J391" s="63" t="s">
        <v>216</v>
      </c>
      <c r="K391" s="63">
        <f t="shared" si="30"/>
        <v>1799617.0139999997</v>
      </c>
      <c r="P391" s="38"/>
    </row>
    <row r="392" spans="1:16" s="63" customFormat="1" ht="15.75" customHeight="1" x14ac:dyDescent="0.35">
      <c r="A392" s="164">
        <v>2</v>
      </c>
      <c r="B392" s="165"/>
      <c r="C392" s="47" t="s">
        <v>176</v>
      </c>
      <c r="D392" s="51">
        <f t="shared" si="31"/>
        <v>399.91489199999995</v>
      </c>
      <c r="E392" s="51">
        <v>0</v>
      </c>
      <c r="F392" s="51">
        <f t="shared" si="32"/>
        <v>599.8723379999999</v>
      </c>
      <c r="G392" s="179"/>
      <c r="H392" s="180"/>
      <c r="I392" s="37">
        <f>1799000/F392</f>
        <v>2998.9714244833212</v>
      </c>
      <c r="J392" s="63" t="s">
        <v>217</v>
      </c>
      <c r="K392" s="63">
        <f t="shared" si="30"/>
        <v>1799617.0139999997</v>
      </c>
    </row>
    <row r="393" spans="1:16" s="63" customFormat="1" ht="15.75" customHeight="1" x14ac:dyDescent="0.35">
      <c r="A393" s="164">
        <v>3</v>
      </c>
      <c r="B393" s="165"/>
      <c r="C393" s="47" t="s">
        <v>176</v>
      </c>
      <c r="D393" s="51">
        <f t="shared" si="31"/>
        <v>399.91489199999995</v>
      </c>
      <c r="E393" s="51">
        <v>0</v>
      </c>
      <c r="F393" s="51">
        <f>D393*(($F$381)+1)+(IF(E393&lt;101,E393,IF(E393&lt;201,E393/2,IF(E393&lt;=301,E393/3,E393/4))))</f>
        <v>599.8723379999999</v>
      </c>
      <c r="G393" s="179"/>
      <c r="H393" s="180"/>
      <c r="I393" s="37">
        <f>1800000/F393</f>
        <v>3000.6384458421221</v>
      </c>
      <c r="K393" s="63">
        <f t="shared" si="30"/>
        <v>1799617.0139999997</v>
      </c>
    </row>
    <row r="394" spans="1:16" s="63" customFormat="1" ht="15.75" customHeight="1" x14ac:dyDescent="0.35">
      <c r="A394" s="164">
        <v>4</v>
      </c>
      <c r="B394" s="165"/>
      <c r="C394" s="47" t="s">
        <v>176</v>
      </c>
      <c r="D394" s="51">
        <f t="shared" si="31"/>
        <v>399.91489199999995</v>
      </c>
      <c r="E394" s="51">
        <v>0</v>
      </c>
      <c r="F394" s="51">
        <f t="shared" si="32"/>
        <v>599.8723379999999</v>
      </c>
      <c r="G394" s="179"/>
      <c r="H394" s="180"/>
      <c r="I394" s="37"/>
      <c r="K394" s="63">
        <f t="shared" si="30"/>
        <v>1799617.0139999997</v>
      </c>
    </row>
    <row r="395" spans="1:16" s="63" customFormat="1" ht="15.75" customHeight="1" x14ac:dyDescent="0.35">
      <c r="A395" s="164">
        <v>5</v>
      </c>
      <c r="B395" s="165"/>
      <c r="C395" s="47" t="s">
        <v>176</v>
      </c>
      <c r="D395" s="51">
        <f t="shared" si="31"/>
        <v>399.91489199999995</v>
      </c>
      <c r="E395" s="51">
        <v>0</v>
      </c>
      <c r="F395" s="51">
        <f t="shared" si="32"/>
        <v>599.8723379999999</v>
      </c>
      <c r="G395" s="179"/>
      <c r="H395" s="180"/>
      <c r="I395" s="37"/>
      <c r="K395" s="63">
        <f t="shared" si="30"/>
        <v>1799617.0139999997</v>
      </c>
    </row>
    <row r="396" spans="1:16" s="63" customFormat="1" ht="15.75" customHeight="1" x14ac:dyDescent="0.35">
      <c r="A396" s="164">
        <v>6</v>
      </c>
      <c r="B396" s="165"/>
      <c r="C396" s="47" t="s">
        <v>176</v>
      </c>
      <c r="D396" s="51">
        <f t="shared" si="31"/>
        <v>399.91489199999995</v>
      </c>
      <c r="E396" s="51">
        <v>0</v>
      </c>
      <c r="F396" s="51">
        <f>D396*(($F$381)+1)+(IF(E396&lt;101,E396,IF(E396&lt;201,E396/2,IF(E396&lt;=301,E396/3,E396/4))))</f>
        <v>599.8723379999999</v>
      </c>
      <c r="G396" s="181"/>
      <c r="H396" s="182"/>
      <c r="I396" s="37"/>
      <c r="K396" s="63">
        <f t="shared" si="30"/>
        <v>1799617.0139999997</v>
      </c>
    </row>
    <row r="397" spans="1:16" s="63" customFormat="1" x14ac:dyDescent="0.35">
      <c r="A397" s="170" t="s">
        <v>170</v>
      </c>
      <c r="B397" s="171"/>
      <c r="C397" s="171"/>
      <c r="D397" s="171"/>
      <c r="E397" s="171"/>
      <c r="F397" s="171"/>
      <c r="G397" s="171"/>
      <c r="H397" s="172"/>
      <c r="I397" s="37"/>
      <c r="K397" s="63">
        <f t="shared" si="30"/>
        <v>0</v>
      </c>
    </row>
    <row r="398" spans="1:16" s="63" customFormat="1" ht="15.75" customHeight="1" x14ac:dyDescent="0.35">
      <c r="A398" s="170" t="s">
        <v>239</v>
      </c>
      <c r="B398" s="171"/>
      <c r="C398" s="171"/>
      <c r="D398" s="171"/>
      <c r="E398" s="171"/>
      <c r="F398" s="171"/>
      <c r="G398" s="171"/>
      <c r="H398" s="172"/>
      <c r="J398" s="37"/>
      <c r="K398" s="63">
        <f t="shared" si="30"/>
        <v>0</v>
      </c>
    </row>
    <row r="399" spans="1:16" s="63" customFormat="1" x14ac:dyDescent="0.35">
      <c r="A399" s="164">
        <v>1</v>
      </c>
      <c r="B399" s="165"/>
      <c r="C399" s="47" t="s">
        <v>176</v>
      </c>
      <c r="D399" s="51">
        <f>(30*10.764)</f>
        <v>322.91999999999996</v>
      </c>
      <c r="E399" s="51">
        <v>0</v>
      </c>
      <c r="F399" s="51">
        <f>D399*(($F$381)+1)+(IF(E399&lt;101,E399,IF(E399&lt;201,E399/2,IF(E399&lt;=301,E399/3,E399/4))))</f>
        <v>484.37999999999994</v>
      </c>
      <c r="G399" s="164" t="str">
        <f>A398</f>
        <v>Ground Floor For Residential, Society Office &amp; Parking</v>
      </c>
      <c r="H399" s="165"/>
      <c r="J399" s="37"/>
      <c r="K399" s="63">
        <f t="shared" si="30"/>
        <v>1453139.9999999998</v>
      </c>
    </row>
    <row r="400" spans="1:16" s="63" customFormat="1" ht="15.75" customHeight="1" x14ac:dyDescent="0.35">
      <c r="A400" s="164">
        <v>2</v>
      </c>
      <c r="B400" s="165"/>
      <c r="C400" s="47" t="s">
        <v>176</v>
      </c>
      <c r="D400" s="51">
        <f t="shared" ref="D400:D402" si="33">(30*10.764)</f>
        <v>322.91999999999996</v>
      </c>
      <c r="E400" s="51">
        <v>0</v>
      </c>
      <c r="F400" s="51">
        <f>D400*(($F$381)+1)+(IF(E400&lt;101,E400,IF(E400&lt;201,E400/2,IF(E400&lt;=301,E400/3,E400/4))))</f>
        <v>484.37999999999994</v>
      </c>
      <c r="G400" s="164" t="str">
        <f t="shared" ref="G400:G401" si="34">G399</f>
        <v>Ground Floor For Residential, Society Office &amp; Parking</v>
      </c>
      <c r="H400" s="165"/>
      <c r="I400" s="37"/>
      <c r="K400" s="63">
        <f t="shared" si="30"/>
        <v>1453139.9999999998</v>
      </c>
      <c r="L400" s="174"/>
      <c r="M400" s="174"/>
      <c r="N400" s="37"/>
    </row>
    <row r="401" spans="1:16" s="63" customFormat="1" x14ac:dyDescent="0.35">
      <c r="A401" s="164">
        <v>3</v>
      </c>
      <c r="B401" s="165"/>
      <c r="C401" s="47" t="s">
        <v>176</v>
      </c>
      <c r="D401" s="51">
        <f t="shared" si="33"/>
        <v>322.91999999999996</v>
      </c>
      <c r="E401" s="51">
        <v>0</v>
      </c>
      <c r="F401" s="51">
        <f>D401*(($F$381)+1)+(IF(E401&lt;101,E401,IF(E401&lt;201,E401/2,IF(E401&lt;=301,E401/3,E401/4))))</f>
        <v>484.37999999999994</v>
      </c>
      <c r="G401" s="164" t="str">
        <f t="shared" si="34"/>
        <v>Ground Floor For Residential, Society Office &amp; Parking</v>
      </c>
      <c r="H401" s="165"/>
      <c r="I401" s="37"/>
      <c r="K401" s="63">
        <f t="shared" si="30"/>
        <v>1453139.9999999998</v>
      </c>
      <c r="L401" s="174"/>
      <c r="M401" s="174"/>
      <c r="N401" s="37"/>
    </row>
    <row r="402" spans="1:16" s="63" customFormat="1" x14ac:dyDescent="0.35">
      <c r="A402" s="164">
        <v>4</v>
      </c>
      <c r="B402" s="165"/>
      <c r="C402" s="47" t="s">
        <v>176</v>
      </c>
      <c r="D402" s="51">
        <f t="shared" si="33"/>
        <v>322.91999999999996</v>
      </c>
      <c r="E402" s="51">
        <v>0</v>
      </c>
      <c r="F402" s="51">
        <f>D402*(($F$381)+1)+(IF(E402&lt;101,E402,IF(E402&lt;201,E402/2,IF(E402&lt;=301,E402/3,E402/4))))</f>
        <v>484.37999999999994</v>
      </c>
      <c r="G402" s="164" t="str">
        <f>G401</f>
        <v>Ground Floor For Residential, Society Office &amp; Parking</v>
      </c>
      <c r="H402" s="165"/>
      <c r="I402" s="37"/>
      <c r="K402" s="63">
        <f t="shared" si="30"/>
        <v>1453139.9999999998</v>
      </c>
      <c r="L402" s="174"/>
      <c r="M402" s="174"/>
      <c r="N402" s="37"/>
    </row>
    <row r="403" spans="1:16" s="63" customFormat="1" x14ac:dyDescent="0.35">
      <c r="A403" s="170" t="s">
        <v>179</v>
      </c>
      <c r="B403" s="171"/>
      <c r="C403" s="171"/>
      <c r="D403" s="171"/>
      <c r="E403" s="171"/>
      <c r="F403" s="171"/>
      <c r="G403" s="171"/>
      <c r="H403" s="172"/>
      <c r="I403" s="37"/>
      <c r="K403" s="63">
        <f t="shared" si="30"/>
        <v>0</v>
      </c>
      <c r="L403" s="174"/>
      <c r="M403" s="174"/>
      <c r="N403" s="37"/>
    </row>
    <row r="404" spans="1:16" s="63" customFormat="1" ht="15.75" customHeight="1" x14ac:dyDescent="0.35">
      <c r="A404" s="164">
        <v>1</v>
      </c>
      <c r="B404" s="165"/>
      <c r="C404" s="47" t="s">
        <v>176</v>
      </c>
      <c r="D404" s="51">
        <f t="shared" ref="D404:D409" si="35">(30+1.03*2.6+2.5*0.75+2.6*1)*10.764</f>
        <v>399.91489199999995</v>
      </c>
      <c r="E404" s="51">
        <v>0</v>
      </c>
      <c r="F404" s="51">
        <f t="shared" ref="F404:F409" si="36">D404*(($F$381)+1)+(IF(E404&lt;101,E404,IF(E404&lt;201,E404/2,IF(E404&lt;=301,E404/3,E404/4))))</f>
        <v>599.8723379999999</v>
      </c>
      <c r="G404" s="177" t="str">
        <f>A403</f>
        <v>1st to 7th Floor For Residential</v>
      </c>
      <c r="H404" s="178"/>
      <c r="I404" s="37"/>
      <c r="J404" s="37"/>
      <c r="K404" s="63">
        <f t="shared" si="30"/>
        <v>1799617.0139999997</v>
      </c>
      <c r="P404" s="38"/>
    </row>
    <row r="405" spans="1:16" s="63" customFormat="1" ht="15.75" customHeight="1" x14ac:dyDescent="0.35">
      <c r="A405" s="164">
        <v>2</v>
      </c>
      <c r="B405" s="165"/>
      <c r="C405" s="47" t="s">
        <v>176</v>
      </c>
      <c r="D405" s="51">
        <f t="shared" si="35"/>
        <v>399.91489199999995</v>
      </c>
      <c r="E405" s="51">
        <v>0</v>
      </c>
      <c r="F405" s="51">
        <f>D405*(($F$381)+1)+(IF(E405&lt;101,E405,IF(E405&lt;201,E405/2,IF(E405&lt;=301,E405/3,E405/4))))</f>
        <v>599.8723379999999</v>
      </c>
      <c r="G405" s="179"/>
      <c r="H405" s="180"/>
      <c r="I405" s="37"/>
      <c r="K405" s="63">
        <f t="shared" si="30"/>
        <v>1799617.0139999997</v>
      </c>
    </row>
    <row r="406" spans="1:16" s="63" customFormat="1" ht="15.75" customHeight="1" x14ac:dyDescent="0.35">
      <c r="A406" s="164">
        <v>3</v>
      </c>
      <c r="B406" s="165"/>
      <c r="C406" s="47" t="s">
        <v>176</v>
      </c>
      <c r="D406" s="51">
        <f t="shared" si="35"/>
        <v>399.91489199999995</v>
      </c>
      <c r="E406" s="51">
        <v>0</v>
      </c>
      <c r="F406" s="51">
        <f t="shared" si="36"/>
        <v>599.8723379999999</v>
      </c>
      <c r="G406" s="179"/>
      <c r="H406" s="180"/>
      <c r="I406" s="37"/>
      <c r="K406" s="63">
        <f t="shared" si="30"/>
        <v>1799617.0139999997</v>
      </c>
    </row>
    <row r="407" spans="1:16" s="63" customFormat="1" ht="15.75" customHeight="1" x14ac:dyDescent="0.35">
      <c r="A407" s="164">
        <v>4</v>
      </c>
      <c r="B407" s="165"/>
      <c r="C407" s="47" t="s">
        <v>176</v>
      </c>
      <c r="D407" s="51">
        <f t="shared" si="35"/>
        <v>399.91489199999995</v>
      </c>
      <c r="E407" s="51">
        <v>0</v>
      </c>
      <c r="F407" s="51">
        <f t="shared" si="36"/>
        <v>599.8723379999999</v>
      </c>
      <c r="G407" s="179"/>
      <c r="H407" s="180"/>
      <c r="I407" s="37"/>
      <c r="K407" s="63">
        <f t="shared" si="30"/>
        <v>1799617.0139999997</v>
      </c>
    </row>
    <row r="408" spans="1:16" s="63" customFormat="1" ht="15.75" customHeight="1" x14ac:dyDescent="0.35">
      <c r="A408" s="164">
        <v>5</v>
      </c>
      <c r="B408" s="165"/>
      <c r="C408" s="47" t="s">
        <v>176</v>
      </c>
      <c r="D408" s="51">
        <f t="shared" si="35"/>
        <v>399.91489199999995</v>
      </c>
      <c r="E408" s="51">
        <v>0</v>
      </c>
      <c r="F408" s="51">
        <f t="shared" si="36"/>
        <v>599.8723379999999</v>
      </c>
      <c r="G408" s="179"/>
      <c r="H408" s="180"/>
      <c r="I408" s="37"/>
      <c r="K408" s="63">
        <f t="shared" si="30"/>
        <v>1799617.0139999997</v>
      </c>
    </row>
    <row r="409" spans="1:16" s="63" customFormat="1" ht="15.75" customHeight="1" x14ac:dyDescent="0.35">
      <c r="A409" s="164">
        <v>6</v>
      </c>
      <c r="B409" s="165"/>
      <c r="C409" s="47" t="s">
        <v>176</v>
      </c>
      <c r="D409" s="51">
        <f t="shared" si="35"/>
        <v>399.91489199999995</v>
      </c>
      <c r="E409" s="51">
        <v>0</v>
      </c>
      <c r="F409" s="51">
        <f t="shared" si="36"/>
        <v>599.8723379999999</v>
      </c>
      <c r="G409" s="181"/>
      <c r="H409" s="182"/>
      <c r="I409" s="37"/>
      <c r="K409" s="63">
        <f t="shared" si="30"/>
        <v>1799617.0139999997</v>
      </c>
    </row>
    <row r="410" spans="1:16" s="63" customFormat="1" x14ac:dyDescent="0.35">
      <c r="A410" s="170" t="s">
        <v>207</v>
      </c>
      <c r="B410" s="171"/>
      <c r="C410" s="171"/>
      <c r="D410" s="171"/>
      <c r="E410" s="171"/>
      <c r="F410" s="171"/>
      <c r="G410" s="171"/>
      <c r="H410" s="172"/>
      <c r="I410" s="37"/>
      <c r="K410" s="63">
        <f t="shared" si="30"/>
        <v>0</v>
      </c>
    </row>
    <row r="411" spans="1:16" s="63" customFormat="1" x14ac:dyDescent="0.35">
      <c r="A411" s="169" t="s">
        <v>169</v>
      </c>
      <c r="B411" s="169"/>
      <c r="C411" s="169"/>
      <c r="D411" s="169"/>
      <c r="E411" s="169"/>
      <c r="F411" s="169"/>
      <c r="G411" s="169"/>
      <c r="H411" s="169"/>
      <c r="J411" s="37"/>
      <c r="K411" s="63">
        <f t="shared" si="30"/>
        <v>0</v>
      </c>
    </row>
    <row r="412" spans="1:16" s="63" customFormat="1" ht="15.75" customHeight="1" x14ac:dyDescent="0.35">
      <c r="A412" s="169" t="s">
        <v>238</v>
      </c>
      <c r="B412" s="169"/>
      <c r="C412" s="169"/>
      <c r="D412" s="169"/>
      <c r="E412" s="169"/>
      <c r="F412" s="169"/>
      <c r="G412" s="169"/>
      <c r="H412" s="169"/>
      <c r="J412" s="37"/>
      <c r="K412" s="63">
        <f t="shared" si="30"/>
        <v>0</v>
      </c>
    </row>
    <row r="413" spans="1:16" s="63" customFormat="1" ht="15.75" customHeight="1" x14ac:dyDescent="0.35">
      <c r="A413" s="175">
        <v>1</v>
      </c>
      <c r="B413" s="175"/>
      <c r="C413" s="47" t="s">
        <v>176</v>
      </c>
      <c r="D413" s="51">
        <f>(30*10.764)</f>
        <v>322.91999999999996</v>
      </c>
      <c r="E413" s="51">
        <v>0</v>
      </c>
      <c r="F413" s="51">
        <f>D413*(($F$381)+1)+(IF(E413&lt;101,E413,IF(E413&lt;201,E413/2,IF(E413&lt;=301,E413/3,E413/4))))</f>
        <v>484.37999999999994</v>
      </c>
      <c r="G413" s="175" t="s">
        <v>113</v>
      </c>
      <c r="H413" s="175"/>
      <c r="J413" s="37"/>
      <c r="K413" s="63">
        <f t="shared" si="30"/>
        <v>1453139.9999999998</v>
      </c>
    </row>
    <row r="414" spans="1:16" s="63" customFormat="1" ht="15.75" customHeight="1" x14ac:dyDescent="0.35">
      <c r="A414" s="175">
        <v>2</v>
      </c>
      <c r="B414" s="175"/>
      <c r="C414" s="47" t="s">
        <v>176</v>
      </c>
      <c r="D414" s="51">
        <f t="shared" ref="D414:D416" si="37">(30*10.764)</f>
        <v>322.91999999999996</v>
      </c>
      <c r="E414" s="51">
        <v>0</v>
      </c>
      <c r="F414" s="51">
        <f>D414*(($F$381)+1)+(IF(E414&lt;101,E414,IF(E414&lt;201,E414/2,IF(E414&lt;=301,E414/3,E414/4))))</f>
        <v>484.37999999999994</v>
      </c>
      <c r="G414" s="175"/>
      <c r="H414" s="175"/>
      <c r="I414" s="37"/>
      <c r="K414" s="63">
        <f t="shared" si="30"/>
        <v>1453139.9999999998</v>
      </c>
      <c r="L414" s="174"/>
      <c r="M414" s="174"/>
      <c r="N414" s="37"/>
    </row>
    <row r="415" spans="1:16" s="63" customFormat="1" ht="15.75" customHeight="1" x14ac:dyDescent="0.35">
      <c r="A415" s="175">
        <v>3</v>
      </c>
      <c r="B415" s="175"/>
      <c r="C415" s="47" t="s">
        <v>176</v>
      </c>
      <c r="D415" s="51">
        <f t="shared" si="37"/>
        <v>322.91999999999996</v>
      </c>
      <c r="E415" s="51">
        <v>0</v>
      </c>
      <c r="F415" s="51">
        <f>D415*(($F$381)+1)+(IF(E415&lt;101,E415,IF(E415&lt;201,E415/2,IF(E415&lt;=301,E415/3,E415/4))))</f>
        <v>484.37999999999994</v>
      </c>
      <c r="G415" s="175"/>
      <c r="H415" s="175"/>
      <c r="I415" s="37"/>
      <c r="K415" s="63">
        <f t="shared" si="30"/>
        <v>1453139.9999999998</v>
      </c>
      <c r="L415" s="174"/>
      <c r="M415" s="174"/>
      <c r="N415" s="37"/>
    </row>
    <row r="416" spans="1:16" s="63" customFormat="1" ht="15.75" customHeight="1" x14ac:dyDescent="0.35">
      <c r="A416" s="175">
        <v>4</v>
      </c>
      <c r="B416" s="175"/>
      <c r="C416" s="47" t="s">
        <v>176</v>
      </c>
      <c r="D416" s="51">
        <f t="shared" si="37"/>
        <v>322.91999999999996</v>
      </c>
      <c r="E416" s="51">
        <v>0</v>
      </c>
      <c r="F416" s="51">
        <f>D416*(($F$381)+1)+(IF(E416&lt;101,E416,IF(E416&lt;201,E416/2,IF(E416&lt;=301,E416/3,E416/4))))</f>
        <v>484.37999999999994</v>
      </c>
      <c r="G416" s="175"/>
      <c r="H416" s="175"/>
      <c r="I416" s="37"/>
      <c r="K416" s="63">
        <f t="shared" si="30"/>
        <v>1453139.9999999998</v>
      </c>
      <c r="L416" s="174"/>
      <c r="M416" s="174"/>
      <c r="N416" s="37"/>
    </row>
    <row r="417" spans="1:16" s="63" customFormat="1" x14ac:dyDescent="0.35">
      <c r="A417" s="169" t="s">
        <v>179</v>
      </c>
      <c r="B417" s="169"/>
      <c r="C417" s="169"/>
      <c r="D417" s="169"/>
      <c r="E417" s="169"/>
      <c r="F417" s="169"/>
      <c r="G417" s="169"/>
      <c r="H417" s="169"/>
      <c r="I417" s="37"/>
      <c r="K417" s="63">
        <f t="shared" si="30"/>
        <v>0</v>
      </c>
      <c r="L417" s="174"/>
      <c r="M417" s="174"/>
      <c r="N417" s="37"/>
    </row>
    <row r="418" spans="1:16" s="63" customFormat="1" ht="15.75" customHeight="1" x14ac:dyDescent="0.35">
      <c r="A418" s="175">
        <v>1</v>
      </c>
      <c r="B418" s="175"/>
      <c r="C418" s="102" t="s">
        <v>176</v>
      </c>
      <c r="D418" s="101">
        <f t="shared" ref="D418:D423" si="38">(30+1.03*2.6+2.5*0.75+2.6*1)*10.764</f>
        <v>399.91489199999995</v>
      </c>
      <c r="E418" s="101">
        <v>0</v>
      </c>
      <c r="F418" s="101">
        <f t="shared" ref="F418:F423" si="39">D418*(($F$381)+1)+(IF(E418&lt;101,E418,IF(E418&lt;201,E418/2,IF(E418&lt;=301,E418/3,E418/4))))</f>
        <v>599.8723379999999</v>
      </c>
      <c r="G418" s="175" t="str">
        <f>A417</f>
        <v>1st to 7th Floor For Residential</v>
      </c>
      <c r="H418" s="175"/>
      <c r="I418" s="37"/>
      <c r="K418" s="63">
        <f t="shared" si="30"/>
        <v>1799617.0139999997</v>
      </c>
      <c r="P418" s="38"/>
    </row>
    <row r="419" spans="1:16" s="63" customFormat="1" ht="15.75" customHeight="1" x14ac:dyDescent="0.35">
      <c r="A419" s="175">
        <v>2</v>
      </c>
      <c r="B419" s="175"/>
      <c r="C419" s="102" t="s">
        <v>176</v>
      </c>
      <c r="D419" s="101">
        <f t="shared" si="38"/>
        <v>399.91489199999995</v>
      </c>
      <c r="E419" s="101">
        <v>0</v>
      </c>
      <c r="F419" s="101">
        <f t="shared" si="39"/>
        <v>599.8723379999999</v>
      </c>
      <c r="G419" s="175"/>
      <c r="H419" s="175"/>
      <c r="I419" s="37"/>
      <c r="K419" s="63">
        <f t="shared" si="30"/>
        <v>1799617.0139999997</v>
      </c>
    </row>
    <row r="420" spans="1:16" s="63" customFormat="1" ht="15.75" customHeight="1" x14ac:dyDescent="0.35">
      <c r="A420" s="175">
        <v>3</v>
      </c>
      <c r="B420" s="175"/>
      <c r="C420" s="102" t="s">
        <v>176</v>
      </c>
      <c r="D420" s="101">
        <f t="shared" si="38"/>
        <v>399.91489199999995</v>
      </c>
      <c r="E420" s="101">
        <v>0</v>
      </c>
      <c r="F420" s="101">
        <f t="shared" si="39"/>
        <v>599.8723379999999</v>
      </c>
      <c r="G420" s="175"/>
      <c r="H420" s="175"/>
      <c r="I420" s="37"/>
      <c r="K420" s="63">
        <f t="shared" si="30"/>
        <v>1799617.0139999997</v>
      </c>
    </row>
    <row r="421" spans="1:16" s="63" customFormat="1" ht="15.75" customHeight="1" x14ac:dyDescent="0.35">
      <c r="A421" s="175">
        <v>4</v>
      </c>
      <c r="B421" s="175"/>
      <c r="C421" s="102" t="s">
        <v>176</v>
      </c>
      <c r="D421" s="101">
        <f t="shared" si="38"/>
        <v>399.91489199999995</v>
      </c>
      <c r="E421" s="101">
        <v>0</v>
      </c>
      <c r="F421" s="101">
        <f t="shared" si="39"/>
        <v>599.8723379999999</v>
      </c>
      <c r="G421" s="175"/>
      <c r="H421" s="175"/>
      <c r="I421" s="37"/>
      <c r="K421" s="63">
        <f t="shared" si="30"/>
        <v>1799617.0139999997</v>
      </c>
    </row>
    <row r="422" spans="1:16" s="63" customFormat="1" ht="15.75" customHeight="1" x14ac:dyDescent="0.35">
      <c r="A422" s="175">
        <v>5</v>
      </c>
      <c r="B422" s="175"/>
      <c r="C422" s="102" t="s">
        <v>176</v>
      </c>
      <c r="D422" s="101">
        <f t="shared" si="38"/>
        <v>399.91489199999995</v>
      </c>
      <c r="E422" s="101">
        <v>0</v>
      </c>
      <c r="F422" s="101">
        <f t="shared" si="39"/>
        <v>599.8723379999999</v>
      </c>
      <c r="G422" s="175"/>
      <c r="H422" s="175"/>
      <c r="I422" s="37"/>
      <c r="K422" s="63">
        <f t="shared" si="30"/>
        <v>1799617.0139999997</v>
      </c>
    </row>
    <row r="423" spans="1:16" s="63" customFormat="1" ht="15.75" customHeight="1" x14ac:dyDescent="0.35">
      <c r="A423" s="175">
        <v>6</v>
      </c>
      <c r="B423" s="175"/>
      <c r="C423" s="102" t="s">
        <v>176</v>
      </c>
      <c r="D423" s="101">
        <f t="shared" si="38"/>
        <v>399.91489199999995</v>
      </c>
      <c r="E423" s="101">
        <v>0</v>
      </c>
      <c r="F423" s="101">
        <f t="shared" si="39"/>
        <v>599.8723379999999</v>
      </c>
      <c r="G423" s="175"/>
      <c r="H423" s="175"/>
      <c r="I423" s="37"/>
      <c r="K423" s="63">
        <f t="shared" si="30"/>
        <v>1799617.0139999997</v>
      </c>
    </row>
    <row r="424" spans="1:16" s="63" customFormat="1" x14ac:dyDescent="0.35">
      <c r="A424" s="170" t="s">
        <v>170</v>
      </c>
      <c r="B424" s="171"/>
      <c r="C424" s="171"/>
      <c r="D424" s="171"/>
      <c r="E424" s="171"/>
      <c r="F424" s="171"/>
      <c r="G424" s="171"/>
      <c r="H424" s="172"/>
      <c r="I424" s="37"/>
      <c r="K424" s="63">
        <f t="shared" si="30"/>
        <v>0</v>
      </c>
    </row>
    <row r="425" spans="1:16" s="63" customFormat="1" ht="15.75" customHeight="1" x14ac:dyDescent="0.35">
      <c r="A425" s="170" t="s">
        <v>239</v>
      </c>
      <c r="B425" s="171"/>
      <c r="C425" s="171"/>
      <c r="D425" s="171"/>
      <c r="E425" s="171"/>
      <c r="F425" s="171"/>
      <c r="G425" s="171"/>
      <c r="H425" s="172"/>
      <c r="J425" s="37"/>
      <c r="K425" s="63">
        <f t="shared" si="30"/>
        <v>0</v>
      </c>
    </row>
    <row r="426" spans="1:16" s="63" customFormat="1" ht="15.75" customHeight="1" x14ac:dyDescent="0.35">
      <c r="A426" s="164">
        <v>1</v>
      </c>
      <c r="B426" s="165"/>
      <c r="C426" s="47" t="s">
        <v>176</v>
      </c>
      <c r="D426" s="51">
        <f>(30*10.764)</f>
        <v>322.91999999999996</v>
      </c>
      <c r="E426" s="51">
        <v>0</v>
      </c>
      <c r="F426" s="51">
        <f>D426*(($F$381)+1)+(IF(E426&lt;101,E426,IF(E426&lt;201,E426/2,IF(E426&lt;=301,E426/3,E426/4))))</f>
        <v>484.37999999999994</v>
      </c>
      <c r="G426" s="177" t="s">
        <v>113</v>
      </c>
      <c r="H426" s="178"/>
      <c r="J426" s="37"/>
      <c r="K426" s="63">
        <f t="shared" si="30"/>
        <v>1453139.9999999998</v>
      </c>
    </row>
    <row r="427" spans="1:16" s="63" customFormat="1" ht="15.75" customHeight="1" x14ac:dyDescent="0.35">
      <c r="A427" s="164">
        <v>2</v>
      </c>
      <c r="B427" s="165"/>
      <c r="C427" s="47" t="s">
        <v>176</v>
      </c>
      <c r="D427" s="51">
        <f t="shared" ref="D427:D429" si="40">(30*10.764)</f>
        <v>322.91999999999996</v>
      </c>
      <c r="E427" s="51">
        <v>0</v>
      </c>
      <c r="F427" s="51">
        <f>D427*(($F$381)+1)+(IF(E427&lt;101,E427,IF(E427&lt;201,E427/2,IF(E427&lt;=301,E427/3,E427/4))))</f>
        <v>484.37999999999994</v>
      </c>
      <c r="G427" s="179"/>
      <c r="H427" s="180"/>
      <c r="I427" s="37"/>
      <c r="K427" s="63">
        <f t="shared" si="30"/>
        <v>1453139.9999999998</v>
      </c>
      <c r="L427" s="174"/>
      <c r="M427" s="174"/>
      <c r="N427" s="37"/>
    </row>
    <row r="428" spans="1:16" s="63" customFormat="1" ht="15.75" customHeight="1" x14ac:dyDescent="0.35">
      <c r="A428" s="164">
        <v>3</v>
      </c>
      <c r="B428" s="165"/>
      <c r="C428" s="47" t="s">
        <v>176</v>
      </c>
      <c r="D428" s="51">
        <f t="shared" si="40"/>
        <v>322.91999999999996</v>
      </c>
      <c r="E428" s="51">
        <v>0</v>
      </c>
      <c r="F428" s="51">
        <f>D428*(($F$381)+1)+(IF(E428&lt;101,E428,IF(E428&lt;201,E428/2,IF(E428&lt;=301,E428/3,E428/4))))</f>
        <v>484.37999999999994</v>
      </c>
      <c r="G428" s="179"/>
      <c r="H428" s="180"/>
      <c r="I428" s="37"/>
      <c r="K428" s="63">
        <f t="shared" si="30"/>
        <v>1453139.9999999998</v>
      </c>
      <c r="L428" s="174"/>
      <c r="M428" s="174"/>
      <c r="N428" s="37"/>
    </row>
    <row r="429" spans="1:16" s="63" customFormat="1" ht="15.75" customHeight="1" x14ac:dyDescent="0.35">
      <c r="A429" s="164">
        <v>4</v>
      </c>
      <c r="B429" s="165"/>
      <c r="C429" s="47" t="s">
        <v>176</v>
      </c>
      <c r="D429" s="51">
        <f t="shared" si="40"/>
        <v>322.91999999999996</v>
      </c>
      <c r="E429" s="51">
        <v>0</v>
      </c>
      <c r="F429" s="51">
        <f>D429*(($F$381)+1)+(IF(E429&lt;101,E429,IF(E429&lt;201,E429/2,IF(E429&lt;=301,E429/3,E429/4))))</f>
        <v>484.37999999999994</v>
      </c>
      <c r="G429" s="181"/>
      <c r="H429" s="182"/>
      <c r="I429" s="37"/>
      <c r="K429" s="63">
        <f t="shared" si="30"/>
        <v>1453139.9999999998</v>
      </c>
      <c r="L429" s="174"/>
      <c r="M429" s="174"/>
      <c r="N429" s="37"/>
    </row>
    <row r="430" spans="1:16" s="63" customFormat="1" x14ac:dyDescent="0.35">
      <c r="A430" s="170" t="s">
        <v>179</v>
      </c>
      <c r="B430" s="171"/>
      <c r="C430" s="171"/>
      <c r="D430" s="171"/>
      <c r="E430" s="171"/>
      <c r="F430" s="171"/>
      <c r="G430" s="171"/>
      <c r="H430" s="172"/>
      <c r="I430" s="37"/>
      <c r="K430" s="63">
        <f t="shared" si="30"/>
        <v>0</v>
      </c>
      <c r="L430" s="174"/>
      <c r="M430" s="174"/>
      <c r="N430" s="37"/>
    </row>
    <row r="431" spans="1:16" s="63" customFormat="1" ht="15.75" customHeight="1" x14ac:dyDescent="0.35">
      <c r="A431" s="164">
        <v>1</v>
      </c>
      <c r="B431" s="165"/>
      <c r="C431" s="47" t="s">
        <v>176</v>
      </c>
      <c r="D431" s="51">
        <f t="shared" ref="D431:D436" si="41">(30+1.03*2.6+2.5*0.75+2.6*1)*10.764</f>
        <v>399.91489199999995</v>
      </c>
      <c r="E431" s="51">
        <v>0</v>
      </c>
      <c r="F431" s="51">
        <f t="shared" ref="F431:F436" si="42">D431*(($F$381)+1)+(IF(E431&lt;101,E431,IF(E431&lt;201,E431/2,IF(E431&lt;=301,E431/3,E431/4))))</f>
        <v>599.8723379999999</v>
      </c>
      <c r="G431" s="177" t="str">
        <f>A430</f>
        <v>1st to 7th Floor For Residential</v>
      </c>
      <c r="H431" s="178"/>
      <c r="I431" s="37"/>
      <c r="K431" s="63">
        <f t="shared" si="30"/>
        <v>1799617.0139999997</v>
      </c>
      <c r="P431" s="38"/>
    </row>
    <row r="432" spans="1:16" s="63" customFormat="1" ht="15.75" customHeight="1" x14ac:dyDescent="0.35">
      <c r="A432" s="164">
        <v>2</v>
      </c>
      <c r="B432" s="165"/>
      <c r="C432" s="47" t="s">
        <v>176</v>
      </c>
      <c r="D432" s="51">
        <f t="shared" si="41"/>
        <v>399.91489199999995</v>
      </c>
      <c r="E432" s="51">
        <v>0</v>
      </c>
      <c r="F432" s="51">
        <f t="shared" si="42"/>
        <v>599.8723379999999</v>
      </c>
      <c r="G432" s="179"/>
      <c r="H432" s="180"/>
      <c r="I432" s="37"/>
      <c r="K432" s="63">
        <f t="shared" si="30"/>
        <v>1799617.0139999997</v>
      </c>
    </row>
    <row r="433" spans="1:16" s="63" customFormat="1" ht="15.75" customHeight="1" x14ac:dyDescent="0.35">
      <c r="A433" s="164">
        <v>3</v>
      </c>
      <c r="B433" s="165"/>
      <c r="C433" s="47" t="s">
        <v>176</v>
      </c>
      <c r="D433" s="51">
        <f t="shared" si="41"/>
        <v>399.91489199999995</v>
      </c>
      <c r="E433" s="51">
        <v>0</v>
      </c>
      <c r="F433" s="51">
        <f t="shared" si="42"/>
        <v>599.8723379999999</v>
      </c>
      <c r="G433" s="179"/>
      <c r="H433" s="180"/>
      <c r="I433" s="37"/>
      <c r="K433" s="63">
        <f t="shared" si="30"/>
        <v>1799617.0139999997</v>
      </c>
    </row>
    <row r="434" spans="1:16" s="63" customFormat="1" ht="15.75" customHeight="1" x14ac:dyDescent="0.35">
      <c r="A434" s="164">
        <v>4</v>
      </c>
      <c r="B434" s="165"/>
      <c r="C434" s="47" t="s">
        <v>176</v>
      </c>
      <c r="D434" s="51">
        <f t="shared" si="41"/>
        <v>399.91489199999995</v>
      </c>
      <c r="E434" s="51">
        <v>0</v>
      </c>
      <c r="F434" s="51">
        <f t="shared" si="42"/>
        <v>599.8723379999999</v>
      </c>
      <c r="G434" s="179"/>
      <c r="H434" s="180"/>
      <c r="I434" s="37"/>
      <c r="K434" s="63">
        <f t="shared" si="30"/>
        <v>1799617.0139999997</v>
      </c>
    </row>
    <row r="435" spans="1:16" s="63" customFormat="1" ht="15.75" customHeight="1" x14ac:dyDescent="0.35">
      <c r="A435" s="164">
        <v>5</v>
      </c>
      <c r="B435" s="165"/>
      <c r="C435" s="47" t="s">
        <v>176</v>
      </c>
      <c r="D435" s="51">
        <f t="shared" si="41"/>
        <v>399.91489199999995</v>
      </c>
      <c r="E435" s="51">
        <v>0</v>
      </c>
      <c r="F435" s="51">
        <f t="shared" si="42"/>
        <v>599.8723379999999</v>
      </c>
      <c r="G435" s="179"/>
      <c r="H435" s="180"/>
      <c r="I435" s="37"/>
      <c r="K435" s="63">
        <f t="shared" si="30"/>
        <v>1799617.0139999997</v>
      </c>
    </row>
    <row r="436" spans="1:16" s="63" customFormat="1" ht="15.75" customHeight="1" x14ac:dyDescent="0.35">
      <c r="A436" s="164">
        <v>6</v>
      </c>
      <c r="B436" s="165"/>
      <c r="C436" s="47" t="s">
        <v>176</v>
      </c>
      <c r="D436" s="51">
        <f t="shared" si="41"/>
        <v>399.91489199999995</v>
      </c>
      <c r="E436" s="51">
        <v>0</v>
      </c>
      <c r="F436" s="51">
        <f t="shared" si="42"/>
        <v>599.8723379999999</v>
      </c>
      <c r="G436" s="181"/>
      <c r="H436" s="182"/>
      <c r="I436" s="37"/>
      <c r="K436" s="63">
        <f t="shared" si="30"/>
        <v>1799617.0139999997</v>
      </c>
    </row>
    <row r="437" spans="1:16" s="63" customFormat="1" x14ac:dyDescent="0.35">
      <c r="A437" s="170" t="s">
        <v>208</v>
      </c>
      <c r="B437" s="171"/>
      <c r="C437" s="171"/>
      <c r="D437" s="171"/>
      <c r="E437" s="171"/>
      <c r="F437" s="171"/>
      <c r="G437" s="171"/>
      <c r="H437" s="172"/>
      <c r="I437" s="37"/>
      <c r="K437" s="63">
        <f t="shared" si="30"/>
        <v>0</v>
      </c>
    </row>
    <row r="438" spans="1:16" s="63" customFormat="1" x14ac:dyDescent="0.35">
      <c r="A438" s="170" t="s">
        <v>169</v>
      </c>
      <c r="B438" s="171"/>
      <c r="C438" s="171"/>
      <c r="D438" s="171"/>
      <c r="E438" s="171"/>
      <c r="F438" s="171"/>
      <c r="G438" s="171"/>
      <c r="H438" s="172"/>
      <c r="J438" s="37"/>
      <c r="K438" s="63">
        <f t="shared" si="30"/>
        <v>0</v>
      </c>
    </row>
    <row r="439" spans="1:16" s="63" customFormat="1" ht="15.75" customHeight="1" x14ac:dyDescent="0.35">
      <c r="A439" s="170" t="s">
        <v>238</v>
      </c>
      <c r="B439" s="171"/>
      <c r="C439" s="171"/>
      <c r="D439" s="171"/>
      <c r="E439" s="171"/>
      <c r="F439" s="171"/>
      <c r="G439" s="171"/>
      <c r="H439" s="172"/>
      <c r="J439" s="37"/>
      <c r="K439" s="63">
        <f t="shared" si="30"/>
        <v>0</v>
      </c>
    </row>
    <row r="440" spans="1:16" s="63" customFormat="1" ht="15.75" customHeight="1" x14ac:dyDescent="0.35">
      <c r="A440" s="164">
        <v>1</v>
      </c>
      <c r="B440" s="165"/>
      <c r="C440" s="47" t="s">
        <v>176</v>
      </c>
      <c r="D440" s="51">
        <f>(30*10.764)</f>
        <v>322.91999999999996</v>
      </c>
      <c r="E440" s="51">
        <v>0</v>
      </c>
      <c r="F440" s="51">
        <f>D440*(($F$381)+1)+(IF(E440&lt;101,E440,IF(E440&lt;201,E440/2,IF(E440&lt;=301,E440/3,E440/4))))</f>
        <v>484.37999999999994</v>
      </c>
      <c r="G440" s="177" t="str">
        <f>A439</f>
        <v>Ground Floor For Residential, Drivers Room &amp; Parking</v>
      </c>
      <c r="H440" s="178"/>
      <c r="J440" s="37"/>
      <c r="K440" s="63">
        <f t="shared" si="30"/>
        <v>1453139.9999999998</v>
      </c>
    </row>
    <row r="441" spans="1:16" s="63" customFormat="1" ht="15.75" customHeight="1" x14ac:dyDescent="0.35">
      <c r="A441" s="164">
        <v>2</v>
      </c>
      <c r="B441" s="165"/>
      <c r="C441" s="47" t="s">
        <v>176</v>
      </c>
      <c r="D441" s="51">
        <f t="shared" ref="D441:D443" si="43">(30*10.764)</f>
        <v>322.91999999999996</v>
      </c>
      <c r="E441" s="51">
        <v>0</v>
      </c>
      <c r="F441" s="51">
        <f>D441*(($F$381)+1)+(IF(E441&lt;101,E441,IF(E441&lt;201,E441/2,IF(E441&lt;=301,E441/3,E441/4))))</f>
        <v>484.37999999999994</v>
      </c>
      <c r="G441" s="179"/>
      <c r="H441" s="180"/>
      <c r="I441" s="37"/>
      <c r="K441" s="63">
        <f t="shared" si="30"/>
        <v>1453139.9999999998</v>
      </c>
      <c r="L441" s="174"/>
      <c r="M441" s="174"/>
      <c r="N441" s="37"/>
    </row>
    <row r="442" spans="1:16" s="63" customFormat="1" ht="15.75" customHeight="1" x14ac:dyDescent="0.35">
      <c r="A442" s="164">
        <v>3</v>
      </c>
      <c r="B442" s="165"/>
      <c r="C442" s="47" t="s">
        <v>176</v>
      </c>
      <c r="D442" s="51">
        <f t="shared" si="43"/>
        <v>322.91999999999996</v>
      </c>
      <c r="E442" s="51">
        <v>0</v>
      </c>
      <c r="F442" s="51">
        <f>D442*(($F$381)+1)+(IF(E442&lt;101,E442,IF(E442&lt;201,E442/2,IF(E442&lt;=301,E442/3,E442/4))))</f>
        <v>484.37999999999994</v>
      </c>
      <c r="G442" s="179"/>
      <c r="H442" s="180"/>
      <c r="I442" s="37"/>
      <c r="K442" s="63">
        <f t="shared" si="30"/>
        <v>1453139.9999999998</v>
      </c>
      <c r="L442" s="174"/>
      <c r="M442" s="174"/>
      <c r="N442" s="37"/>
    </row>
    <row r="443" spans="1:16" s="63" customFormat="1" ht="15.75" customHeight="1" x14ac:dyDescent="0.35">
      <c r="A443" s="164">
        <v>4</v>
      </c>
      <c r="B443" s="165"/>
      <c r="C443" s="47" t="s">
        <v>176</v>
      </c>
      <c r="D443" s="51">
        <f t="shared" si="43"/>
        <v>322.91999999999996</v>
      </c>
      <c r="E443" s="51">
        <v>0</v>
      </c>
      <c r="F443" s="51">
        <f>D443*(($F$381)+1)+(IF(E443&lt;101,E443,IF(E443&lt;201,E443/2,IF(E443&lt;=301,E443/3,E443/4))))</f>
        <v>484.37999999999994</v>
      </c>
      <c r="G443" s="181"/>
      <c r="H443" s="182"/>
      <c r="I443" s="37"/>
      <c r="K443" s="63">
        <f t="shared" si="30"/>
        <v>1453139.9999999998</v>
      </c>
      <c r="L443" s="174"/>
      <c r="M443" s="174"/>
      <c r="N443" s="37"/>
    </row>
    <row r="444" spans="1:16" s="63" customFormat="1" x14ac:dyDescent="0.35">
      <c r="A444" s="170" t="s">
        <v>179</v>
      </c>
      <c r="B444" s="171"/>
      <c r="C444" s="171"/>
      <c r="D444" s="171"/>
      <c r="E444" s="171"/>
      <c r="F444" s="171"/>
      <c r="G444" s="171"/>
      <c r="H444" s="172"/>
      <c r="I444" s="37"/>
      <c r="K444" s="63">
        <f t="shared" si="30"/>
        <v>0</v>
      </c>
      <c r="L444" s="174"/>
      <c r="M444" s="174"/>
      <c r="N444" s="37"/>
    </row>
    <row r="445" spans="1:16" s="63" customFormat="1" ht="15.75" customHeight="1" x14ac:dyDescent="0.35">
      <c r="A445" s="164">
        <v>1</v>
      </c>
      <c r="B445" s="165"/>
      <c r="C445" s="47" t="s">
        <v>176</v>
      </c>
      <c r="D445" s="51">
        <f t="shared" ref="D445:D450" si="44">(30+1.03*2.6+2.5*0.75+2.6*1)*10.764</f>
        <v>399.91489199999995</v>
      </c>
      <c r="E445" s="51">
        <v>0</v>
      </c>
      <c r="F445" s="51">
        <f t="shared" ref="F445:F450" si="45">D445*(($F$381)+1)+(IF(E445&lt;101,E445,IF(E445&lt;201,E445/2,IF(E445&lt;=301,E445/3,E445/4))))</f>
        <v>599.8723379999999</v>
      </c>
      <c r="G445" s="177" t="str">
        <f>A444</f>
        <v>1st to 7th Floor For Residential</v>
      </c>
      <c r="H445" s="178"/>
      <c r="I445" s="37"/>
      <c r="K445" s="63">
        <f>3000*F445</f>
        <v>1799617.0139999997</v>
      </c>
      <c r="P445" s="38"/>
    </row>
    <row r="446" spans="1:16" s="63" customFormat="1" ht="15.75" customHeight="1" x14ac:dyDescent="0.35">
      <c r="A446" s="164">
        <v>2</v>
      </c>
      <c r="B446" s="165"/>
      <c r="C446" s="47" t="s">
        <v>176</v>
      </c>
      <c r="D446" s="51">
        <f t="shared" si="44"/>
        <v>399.91489199999995</v>
      </c>
      <c r="E446" s="51">
        <v>0</v>
      </c>
      <c r="F446" s="51">
        <f t="shared" si="45"/>
        <v>599.8723379999999</v>
      </c>
      <c r="G446" s="179"/>
      <c r="H446" s="180"/>
      <c r="I446" s="37"/>
      <c r="K446" s="63">
        <f t="shared" si="30"/>
        <v>1799617.0139999997</v>
      </c>
    </row>
    <row r="447" spans="1:16" s="63" customFormat="1" ht="15.75" customHeight="1" x14ac:dyDescent="0.35">
      <c r="A447" s="164">
        <v>3</v>
      </c>
      <c r="B447" s="165"/>
      <c r="C447" s="47" t="s">
        <v>176</v>
      </c>
      <c r="D447" s="51">
        <f t="shared" si="44"/>
        <v>399.91489199999995</v>
      </c>
      <c r="E447" s="51">
        <v>0</v>
      </c>
      <c r="F447" s="51">
        <f t="shared" si="45"/>
        <v>599.8723379999999</v>
      </c>
      <c r="G447" s="179"/>
      <c r="H447" s="180"/>
      <c r="I447" s="37"/>
      <c r="K447" s="63">
        <f t="shared" si="30"/>
        <v>1799617.0139999997</v>
      </c>
    </row>
    <row r="448" spans="1:16" s="63" customFormat="1" ht="15.75" customHeight="1" x14ac:dyDescent="0.35">
      <c r="A448" s="164">
        <v>4</v>
      </c>
      <c r="B448" s="165"/>
      <c r="C448" s="47" t="s">
        <v>176</v>
      </c>
      <c r="D448" s="51">
        <f t="shared" si="44"/>
        <v>399.91489199999995</v>
      </c>
      <c r="E448" s="51">
        <v>0</v>
      </c>
      <c r="F448" s="51">
        <f t="shared" si="45"/>
        <v>599.8723379999999</v>
      </c>
      <c r="G448" s="179"/>
      <c r="H448" s="180"/>
      <c r="I448" s="37"/>
      <c r="K448" s="63">
        <f t="shared" si="30"/>
        <v>1799617.0139999997</v>
      </c>
    </row>
    <row r="449" spans="1:16" s="63" customFormat="1" ht="15.75" customHeight="1" x14ac:dyDescent="0.35">
      <c r="A449" s="164">
        <v>5</v>
      </c>
      <c r="B449" s="165"/>
      <c r="C449" s="47" t="s">
        <v>176</v>
      </c>
      <c r="D449" s="51">
        <f t="shared" si="44"/>
        <v>399.91489199999995</v>
      </c>
      <c r="E449" s="51">
        <v>0</v>
      </c>
      <c r="F449" s="51">
        <f t="shared" si="45"/>
        <v>599.8723379999999</v>
      </c>
      <c r="G449" s="179"/>
      <c r="H449" s="180"/>
      <c r="I449" s="37"/>
    </row>
    <row r="450" spans="1:16" s="63" customFormat="1" x14ac:dyDescent="0.35">
      <c r="A450" s="164">
        <v>6</v>
      </c>
      <c r="B450" s="165"/>
      <c r="C450" s="47" t="s">
        <v>176</v>
      </c>
      <c r="D450" s="51">
        <f t="shared" si="44"/>
        <v>399.91489199999995</v>
      </c>
      <c r="E450" s="51">
        <v>0</v>
      </c>
      <c r="F450" s="51">
        <f t="shared" si="45"/>
        <v>599.8723379999999</v>
      </c>
      <c r="G450" s="181"/>
      <c r="H450" s="182"/>
      <c r="I450" s="37"/>
    </row>
    <row r="451" spans="1:16" s="63" customFormat="1" x14ac:dyDescent="0.35">
      <c r="A451" s="170" t="s">
        <v>170</v>
      </c>
      <c r="B451" s="171"/>
      <c r="C451" s="171"/>
      <c r="D451" s="171"/>
      <c r="E451" s="171"/>
      <c r="F451" s="171"/>
      <c r="G451" s="171"/>
      <c r="H451" s="172"/>
      <c r="I451" s="37"/>
    </row>
    <row r="452" spans="1:16" s="63" customFormat="1" ht="15.75" customHeight="1" x14ac:dyDescent="0.35">
      <c r="A452" s="170" t="s">
        <v>239</v>
      </c>
      <c r="B452" s="171"/>
      <c r="C452" s="171"/>
      <c r="D452" s="171"/>
      <c r="E452" s="171"/>
      <c r="F452" s="171"/>
      <c r="G452" s="171"/>
      <c r="H452" s="172"/>
      <c r="J452" s="37"/>
    </row>
    <row r="453" spans="1:16" s="63" customFormat="1" ht="15.75" customHeight="1" x14ac:dyDescent="0.35">
      <c r="A453" s="164">
        <v>1</v>
      </c>
      <c r="B453" s="165"/>
      <c r="C453" s="47" t="s">
        <v>176</v>
      </c>
      <c r="D453" s="51">
        <f>(30*10.764)</f>
        <v>322.91999999999996</v>
      </c>
      <c r="E453" s="51">
        <v>0</v>
      </c>
      <c r="F453" s="51">
        <f>D453*(($F$381)+1)+(IF(E453&lt;101,E453,IF(E453&lt;201,E453/2,IF(E453&lt;=301,E453/3,E453/4))))</f>
        <v>484.37999999999994</v>
      </c>
      <c r="G453" s="177" t="str">
        <f>A452</f>
        <v>Ground Floor For Residential, Society Office &amp; Parking</v>
      </c>
      <c r="H453" s="178"/>
      <c r="J453" s="37"/>
    </row>
    <row r="454" spans="1:16" s="63" customFormat="1" ht="15.75" customHeight="1" x14ac:dyDescent="0.35">
      <c r="A454" s="164">
        <v>2</v>
      </c>
      <c r="B454" s="165"/>
      <c r="C454" s="47" t="s">
        <v>176</v>
      </c>
      <c r="D454" s="51">
        <f t="shared" ref="D454:D456" si="46">(30*10.764)</f>
        <v>322.91999999999996</v>
      </c>
      <c r="E454" s="51">
        <v>0</v>
      </c>
      <c r="F454" s="51">
        <f>D454*(($F$381)+1)+(IF(E454&lt;101,E454,IF(E454&lt;201,E454/2,IF(E454&lt;=301,E454/3,E454/4))))</f>
        <v>484.37999999999994</v>
      </c>
      <c r="G454" s="179"/>
      <c r="H454" s="180"/>
      <c r="I454" s="37"/>
      <c r="L454" s="174"/>
      <c r="M454" s="174"/>
      <c r="N454" s="37"/>
    </row>
    <row r="455" spans="1:16" s="63" customFormat="1" ht="15.75" customHeight="1" x14ac:dyDescent="0.35">
      <c r="A455" s="164">
        <v>3</v>
      </c>
      <c r="B455" s="165"/>
      <c r="C455" s="47" t="s">
        <v>176</v>
      </c>
      <c r="D455" s="51">
        <f t="shared" si="46"/>
        <v>322.91999999999996</v>
      </c>
      <c r="E455" s="51">
        <v>0</v>
      </c>
      <c r="F455" s="51">
        <f>D455*(($F$381)+1)+(IF(E455&lt;101,E455,IF(E455&lt;201,E455/2,IF(E455&lt;=301,E455/3,E455/4))))</f>
        <v>484.37999999999994</v>
      </c>
      <c r="G455" s="179"/>
      <c r="H455" s="180"/>
      <c r="I455" s="37"/>
      <c r="L455" s="174"/>
      <c r="M455" s="174"/>
      <c r="N455" s="37"/>
    </row>
    <row r="456" spans="1:16" s="63" customFormat="1" ht="15.75" customHeight="1" x14ac:dyDescent="0.35">
      <c r="A456" s="164">
        <v>4</v>
      </c>
      <c r="B456" s="165"/>
      <c r="C456" s="47" t="s">
        <v>176</v>
      </c>
      <c r="D456" s="51">
        <f t="shared" si="46"/>
        <v>322.91999999999996</v>
      </c>
      <c r="E456" s="51">
        <v>0</v>
      </c>
      <c r="F456" s="51">
        <f>D456*(($F$381)+1)+(IF(E456&lt;101,E456,IF(E456&lt;201,E456/2,IF(E456&lt;=301,E456/3,E456/4))))</f>
        <v>484.37999999999994</v>
      </c>
      <c r="G456" s="181"/>
      <c r="H456" s="182"/>
      <c r="I456" s="37"/>
      <c r="L456" s="174"/>
      <c r="M456" s="174"/>
      <c r="N456" s="37"/>
    </row>
    <row r="457" spans="1:16" s="63" customFormat="1" x14ac:dyDescent="0.35">
      <c r="A457" s="169" t="s">
        <v>179</v>
      </c>
      <c r="B457" s="169"/>
      <c r="C457" s="169"/>
      <c r="D457" s="169"/>
      <c r="E457" s="169"/>
      <c r="F457" s="169"/>
      <c r="G457" s="169"/>
      <c r="H457" s="169"/>
      <c r="I457" s="37"/>
      <c r="L457" s="174"/>
      <c r="M457" s="174"/>
      <c r="N457" s="37"/>
    </row>
    <row r="458" spans="1:16" s="63" customFormat="1" ht="15.75" customHeight="1" x14ac:dyDescent="0.35">
      <c r="A458" s="175">
        <v>1</v>
      </c>
      <c r="B458" s="175"/>
      <c r="C458" s="102" t="s">
        <v>176</v>
      </c>
      <c r="D458" s="101">
        <f t="shared" ref="D458:D463" si="47">(30+1.03*2.6+2.5*0.75+2.6*1)*10.764</f>
        <v>399.91489199999995</v>
      </c>
      <c r="E458" s="101">
        <v>0</v>
      </c>
      <c r="F458" s="101">
        <f t="shared" ref="F458:F463" si="48">D458*(($F$381)+1)+(IF(E458&lt;101,E458,IF(E458&lt;201,E458/2,IF(E458&lt;=301,E458/3,E458/4))))</f>
        <v>599.8723379999999</v>
      </c>
      <c r="G458" s="175" t="str">
        <f>A457</f>
        <v>1st to 7th Floor For Residential</v>
      </c>
      <c r="H458" s="175"/>
      <c r="I458" s="37"/>
      <c r="P458" s="38"/>
    </row>
    <row r="459" spans="1:16" s="63" customFormat="1" ht="15.75" customHeight="1" x14ac:dyDescent="0.35">
      <c r="A459" s="175">
        <v>2</v>
      </c>
      <c r="B459" s="175"/>
      <c r="C459" s="102" t="s">
        <v>176</v>
      </c>
      <c r="D459" s="101">
        <f t="shared" si="47"/>
        <v>399.91489199999995</v>
      </c>
      <c r="E459" s="101">
        <v>0</v>
      </c>
      <c r="F459" s="101">
        <f t="shared" si="48"/>
        <v>599.8723379999999</v>
      </c>
      <c r="G459" s="175"/>
      <c r="H459" s="175"/>
      <c r="I459" s="37"/>
    </row>
    <row r="460" spans="1:16" s="63" customFormat="1" ht="15.75" customHeight="1" x14ac:dyDescent="0.35">
      <c r="A460" s="175">
        <v>3</v>
      </c>
      <c r="B460" s="175"/>
      <c r="C460" s="102" t="s">
        <v>176</v>
      </c>
      <c r="D460" s="101">
        <f t="shared" si="47"/>
        <v>399.91489199999995</v>
      </c>
      <c r="E460" s="101">
        <v>0</v>
      </c>
      <c r="F460" s="101">
        <f t="shared" si="48"/>
        <v>599.8723379999999</v>
      </c>
      <c r="G460" s="175"/>
      <c r="H460" s="175"/>
      <c r="I460" s="37"/>
    </row>
    <row r="461" spans="1:16" s="63" customFormat="1" ht="15.75" customHeight="1" x14ac:dyDescent="0.35">
      <c r="A461" s="175">
        <v>4</v>
      </c>
      <c r="B461" s="175"/>
      <c r="C461" s="102" t="s">
        <v>176</v>
      </c>
      <c r="D461" s="101">
        <f t="shared" si="47"/>
        <v>399.91489199999995</v>
      </c>
      <c r="E461" s="101">
        <v>0</v>
      </c>
      <c r="F461" s="101">
        <f t="shared" si="48"/>
        <v>599.8723379999999</v>
      </c>
      <c r="G461" s="175"/>
      <c r="H461" s="175"/>
      <c r="I461" s="37"/>
    </row>
    <row r="462" spans="1:16" s="63" customFormat="1" ht="15.75" customHeight="1" x14ac:dyDescent="0.35">
      <c r="A462" s="175">
        <v>5</v>
      </c>
      <c r="B462" s="175"/>
      <c r="C462" s="102" t="s">
        <v>176</v>
      </c>
      <c r="D462" s="101">
        <f t="shared" si="47"/>
        <v>399.91489199999995</v>
      </c>
      <c r="E462" s="101">
        <v>0</v>
      </c>
      <c r="F462" s="101">
        <f t="shared" si="48"/>
        <v>599.8723379999999</v>
      </c>
      <c r="G462" s="175"/>
      <c r="H462" s="175"/>
      <c r="I462" s="37"/>
    </row>
    <row r="463" spans="1:16" s="63" customFormat="1" ht="15.75" customHeight="1" x14ac:dyDescent="0.35">
      <c r="A463" s="175">
        <v>6</v>
      </c>
      <c r="B463" s="175"/>
      <c r="C463" s="102" t="s">
        <v>176</v>
      </c>
      <c r="D463" s="101">
        <f t="shared" si="47"/>
        <v>399.91489199999995</v>
      </c>
      <c r="E463" s="101">
        <v>0</v>
      </c>
      <c r="F463" s="101">
        <f t="shared" si="48"/>
        <v>599.8723379999999</v>
      </c>
      <c r="G463" s="175"/>
      <c r="H463" s="175"/>
      <c r="I463" s="37"/>
    </row>
    <row r="464" spans="1:16" s="63" customFormat="1" x14ac:dyDescent="0.35">
      <c r="A464" s="170" t="s">
        <v>209</v>
      </c>
      <c r="B464" s="171"/>
      <c r="C464" s="171"/>
      <c r="D464" s="171"/>
      <c r="E464" s="171"/>
      <c r="F464" s="171"/>
      <c r="G464" s="171"/>
      <c r="H464" s="172"/>
      <c r="I464" s="37"/>
    </row>
    <row r="465" spans="1:16" s="63" customFormat="1" x14ac:dyDescent="0.35">
      <c r="A465" s="170" t="s">
        <v>169</v>
      </c>
      <c r="B465" s="171"/>
      <c r="C465" s="171"/>
      <c r="D465" s="171"/>
      <c r="E465" s="171"/>
      <c r="F465" s="171"/>
      <c r="G465" s="171"/>
      <c r="H465" s="172"/>
      <c r="J465" s="37"/>
    </row>
    <row r="466" spans="1:16" s="63" customFormat="1" ht="15.75" customHeight="1" x14ac:dyDescent="0.35">
      <c r="A466" s="170" t="s">
        <v>238</v>
      </c>
      <c r="B466" s="171"/>
      <c r="C466" s="171"/>
      <c r="D466" s="171"/>
      <c r="E466" s="171"/>
      <c r="F466" s="171"/>
      <c r="G466" s="171"/>
      <c r="H466" s="172"/>
      <c r="J466" s="37"/>
    </row>
    <row r="467" spans="1:16" s="63" customFormat="1" ht="15.75" customHeight="1" x14ac:dyDescent="0.35">
      <c r="A467" s="164">
        <v>1</v>
      </c>
      <c r="B467" s="165"/>
      <c r="C467" s="47" t="s">
        <v>176</v>
      </c>
      <c r="D467" s="51">
        <f>(30*10.764)</f>
        <v>322.91999999999996</v>
      </c>
      <c r="E467" s="51">
        <v>0</v>
      </c>
      <c r="F467" s="51">
        <f>D467*(($F$381)+1)+(IF(E467&lt;101,E467,IF(E467&lt;201,E467/2,IF(E467&lt;=301,E467/3,E467/4))))</f>
        <v>484.37999999999994</v>
      </c>
      <c r="G467" s="177" t="str">
        <f>A466</f>
        <v>Ground Floor For Residential, Drivers Room &amp; Parking</v>
      </c>
      <c r="H467" s="178"/>
      <c r="J467" s="37"/>
    </row>
    <row r="468" spans="1:16" s="63" customFormat="1" ht="15.75" customHeight="1" x14ac:dyDescent="0.35">
      <c r="A468" s="164">
        <v>2</v>
      </c>
      <c r="B468" s="165"/>
      <c r="C468" s="47" t="s">
        <v>176</v>
      </c>
      <c r="D468" s="51">
        <f t="shared" ref="D468:D470" si="49">(30*10.764)</f>
        <v>322.91999999999996</v>
      </c>
      <c r="E468" s="51">
        <v>0</v>
      </c>
      <c r="F468" s="51">
        <f>D468*(($F$381)+1)+(IF(E468&lt;101,E468,IF(E468&lt;201,E468/2,IF(E468&lt;=301,E468/3,E468/4))))</f>
        <v>484.37999999999994</v>
      </c>
      <c r="G468" s="179"/>
      <c r="H468" s="180"/>
      <c r="I468" s="37"/>
      <c r="L468" s="174"/>
      <c r="M468" s="174"/>
      <c r="N468" s="37"/>
    </row>
    <row r="469" spans="1:16" s="63" customFormat="1" ht="15.75" customHeight="1" x14ac:dyDescent="0.35">
      <c r="A469" s="164">
        <v>3</v>
      </c>
      <c r="B469" s="165"/>
      <c r="C469" s="47" t="s">
        <v>176</v>
      </c>
      <c r="D469" s="51">
        <f t="shared" si="49"/>
        <v>322.91999999999996</v>
      </c>
      <c r="E469" s="51">
        <v>0</v>
      </c>
      <c r="F469" s="51">
        <f>D469*(($F$381)+1)+(IF(E469&lt;101,E469,IF(E469&lt;201,E469/2,IF(E469&lt;=301,E469/3,E469/4))))</f>
        <v>484.37999999999994</v>
      </c>
      <c r="G469" s="179"/>
      <c r="H469" s="180"/>
      <c r="I469" s="37"/>
      <c r="L469" s="174"/>
      <c r="M469" s="174"/>
      <c r="N469" s="37"/>
    </row>
    <row r="470" spans="1:16" s="63" customFormat="1" ht="15.75" customHeight="1" x14ac:dyDescent="0.35">
      <c r="A470" s="164">
        <v>4</v>
      </c>
      <c r="B470" s="165"/>
      <c r="C470" s="47" t="s">
        <v>176</v>
      </c>
      <c r="D470" s="51">
        <f t="shared" si="49"/>
        <v>322.91999999999996</v>
      </c>
      <c r="E470" s="51">
        <v>0</v>
      </c>
      <c r="F470" s="51">
        <f>D470*(($F$381)+1)+(IF(E470&lt;101,E470,IF(E470&lt;201,E470/2,IF(E470&lt;=301,E470/3,E470/4))))</f>
        <v>484.37999999999994</v>
      </c>
      <c r="G470" s="181"/>
      <c r="H470" s="182"/>
      <c r="I470" s="37"/>
      <c r="L470" s="174"/>
      <c r="M470" s="174"/>
      <c r="N470" s="37"/>
    </row>
    <row r="471" spans="1:16" s="63" customFormat="1" x14ac:dyDescent="0.35">
      <c r="A471" s="170" t="s">
        <v>179</v>
      </c>
      <c r="B471" s="171"/>
      <c r="C471" s="171"/>
      <c r="D471" s="171"/>
      <c r="E471" s="171"/>
      <c r="F471" s="171"/>
      <c r="G471" s="171"/>
      <c r="H471" s="172"/>
      <c r="I471" s="37"/>
      <c r="L471" s="174"/>
      <c r="M471" s="174"/>
      <c r="N471" s="37"/>
    </row>
    <row r="472" spans="1:16" s="63" customFormat="1" ht="15.75" customHeight="1" x14ac:dyDescent="0.35">
      <c r="A472" s="164">
        <v>1</v>
      </c>
      <c r="B472" s="165"/>
      <c r="C472" s="47" t="s">
        <v>176</v>
      </c>
      <c r="D472" s="51">
        <f t="shared" ref="D472:D477" si="50">(30+1.03*2.6+2.5*0.75+2.6*1)*10.764</f>
        <v>399.91489199999995</v>
      </c>
      <c r="E472" s="51">
        <v>0</v>
      </c>
      <c r="F472" s="51">
        <f t="shared" ref="F472:F477" si="51">D472*(($F$381)+1)+(IF(E472&lt;101,E472,IF(E472&lt;201,E472/2,IF(E472&lt;=301,E472/3,E472/4))))</f>
        <v>599.8723379999999</v>
      </c>
      <c r="G472" s="177" t="str">
        <f>A471</f>
        <v>1st to 7th Floor For Residential</v>
      </c>
      <c r="H472" s="178"/>
      <c r="I472" s="37"/>
      <c r="P472" s="38"/>
    </row>
    <row r="473" spans="1:16" s="63" customFormat="1" ht="15.75" customHeight="1" x14ac:dyDescent="0.35">
      <c r="A473" s="164">
        <v>2</v>
      </c>
      <c r="B473" s="165"/>
      <c r="C473" s="47" t="s">
        <v>176</v>
      </c>
      <c r="D473" s="51">
        <f t="shared" si="50"/>
        <v>399.91489199999995</v>
      </c>
      <c r="E473" s="51">
        <v>0</v>
      </c>
      <c r="F473" s="51">
        <f t="shared" si="51"/>
        <v>599.8723379999999</v>
      </c>
      <c r="G473" s="179"/>
      <c r="H473" s="180"/>
      <c r="I473" s="37"/>
    </row>
    <row r="474" spans="1:16" s="63" customFormat="1" ht="15.75" customHeight="1" x14ac:dyDescent="0.35">
      <c r="A474" s="164">
        <v>3</v>
      </c>
      <c r="B474" s="165"/>
      <c r="C474" s="47" t="s">
        <v>176</v>
      </c>
      <c r="D474" s="51">
        <f t="shared" si="50"/>
        <v>399.91489199999995</v>
      </c>
      <c r="E474" s="51">
        <v>0</v>
      </c>
      <c r="F474" s="51">
        <f t="shared" si="51"/>
        <v>599.8723379999999</v>
      </c>
      <c r="G474" s="179"/>
      <c r="H474" s="180"/>
      <c r="I474" s="37"/>
    </row>
    <row r="475" spans="1:16" s="63" customFormat="1" ht="15.75" customHeight="1" x14ac:dyDescent="0.35">
      <c r="A475" s="164">
        <v>4</v>
      </c>
      <c r="B475" s="165"/>
      <c r="C475" s="47" t="s">
        <v>176</v>
      </c>
      <c r="D475" s="51">
        <f t="shared" si="50"/>
        <v>399.91489199999995</v>
      </c>
      <c r="E475" s="51">
        <v>0</v>
      </c>
      <c r="F475" s="51">
        <f t="shared" si="51"/>
        <v>599.8723379999999</v>
      </c>
      <c r="G475" s="179"/>
      <c r="H475" s="180"/>
      <c r="I475" s="37"/>
    </row>
    <row r="476" spans="1:16" s="63" customFormat="1" ht="15.75" customHeight="1" x14ac:dyDescent="0.35">
      <c r="A476" s="164">
        <v>5</v>
      </c>
      <c r="B476" s="165"/>
      <c r="C476" s="47" t="s">
        <v>176</v>
      </c>
      <c r="D476" s="51">
        <f t="shared" si="50"/>
        <v>399.91489199999995</v>
      </c>
      <c r="E476" s="51">
        <v>0</v>
      </c>
      <c r="F476" s="51">
        <f t="shared" si="51"/>
        <v>599.8723379999999</v>
      </c>
      <c r="G476" s="179"/>
      <c r="H476" s="180"/>
      <c r="I476" s="37"/>
    </row>
    <row r="477" spans="1:16" s="63" customFormat="1" ht="15.75" customHeight="1" x14ac:dyDescent="0.35">
      <c r="A477" s="164">
        <v>6</v>
      </c>
      <c r="B477" s="165"/>
      <c r="C477" s="47" t="s">
        <v>176</v>
      </c>
      <c r="D477" s="51">
        <f t="shared" si="50"/>
        <v>399.91489199999995</v>
      </c>
      <c r="E477" s="51">
        <v>0</v>
      </c>
      <c r="F477" s="51">
        <f t="shared" si="51"/>
        <v>599.8723379999999</v>
      </c>
      <c r="G477" s="181"/>
      <c r="H477" s="182"/>
      <c r="I477" s="37"/>
    </row>
    <row r="478" spans="1:16" s="63" customFormat="1" x14ac:dyDescent="0.35">
      <c r="A478" s="170" t="s">
        <v>170</v>
      </c>
      <c r="B478" s="171"/>
      <c r="C478" s="171"/>
      <c r="D478" s="171"/>
      <c r="E478" s="171"/>
      <c r="F478" s="171"/>
      <c r="G478" s="171"/>
      <c r="H478" s="172"/>
      <c r="I478" s="37"/>
    </row>
    <row r="479" spans="1:16" s="63" customFormat="1" ht="15.75" customHeight="1" x14ac:dyDescent="0.35">
      <c r="A479" s="170" t="s">
        <v>239</v>
      </c>
      <c r="B479" s="171"/>
      <c r="C479" s="171"/>
      <c r="D479" s="171"/>
      <c r="E479" s="171"/>
      <c r="F479" s="171"/>
      <c r="G479" s="171"/>
      <c r="H479" s="172"/>
      <c r="J479" s="37"/>
    </row>
    <row r="480" spans="1:16" s="63" customFormat="1" ht="15.75" customHeight="1" x14ac:dyDescent="0.35">
      <c r="A480" s="164">
        <v>1</v>
      </c>
      <c r="B480" s="165"/>
      <c r="C480" s="47" t="s">
        <v>176</v>
      </c>
      <c r="D480" s="51">
        <f>(30*10.764)</f>
        <v>322.91999999999996</v>
      </c>
      <c r="E480" s="51">
        <v>0</v>
      </c>
      <c r="F480" s="51">
        <f>D480*(($F$381)+1)+(IF(E480&lt;101,E480,IF(E480&lt;201,E480/2,IF(E480&lt;=301,E480/3,E480/4))))</f>
        <v>484.37999999999994</v>
      </c>
      <c r="G480" s="177" t="str">
        <f>A479</f>
        <v>Ground Floor For Residential, Society Office &amp; Parking</v>
      </c>
      <c r="H480" s="178"/>
      <c r="J480" s="37"/>
    </row>
    <row r="481" spans="1:16" s="63" customFormat="1" ht="15.75" customHeight="1" x14ac:dyDescent="0.35">
      <c r="A481" s="164">
        <v>2</v>
      </c>
      <c r="B481" s="165"/>
      <c r="C481" s="47" t="s">
        <v>176</v>
      </c>
      <c r="D481" s="51">
        <f t="shared" ref="D481:D483" si="52">(30*10.764)</f>
        <v>322.91999999999996</v>
      </c>
      <c r="E481" s="51">
        <v>0</v>
      </c>
      <c r="F481" s="51">
        <f>D481*(($F$381)+1)+(IF(E481&lt;101,E481,IF(E481&lt;201,E481/2,IF(E481&lt;=301,E481/3,E481/4))))</f>
        <v>484.37999999999994</v>
      </c>
      <c r="G481" s="179"/>
      <c r="H481" s="180"/>
      <c r="I481" s="37"/>
      <c r="L481" s="174"/>
      <c r="M481" s="174"/>
      <c r="N481" s="37"/>
    </row>
    <row r="482" spans="1:16" s="63" customFormat="1" ht="15.75" customHeight="1" x14ac:dyDescent="0.35">
      <c r="A482" s="164">
        <v>3</v>
      </c>
      <c r="B482" s="165"/>
      <c r="C482" s="47" t="s">
        <v>176</v>
      </c>
      <c r="D482" s="51">
        <f t="shared" si="52"/>
        <v>322.91999999999996</v>
      </c>
      <c r="E482" s="51">
        <v>0</v>
      </c>
      <c r="F482" s="51">
        <f>D482*(($F$381)+1)+(IF(E482&lt;101,E482,IF(E482&lt;201,E482/2,IF(E482&lt;=301,E482/3,E482/4))))</f>
        <v>484.37999999999994</v>
      </c>
      <c r="G482" s="179"/>
      <c r="H482" s="180"/>
      <c r="I482" s="37"/>
      <c r="L482" s="174"/>
      <c r="M482" s="174"/>
      <c r="N482" s="37"/>
    </row>
    <row r="483" spans="1:16" s="63" customFormat="1" ht="15.75" customHeight="1" x14ac:dyDescent="0.35">
      <c r="A483" s="164">
        <v>4</v>
      </c>
      <c r="B483" s="165"/>
      <c r="C483" s="47" t="s">
        <v>176</v>
      </c>
      <c r="D483" s="51">
        <f t="shared" si="52"/>
        <v>322.91999999999996</v>
      </c>
      <c r="E483" s="51">
        <v>0</v>
      </c>
      <c r="F483" s="51">
        <f>D483*(($F$381)+1)+(IF(E483&lt;101,E483,IF(E483&lt;201,E483/2,IF(E483&lt;=301,E483/3,E483/4))))</f>
        <v>484.37999999999994</v>
      </c>
      <c r="G483" s="181"/>
      <c r="H483" s="182"/>
      <c r="I483" s="37"/>
      <c r="L483" s="174"/>
      <c r="M483" s="174"/>
      <c r="N483" s="37"/>
    </row>
    <row r="484" spans="1:16" s="63" customFormat="1" x14ac:dyDescent="0.35">
      <c r="A484" s="170" t="s">
        <v>179</v>
      </c>
      <c r="B484" s="171"/>
      <c r="C484" s="171"/>
      <c r="D484" s="171"/>
      <c r="E484" s="171"/>
      <c r="F484" s="171"/>
      <c r="G484" s="171"/>
      <c r="H484" s="172"/>
      <c r="I484" s="37"/>
      <c r="L484" s="174"/>
      <c r="M484" s="174"/>
      <c r="N484" s="37"/>
    </row>
    <row r="485" spans="1:16" s="63" customFormat="1" ht="15.75" customHeight="1" x14ac:dyDescent="0.35">
      <c r="A485" s="164">
        <v>1</v>
      </c>
      <c r="B485" s="165"/>
      <c r="C485" s="47" t="s">
        <v>176</v>
      </c>
      <c r="D485" s="51">
        <f t="shared" ref="D485:D490" si="53">(30+1.03*2.6+2.5*0.75+2.6*1)*10.764</f>
        <v>399.91489199999995</v>
      </c>
      <c r="E485" s="51">
        <v>0</v>
      </c>
      <c r="F485" s="51">
        <f t="shared" ref="F485:F490" si="54">D485*(($F$381)+1)+(IF(E485&lt;101,E485,IF(E485&lt;201,E485/2,IF(E485&lt;=301,E485/3,E485/4))))</f>
        <v>599.8723379999999</v>
      </c>
      <c r="G485" s="177" t="str">
        <f>A484</f>
        <v>1st to 7th Floor For Residential</v>
      </c>
      <c r="H485" s="178"/>
      <c r="I485" s="37"/>
      <c r="P485" s="38"/>
    </row>
    <row r="486" spans="1:16" s="63" customFormat="1" ht="15.75" customHeight="1" x14ac:dyDescent="0.35">
      <c r="A486" s="164">
        <v>2</v>
      </c>
      <c r="B486" s="165"/>
      <c r="C486" s="47" t="s">
        <v>176</v>
      </c>
      <c r="D486" s="51">
        <f t="shared" si="53"/>
        <v>399.91489199999995</v>
      </c>
      <c r="E486" s="51">
        <v>0</v>
      </c>
      <c r="F486" s="51">
        <f>D486*(($F$381)+1)+(IF(E486&lt;101,E486,IF(E486&lt;201,E486/2,IF(E486&lt;=301,E486/3,E486/4))))</f>
        <v>599.8723379999999</v>
      </c>
      <c r="G486" s="179"/>
      <c r="H486" s="180"/>
      <c r="I486" s="37"/>
    </row>
    <row r="487" spans="1:16" s="63" customFormat="1" ht="15.75" customHeight="1" x14ac:dyDescent="0.35">
      <c r="A487" s="164">
        <v>3</v>
      </c>
      <c r="B487" s="165"/>
      <c r="C487" s="47" t="s">
        <v>176</v>
      </c>
      <c r="D487" s="51">
        <f t="shared" si="53"/>
        <v>399.91489199999995</v>
      </c>
      <c r="E487" s="51">
        <v>0</v>
      </c>
      <c r="F487" s="51">
        <f t="shared" si="54"/>
        <v>599.8723379999999</v>
      </c>
      <c r="G487" s="179"/>
      <c r="H487" s="180"/>
      <c r="I487" s="37"/>
    </row>
    <row r="488" spans="1:16" s="63" customFormat="1" ht="15.75" customHeight="1" x14ac:dyDescent="0.35">
      <c r="A488" s="164">
        <v>4</v>
      </c>
      <c r="B488" s="165"/>
      <c r="C488" s="47" t="s">
        <v>176</v>
      </c>
      <c r="D488" s="51">
        <f t="shared" si="53"/>
        <v>399.91489199999995</v>
      </c>
      <c r="E488" s="51">
        <v>0</v>
      </c>
      <c r="F488" s="51">
        <f t="shared" si="54"/>
        <v>599.8723379999999</v>
      </c>
      <c r="G488" s="179"/>
      <c r="H488" s="180"/>
      <c r="I488" s="37"/>
    </row>
    <row r="489" spans="1:16" s="63" customFormat="1" ht="15.75" customHeight="1" x14ac:dyDescent="0.35">
      <c r="A489" s="164">
        <v>5</v>
      </c>
      <c r="B489" s="165"/>
      <c r="C489" s="47" t="s">
        <v>176</v>
      </c>
      <c r="D489" s="51">
        <f t="shared" si="53"/>
        <v>399.91489199999995</v>
      </c>
      <c r="E489" s="51">
        <v>0</v>
      </c>
      <c r="F489" s="51">
        <f t="shared" si="54"/>
        <v>599.8723379999999</v>
      </c>
      <c r="G489" s="179"/>
      <c r="H489" s="180"/>
      <c r="I489" s="37"/>
    </row>
    <row r="490" spans="1:16" s="63" customFormat="1" ht="15.75" customHeight="1" x14ac:dyDescent="0.35">
      <c r="A490" s="164">
        <v>6</v>
      </c>
      <c r="B490" s="165"/>
      <c r="C490" s="47" t="s">
        <v>176</v>
      </c>
      <c r="D490" s="51">
        <f t="shared" si="53"/>
        <v>399.91489199999995</v>
      </c>
      <c r="E490" s="51">
        <v>0</v>
      </c>
      <c r="F490" s="51">
        <f t="shared" si="54"/>
        <v>599.8723379999999</v>
      </c>
      <c r="G490" s="181"/>
      <c r="H490" s="182"/>
      <c r="I490" s="37"/>
    </row>
    <row r="491" spans="1:16" s="63" customFormat="1" x14ac:dyDescent="0.35">
      <c r="A491" s="170" t="s">
        <v>210</v>
      </c>
      <c r="B491" s="171"/>
      <c r="C491" s="171"/>
      <c r="D491" s="171"/>
      <c r="E491" s="171"/>
      <c r="F491" s="171"/>
      <c r="G491" s="171"/>
      <c r="H491" s="172"/>
      <c r="I491" s="37"/>
    </row>
    <row r="492" spans="1:16" s="63" customFormat="1" x14ac:dyDescent="0.35">
      <c r="A492" s="170" t="s">
        <v>169</v>
      </c>
      <c r="B492" s="171"/>
      <c r="C492" s="171"/>
      <c r="D492" s="171"/>
      <c r="E492" s="171"/>
      <c r="F492" s="171"/>
      <c r="G492" s="171"/>
      <c r="H492" s="172"/>
      <c r="J492" s="37"/>
    </row>
    <row r="493" spans="1:16" s="63" customFormat="1" ht="15.75" customHeight="1" x14ac:dyDescent="0.35">
      <c r="A493" s="170" t="s">
        <v>238</v>
      </c>
      <c r="B493" s="171"/>
      <c r="C493" s="171"/>
      <c r="D493" s="171"/>
      <c r="E493" s="171"/>
      <c r="F493" s="171"/>
      <c r="G493" s="171"/>
      <c r="H493" s="172"/>
      <c r="J493" s="37"/>
    </row>
    <row r="494" spans="1:16" s="63" customFormat="1" ht="15.75" customHeight="1" x14ac:dyDescent="0.35">
      <c r="A494" s="164">
        <v>1</v>
      </c>
      <c r="B494" s="165"/>
      <c r="C494" s="47" t="s">
        <v>176</v>
      </c>
      <c r="D494" s="51">
        <f>(30*10.764)</f>
        <v>322.91999999999996</v>
      </c>
      <c r="E494" s="51">
        <v>0</v>
      </c>
      <c r="F494" s="51">
        <f>D494*(($F$381)+1)+(IF(E494&lt;101,E494,IF(E494&lt;201,E494/2,IF(E494&lt;=301,E494/3,E494/4))))</f>
        <v>484.37999999999994</v>
      </c>
      <c r="G494" s="177" t="str">
        <f>A493</f>
        <v>Ground Floor For Residential, Drivers Room &amp; Parking</v>
      </c>
      <c r="H494" s="178"/>
      <c r="J494" s="37"/>
    </row>
    <row r="495" spans="1:16" s="63" customFormat="1" ht="15.75" customHeight="1" x14ac:dyDescent="0.35">
      <c r="A495" s="164">
        <v>2</v>
      </c>
      <c r="B495" s="165"/>
      <c r="C495" s="47" t="s">
        <v>176</v>
      </c>
      <c r="D495" s="51">
        <f t="shared" ref="D495:D497" si="55">(30*10.764)</f>
        <v>322.91999999999996</v>
      </c>
      <c r="E495" s="51">
        <v>0</v>
      </c>
      <c r="F495" s="51">
        <f>D495*(($F$381)+1)+(IF(E495&lt;101,E495,IF(E495&lt;201,E495/2,IF(E495&lt;=301,E495/3,E495/4))))</f>
        <v>484.37999999999994</v>
      </c>
      <c r="G495" s="179"/>
      <c r="H495" s="180"/>
      <c r="I495" s="37"/>
      <c r="L495" s="174"/>
      <c r="M495" s="174"/>
      <c r="N495" s="37"/>
    </row>
    <row r="496" spans="1:16" s="63" customFormat="1" ht="15.75" customHeight="1" x14ac:dyDescent="0.35">
      <c r="A496" s="164">
        <v>3</v>
      </c>
      <c r="B496" s="165"/>
      <c r="C496" s="47" t="s">
        <v>176</v>
      </c>
      <c r="D496" s="51">
        <f t="shared" si="55"/>
        <v>322.91999999999996</v>
      </c>
      <c r="E496" s="51">
        <v>0</v>
      </c>
      <c r="F496" s="51">
        <f>D496*(($F$381)+1)+(IF(E496&lt;101,E496,IF(E496&lt;201,E496/2,IF(E496&lt;=301,E496/3,E496/4))))</f>
        <v>484.37999999999994</v>
      </c>
      <c r="G496" s="179"/>
      <c r="H496" s="180"/>
      <c r="I496" s="37"/>
      <c r="L496" s="174"/>
      <c r="M496" s="174"/>
      <c r="N496" s="37"/>
    </row>
    <row r="497" spans="1:16" s="63" customFormat="1" ht="15.75" customHeight="1" x14ac:dyDescent="0.35">
      <c r="A497" s="164">
        <v>4</v>
      </c>
      <c r="B497" s="165"/>
      <c r="C497" s="47" t="s">
        <v>176</v>
      </c>
      <c r="D497" s="51">
        <f t="shared" si="55"/>
        <v>322.91999999999996</v>
      </c>
      <c r="E497" s="51">
        <v>0</v>
      </c>
      <c r="F497" s="51">
        <f>D497*(($F$381)+1)+(IF(E497&lt;101,E497,IF(E497&lt;201,E497/2,IF(E497&lt;=301,E497/3,E497/4))))</f>
        <v>484.37999999999994</v>
      </c>
      <c r="G497" s="181"/>
      <c r="H497" s="182"/>
      <c r="I497" s="37"/>
      <c r="L497" s="174"/>
      <c r="M497" s="174"/>
      <c r="N497" s="37"/>
    </row>
    <row r="498" spans="1:16" s="63" customFormat="1" x14ac:dyDescent="0.35">
      <c r="A498" s="169" t="s">
        <v>179</v>
      </c>
      <c r="B498" s="169"/>
      <c r="C498" s="169"/>
      <c r="D498" s="169"/>
      <c r="E498" s="169"/>
      <c r="F498" s="169"/>
      <c r="G498" s="169"/>
      <c r="H498" s="169"/>
      <c r="I498" s="37"/>
      <c r="L498" s="174"/>
      <c r="M498" s="174"/>
      <c r="N498" s="37"/>
    </row>
    <row r="499" spans="1:16" s="63" customFormat="1" ht="15.75" customHeight="1" x14ac:dyDescent="0.35">
      <c r="A499" s="175">
        <v>1</v>
      </c>
      <c r="B499" s="175"/>
      <c r="C499" s="102" t="s">
        <v>176</v>
      </c>
      <c r="D499" s="101">
        <f t="shared" ref="D499:D504" si="56">(30+1.03*2.6+2.5*0.75+2.6*1)*10.764</f>
        <v>399.91489199999995</v>
      </c>
      <c r="E499" s="101">
        <v>0</v>
      </c>
      <c r="F499" s="101">
        <f t="shared" ref="F499:F504" si="57">D499*(($F$381)+1)+(IF(E499&lt;101,E499,IF(E499&lt;201,E499/2,IF(E499&lt;=301,E499/3,E499/4))))</f>
        <v>599.8723379999999</v>
      </c>
      <c r="G499" s="175" t="str">
        <f>A498</f>
        <v>1st to 7th Floor For Residential</v>
      </c>
      <c r="H499" s="175"/>
      <c r="I499" s="37"/>
      <c r="P499" s="38"/>
    </row>
    <row r="500" spans="1:16" s="63" customFormat="1" ht="15.75" customHeight="1" x14ac:dyDescent="0.35">
      <c r="A500" s="175">
        <v>2</v>
      </c>
      <c r="B500" s="175"/>
      <c r="C500" s="102" t="s">
        <v>176</v>
      </c>
      <c r="D500" s="101">
        <f t="shared" si="56"/>
        <v>399.91489199999995</v>
      </c>
      <c r="E500" s="101">
        <v>0</v>
      </c>
      <c r="F500" s="101">
        <f t="shared" si="57"/>
        <v>599.8723379999999</v>
      </c>
      <c r="G500" s="175"/>
      <c r="H500" s="175"/>
      <c r="I500" s="37"/>
    </row>
    <row r="501" spans="1:16" s="63" customFormat="1" ht="15.75" customHeight="1" x14ac:dyDescent="0.35">
      <c r="A501" s="175">
        <v>3</v>
      </c>
      <c r="B501" s="175"/>
      <c r="C501" s="102" t="s">
        <v>176</v>
      </c>
      <c r="D501" s="101">
        <f t="shared" si="56"/>
        <v>399.91489199999995</v>
      </c>
      <c r="E501" s="101">
        <v>0</v>
      </c>
      <c r="F501" s="101">
        <f t="shared" si="57"/>
        <v>599.8723379999999</v>
      </c>
      <c r="G501" s="175"/>
      <c r="H501" s="175"/>
      <c r="I501" s="37"/>
    </row>
    <row r="502" spans="1:16" s="63" customFormat="1" ht="15.75" customHeight="1" x14ac:dyDescent="0.35">
      <c r="A502" s="175">
        <v>4</v>
      </c>
      <c r="B502" s="175"/>
      <c r="C502" s="102" t="s">
        <v>176</v>
      </c>
      <c r="D502" s="101">
        <f t="shared" si="56"/>
        <v>399.91489199999995</v>
      </c>
      <c r="E502" s="101">
        <v>0</v>
      </c>
      <c r="F502" s="101">
        <f t="shared" si="57"/>
        <v>599.8723379999999</v>
      </c>
      <c r="G502" s="175"/>
      <c r="H502" s="175"/>
      <c r="I502" s="37"/>
    </row>
    <row r="503" spans="1:16" s="63" customFormat="1" ht="15.75" customHeight="1" x14ac:dyDescent="0.35">
      <c r="A503" s="175">
        <v>5</v>
      </c>
      <c r="B503" s="175"/>
      <c r="C503" s="102" t="s">
        <v>176</v>
      </c>
      <c r="D503" s="101">
        <f t="shared" si="56"/>
        <v>399.91489199999995</v>
      </c>
      <c r="E503" s="101">
        <v>0</v>
      </c>
      <c r="F503" s="101">
        <f t="shared" si="57"/>
        <v>599.8723379999999</v>
      </c>
      <c r="G503" s="175"/>
      <c r="H503" s="175"/>
      <c r="I503" s="37"/>
    </row>
    <row r="504" spans="1:16" s="63" customFormat="1" ht="15.75" customHeight="1" x14ac:dyDescent="0.35">
      <c r="A504" s="175">
        <v>6</v>
      </c>
      <c r="B504" s="175"/>
      <c r="C504" s="102" t="s">
        <v>176</v>
      </c>
      <c r="D504" s="101">
        <f t="shared" si="56"/>
        <v>399.91489199999995</v>
      </c>
      <c r="E504" s="101">
        <v>0</v>
      </c>
      <c r="F504" s="101">
        <f t="shared" si="57"/>
        <v>599.8723379999999</v>
      </c>
      <c r="G504" s="175"/>
      <c r="H504" s="175"/>
      <c r="I504" s="37"/>
    </row>
    <row r="505" spans="1:16" s="63" customFormat="1" x14ac:dyDescent="0.35">
      <c r="A505" s="169" t="s">
        <v>170</v>
      </c>
      <c r="B505" s="169"/>
      <c r="C505" s="169"/>
      <c r="D505" s="169"/>
      <c r="E505" s="169"/>
      <c r="F505" s="169"/>
      <c r="G505" s="169"/>
      <c r="H505" s="169"/>
      <c r="I505" s="37"/>
    </row>
    <row r="506" spans="1:16" s="63" customFormat="1" ht="15.75" customHeight="1" x14ac:dyDescent="0.35">
      <c r="A506" s="169" t="s">
        <v>239</v>
      </c>
      <c r="B506" s="169"/>
      <c r="C506" s="169"/>
      <c r="D506" s="169"/>
      <c r="E506" s="169"/>
      <c r="F506" s="169"/>
      <c r="G506" s="169"/>
      <c r="H506" s="169"/>
      <c r="J506" s="37"/>
    </row>
    <row r="507" spans="1:16" s="63" customFormat="1" ht="15.75" customHeight="1" x14ac:dyDescent="0.35">
      <c r="A507" s="175">
        <v>1</v>
      </c>
      <c r="B507" s="175"/>
      <c r="C507" s="102" t="s">
        <v>176</v>
      </c>
      <c r="D507" s="101">
        <f>(30*10.764)</f>
        <v>322.91999999999996</v>
      </c>
      <c r="E507" s="101">
        <v>0</v>
      </c>
      <c r="F507" s="101">
        <f>D507*(($F$381)+1)+(IF(E507&lt;101,E507,IF(E507&lt;201,E507/2,IF(E507&lt;=301,E507/3,E507/4))))</f>
        <v>484.37999999999994</v>
      </c>
      <c r="G507" s="175" t="str">
        <f>A506</f>
        <v>Ground Floor For Residential, Society Office &amp; Parking</v>
      </c>
      <c r="H507" s="175"/>
      <c r="J507" s="37"/>
    </row>
    <row r="508" spans="1:16" s="63" customFormat="1" ht="15.75" customHeight="1" x14ac:dyDescent="0.35">
      <c r="A508" s="175">
        <v>2</v>
      </c>
      <c r="B508" s="175"/>
      <c r="C508" s="102" t="s">
        <v>176</v>
      </c>
      <c r="D508" s="101">
        <f t="shared" ref="D508:D510" si="58">(30*10.764)</f>
        <v>322.91999999999996</v>
      </c>
      <c r="E508" s="101">
        <v>0</v>
      </c>
      <c r="F508" s="101">
        <f>D508*(($F$381)+1)+(IF(E508&lt;101,E508,IF(E508&lt;201,E508/2,IF(E508&lt;=301,E508/3,E508/4))))</f>
        <v>484.37999999999994</v>
      </c>
      <c r="G508" s="175"/>
      <c r="H508" s="175"/>
      <c r="I508" s="37"/>
      <c r="L508" s="174"/>
      <c r="M508" s="174"/>
      <c r="N508" s="37"/>
    </row>
    <row r="509" spans="1:16" s="63" customFormat="1" ht="15.75" customHeight="1" x14ac:dyDescent="0.35">
      <c r="A509" s="175">
        <v>3</v>
      </c>
      <c r="B509" s="175"/>
      <c r="C509" s="102" t="s">
        <v>176</v>
      </c>
      <c r="D509" s="101">
        <f t="shared" si="58"/>
        <v>322.91999999999996</v>
      </c>
      <c r="E509" s="101">
        <v>0</v>
      </c>
      <c r="F509" s="101">
        <f>D509*(($F$381)+1)+(IF(E509&lt;101,E509,IF(E509&lt;201,E509/2,IF(E509&lt;=301,E509/3,E509/4))))</f>
        <v>484.37999999999994</v>
      </c>
      <c r="G509" s="175"/>
      <c r="H509" s="175"/>
      <c r="I509" s="37"/>
      <c r="L509" s="174"/>
      <c r="M509" s="174"/>
      <c r="N509" s="37"/>
    </row>
    <row r="510" spans="1:16" s="63" customFormat="1" ht="15.75" customHeight="1" x14ac:dyDescent="0.35">
      <c r="A510" s="175">
        <v>4</v>
      </c>
      <c r="B510" s="175"/>
      <c r="C510" s="102" t="s">
        <v>176</v>
      </c>
      <c r="D510" s="101">
        <f t="shared" si="58"/>
        <v>322.91999999999996</v>
      </c>
      <c r="E510" s="101">
        <v>0</v>
      </c>
      <c r="F510" s="101">
        <f>D510*(($F$381)+1)+(IF(E510&lt;101,E510,IF(E510&lt;201,E510/2,IF(E510&lt;=301,E510/3,E510/4))))</f>
        <v>484.37999999999994</v>
      </c>
      <c r="G510" s="175"/>
      <c r="H510" s="175"/>
      <c r="I510" s="37"/>
      <c r="L510" s="174"/>
      <c r="M510" s="174"/>
      <c r="N510" s="37"/>
    </row>
    <row r="511" spans="1:16" s="63" customFormat="1" x14ac:dyDescent="0.35">
      <c r="A511" s="169" t="s">
        <v>179</v>
      </c>
      <c r="B511" s="169"/>
      <c r="C511" s="169"/>
      <c r="D511" s="169"/>
      <c r="E511" s="169"/>
      <c r="F511" s="169"/>
      <c r="G511" s="169"/>
      <c r="H511" s="169"/>
      <c r="I511" s="37"/>
      <c r="L511" s="174"/>
      <c r="M511" s="174"/>
      <c r="N511" s="37"/>
    </row>
    <row r="512" spans="1:16" s="63" customFormat="1" ht="15.75" customHeight="1" x14ac:dyDescent="0.35">
      <c r="A512" s="164">
        <v>1</v>
      </c>
      <c r="B512" s="165"/>
      <c r="C512" s="47" t="s">
        <v>176</v>
      </c>
      <c r="D512" s="51">
        <f t="shared" ref="D512:D517" si="59">(30+1.03*2.6+2.5*0.75+2.6*1)*10.764</f>
        <v>399.91489199999995</v>
      </c>
      <c r="E512" s="51">
        <v>0</v>
      </c>
      <c r="F512" s="51">
        <f t="shared" ref="F512:F517" si="60">D512*(($F$381)+1)+(IF(E512&lt;101,E512,IF(E512&lt;201,E512/2,IF(E512&lt;=301,E512/3,E512/4))))</f>
        <v>599.8723379999999</v>
      </c>
      <c r="G512" s="177" t="str">
        <f>A511</f>
        <v>1st to 7th Floor For Residential</v>
      </c>
      <c r="H512" s="178"/>
      <c r="I512" s="37"/>
      <c r="P512" s="38"/>
    </row>
    <row r="513" spans="1:16" s="63" customFormat="1" ht="15.75" customHeight="1" x14ac:dyDescent="0.35">
      <c r="A513" s="164">
        <v>2</v>
      </c>
      <c r="B513" s="165"/>
      <c r="C513" s="47" t="s">
        <v>176</v>
      </c>
      <c r="D513" s="51">
        <f t="shared" si="59"/>
        <v>399.91489199999995</v>
      </c>
      <c r="E513" s="51">
        <v>0</v>
      </c>
      <c r="F513" s="51">
        <f t="shared" si="60"/>
        <v>599.8723379999999</v>
      </c>
      <c r="G513" s="179"/>
      <c r="H513" s="180"/>
      <c r="I513" s="37"/>
    </row>
    <row r="514" spans="1:16" s="63" customFormat="1" ht="15.75" customHeight="1" x14ac:dyDescent="0.35">
      <c r="A514" s="164">
        <v>3</v>
      </c>
      <c r="B514" s="165"/>
      <c r="C514" s="47" t="s">
        <v>176</v>
      </c>
      <c r="D514" s="51">
        <f t="shared" si="59"/>
        <v>399.91489199999995</v>
      </c>
      <c r="E514" s="51">
        <v>0</v>
      </c>
      <c r="F514" s="51">
        <f t="shared" si="60"/>
        <v>599.8723379999999</v>
      </c>
      <c r="G514" s="179"/>
      <c r="H514" s="180"/>
      <c r="I514" s="37"/>
    </row>
    <row r="515" spans="1:16" s="63" customFormat="1" ht="15.75" customHeight="1" x14ac:dyDescent="0.35">
      <c r="A515" s="164">
        <v>4</v>
      </c>
      <c r="B515" s="165"/>
      <c r="C515" s="47" t="s">
        <v>176</v>
      </c>
      <c r="D515" s="51">
        <f t="shared" si="59"/>
        <v>399.91489199999995</v>
      </c>
      <c r="E515" s="51">
        <v>0</v>
      </c>
      <c r="F515" s="51">
        <f t="shared" si="60"/>
        <v>599.8723379999999</v>
      </c>
      <c r="G515" s="179"/>
      <c r="H515" s="180"/>
      <c r="I515" s="37"/>
    </row>
    <row r="516" spans="1:16" s="63" customFormat="1" ht="15.75" customHeight="1" x14ac:dyDescent="0.35">
      <c r="A516" s="164">
        <v>5</v>
      </c>
      <c r="B516" s="165"/>
      <c r="C516" s="47" t="s">
        <v>176</v>
      </c>
      <c r="D516" s="51">
        <f t="shared" si="59"/>
        <v>399.91489199999995</v>
      </c>
      <c r="E516" s="51">
        <v>0</v>
      </c>
      <c r="F516" s="51">
        <f t="shared" si="60"/>
        <v>599.8723379999999</v>
      </c>
      <c r="G516" s="179"/>
      <c r="H516" s="180"/>
      <c r="I516" s="37"/>
    </row>
    <row r="517" spans="1:16" s="63" customFormat="1" ht="15.75" customHeight="1" x14ac:dyDescent="0.35">
      <c r="A517" s="164">
        <v>6</v>
      </c>
      <c r="B517" s="165"/>
      <c r="C517" s="47" t="s">
        <v>176</v>
      </c>
      <c r="D517" s="51">
        <f t="shared" si="59"/>
        <v>399.91489199999995</v>
      </c>
      <c r="E517" s="51">
        <v>0</v>
      </c>
      <c r="F517" s="51">
        <f t="shared" si="60"/>
        <v>599.8723379999999</v>
      </c>
      <c r="G517" s="181"/>
      <c r="H517" s="182"/>
      <c r="I517" s="37"/>
    </row>
    <row r="518" spans="1:16" s="63" customFormat="1" x14ac:dyDescent="0.35">
      <c r="A518" s="170" t="s">
        <v>194</v>
      </c>
      <c r="B518" s="171"/>
      <c r="C518" s="171"/>
      <c r="D518" s="171"/>
      <c r="E518" s="171"/>
      <c r="F518" s="171"/>
      <c r="G518" s="171"/>
      <c r="H518" s="172"/>
      <c r="I518" s="37"/>
    </row>
    <row r="519" spans="1:16" s="63" customFormat="1" ht="16.5" customHeight="1" x14ac:dyDescent="0.35">
      <c r="A519" s="170" t="s">
        <v>189</v>
      </c>
      <c r="B519" s="171"/>
      <c r="C519" s="171"/>
      <c r="D519" s="171"/>
      <c r="E519" s="171"/>
      <c r="F519" s="171"/>
      <c r="G519" s="171"/>
      <c r="H519" s="172"/>
      <c r="I519" s="37"/>
      <c r="P519" s="38"/>
    </row>
    <row r="520" spans="1:16" s="63" customFormat="1" ht="15.75" customHeight="1" x14ac:dyDescent="0.35">
      <c r="A520" s="170" t="s">
        <v>169</v>
      </c>
      <c r="B520" s="171"/>
      <c r="C520" s="171"/>
      <c r="D520" s="171"/>
      <c r="E520" s="171"/>
      <c r="F520" s="171"/>
      <c r="G520" s="171"/>
      <c r="H520" s="172"/>
      <c r="I520" s="37"/>
      <c r="P520" s="38"/>
    </row>
    <row r="521" spans="1:16" s="63" customFormat="1" x14ac:dyDescent="0.35">
      <c r="A521" s="170" t="s">
        <v>180</v>
      </c>
      <c r="B521" s="171"/>
      <c r="C521" s="171"/>
      <c r="D521" s="171"/>
      <c r="E521" s="171"/>
      <c r="F521" s="171"/>
      <c r="G521" s="171"/>
      <c r="H521" s="172"/>
      <c r="J521" s="37"/>
    </row>
    <row r="522" spans="1:16" s="63" customFormat="1" ht="15.75" customHeight="1" x14ac:dyDescent="0.35">
      <c r="A522" s="164">
        <v>1</v>
      </c>
      <c r="B522" s="165"/>
      <c r="C522" s="47" t="s">
        <v>176</v>
      </c>
      <c r="D522" s="51">
        <f>(29.9+1.25*2.6+2.6*0.75+0.75*(2.4+2.6))*10.764</f>
        <v>418.1814</v>
      </c>
      <c r="E522" s="51">
        <v>0</v>
      </c>
      <c r="F522" s="51">
        <f t="shared" ref="F522:F527" si="61">D522*(($F$381)+1)+(IF(E522&lt;101,E522,IF(E522&lt;201,E522/2,IF(E522&lt;=301,E522/3,E522/4))))</f>
        <v>627.27210000000002</v>
      </c>
      <c r="G522" s="177" t="str">
        <f>A521</f>
        <v>1st to 7th &amp; 9th to 11th Floor For Residential</v>
      </c>
      <c r="H522" s="178"/>
      <c r="I522" s="37">
        <f>(2.6*3.75+2.5*1.75+2.6*2.8+1.7*0.6+1.2*0.9+1.15*1.5+0.9*2.5)</f>
        <v>27.480000000000004</v>
      </c>
      <c r="P522" s="38"/>
    </row>
    <row r="523" spans="1:16" s="63" customFormat="1" ht="15.75" customHeight="1" x14ac:dyDescent="0.35">
      <c r="A523" s="164">
        <v>2</v>
      </c>
      <c r="B523" s="165"/>
      <c r="C523" s="47" t="s">
        <v>176</v>
      </c>
      <c r="D523" s="90">
        <f t="shared" ref="D523:D527" si="62">(29.9+1.25*2.6+2.6*0.75+0.75*(2.4+2.6))*10.764</f>
        <v>418.1814</v>
      </c>
      <c r="E523" s="51">
        <v>0</v>
      </c>
      <c r="F523" s="51">
        <f t="shared" si="61"/>
        <v>627.27210000000002</v>
      </c>
      <c r="G523" s="179"/>
      <c r="H523" s="180"/>
      <c r="I523" s="37"/>
    </row>
    <row r="524" spans="1:16" s="63" customFormat="1" ht="15.75" customHeight="1" x14ac:dyDescent="0.35">
      <c r="A524" s="164">
        <v>3</v>
      </c>
      <c r="B524" s="165"/>
      <c r="C524" s="47" t="s">
        <v>176</v>
      </c>
      <c r="D524" s="90">
        <f t="shared" si="62"/>
        <v>418.1814</v>
      </c>
      <c r="E524" s="51">
        <v>0</v>
      </c>
      <c r="F524" s="51">
        <f t="shared" si="61"/>
        <v>627.27210000000002</v>
      </c>
      <c r="G524" s="179"/>
      <c r="H524" s="180"/>
      <c r="I524" s="37"/>
    </row>
    <row r="525" spans="1:16" s="63" customFormat="1" ht="15.75" customHeight="1" x14ac:dyDescent="0.35">
      <c r="A525" s="164">
        <v>4</v>
      </c>
      <c r="B525" s="165"/>
      <c r="C525" s="47" t="s">
        <v>176</v>
      </c>
      <c r="D525" s="90">
        <f t="shared" si="62"/>
        <v>418.1814</v>
      </c>
      <c r="E525" s="51">
        <v>0</v>
      </c>
      <c r="F525" s="51">
        <f t="shared" si="61"/>
        <v>627.27210000000002</v>
      </c>
      <c r="G525" s="179"/>
      <c r="H525" s="180"/>
      <c r="I525" s="37"/>
    </row>
    <row r="526" spans="1:16" s="63" customFormat="1" ht="15" customHeight="1" x14ac:dyDescent="0.35">
      <c r="A526" s="164">
        <v>5</v>
      </c>
      <c r="B526" s="165"/>
      <c r="C526" s="47" t="s">
        <v>176</v>
      </c>
      <c r="D526" s="90">
        <f t="shared" si="62"/>
        <v>418.1814</v>
      </c>
      <c r="E526" s="51">
        <v>0</v>
      </c>
      <c r="F526" s="51">
        <f t="shared" si="61"/>
        <v>627.27210000000002</v>
      </c>
      <c r="G526" s="179"/>
      <c r="H526" s="180"/>
      <c r="I526" s="37"/>
    </row>
    <row r="527" spans="1:16" s="63" customFormat="1" ht="17.25" customHeight="1" x14ac:dyDescent="0.35">
      <c r="A527" s="164">
        <v>6</v>
      </c>
      <c r="B527" s="165"/>
      <c r="C527" s="47" t="s">
        <v>176</v>
      </c>
      <c r="D527" s="90">
        <f t="shared" si="62"/>
        <v>418.1814</v>
      </c>
      <c r="E527" s="51">
        <v>0</v>
      </c>
      <c r="F527" s="51">
        <f t="shared" si="61"/>
        <v>627.27210000000002</v>
      </c>
      <c r="G527" s="181"/>
      <c r="H527" s="182"/>
      <c r="I527" s="37"/>
    </row>
    <row r="528" spans="1:16" s="63" customFormat="1" x14ac:dyDescent="0.35">
      <c r="A528" s="170" t="s">
        <v>195</v>
      </c>
      <c r="B528" s="171"/>
      <c r="C528" s="171"/>
      <c r="D528" s="171"/>
      <c r="E528" s="171"/>
      <c r="F528" s="171"/>
      <c r="G528" s="171"/>
      <c r="H528" s="172"/>
      <c r="J528" s="37"/>
    </row>
    <row r="529" spans="1:16" s="63" customFormat="1" ht="15.75" customHeight="1" x14ac:dyDescent="0.35">
      <c r="A529" s="164">
        <v>1</v>
      </c>
      <c r="B529" s="165"/>
      <c r="C529" s="47" t="s">
        <v>176</v>
      </c>
      <c r="D529" s="90">
        <f t="shared" ref="D529:D532" si="63">(29.9+1.25*2.6+2.6*0.75+0.75*(2.4+2.6))*10.764</f>
        <v>418.1814</v>
      </c>
      <c r="E529" s="51">
        <v>0</v>
      </c>
      <c r="F529" s="51">
        <f>D529*(($F$381)+1)+(IF(E529&lt;101,E529,IF(E529&lt;201,E529/2,IF(E529&lt;=301,E529/3,E529/4))))</f>
        <v>627.27210000000002</v>
      </c>
      <c r="G529" s="177" t="str">
        <f>A528</f>
        <v>8th Floor ( Part Refuge Floor )</v>
      </c>
      <c r="H529" s="178"/>
      <c r="J529" s="37"/>
    </row>
    <row r="530" spans="1:16" s="63" customFormat="1" ht="15.75" customHeight="1" x14ac:dyDescent="0.35">
      <c r="A530" s="164">
        <v>2</v>
      </c>
      <c r="B530" s="165"/>
      <c r="C530" s="47" t="s">
        <v>176</v>
      </c>
      <c r="D530" s="90">
        <f t="shared" si="63"/>
        <v>418.1814</v>
      </c>
      <c r="E530" s="51">
        <v>0</v>
      </c>
      <c r="F530" s="51">
        <f>D530*(($F$381)+1)+(IF(E530&lt;101,E530,IF(E530&lt;201,E530/2,IF(E530&lt;=301,E530/3,E530/4))))</f>
        <v>627.27210000000002</v>
      </c>
      <c r="G530" s="179"/>
      <c r="H530" s="180"/>
      <c r="I530" s="37"/>
      <c r="L530" s="174"/>
      <c r="M530" s="174"/>
      <c r="N530" s="37"/>
    </row>
    <row r="531" spans="1:16" s="63" customFormat="1" ht="15.75" customHeight="1" x14ac:dyDescent="0.35">
      <c r="A531" s="164">
        <v>3</v>
      </c>
      <c r="B531" s="165"/>
      <c r="C531" s="47" t="s">
        <v>176</v>
      </c>
      <c r="D531" s="90">
        <f t="shared" si="63"/>
        <v>418.1814</v>
      </c>
      <c r="E531" s="51">
        <v>0</v>
      </c>
      <c r="F531" s="51">
        <f>D531*(($F$381)+1)+(IF(E531&lt;101,E531,IF(E531&lt;201,E531/2,IF(E531&lt;=301,E531/3,E531/4))))</f>
        <v>627.27210000000002</v>
      </c>
      <c r="G531" s="179"/>
      <c r="H531" s="180"/>
      <c r="I531" s="37"/>
      <c r="L531" s="174"/>
      <c r="M531" s="174"/>
      <c r="N531" s="37"/>
    </row>
    <row r="532" spans="1:16" s="74" customFormat="1" ht="15.75" customHeight="1" x14ac:dyDescent="0.35">
      <c r="A532" s="164">
        <v>4</v>
      </c>
      <c r="B532" s="165"/>
      <c r="C532" s="47" t="s">
        <v>176</v>
      </c>
      <c r="D532" s="90">
        <f t="shared" si="63"/>
        <v>418.1814</v>
      </c>
      <c r="E532" s="51">
        <v>0</v>
      </c>
      <c r="F532" s="51">
        <f>D532*(($F$381)+1)+(IF(E532&lt;101,E532,IF(E532&lt;201,E532/2,IF(E532&lt;=301,E532/3,E532/4))))</f>
        <v>627.27210000000002</v>
      </c>
      <c r="G532" s="179"/>
      <c r="H532" s="180"/>
      <c r="I532" s="37"/>
      <c r="L532" s="174"/>
      <c r="M532" s="174"/>
      <c r="N532" s="37"/>
    </row>
    <row r="533" spans="1:16" s="63" customFormat="1" ht="15.75" customHeight="1" x14ac:dyDescent="0.35">
      <c r="A533" s="164" t="s">
        <v>236</v>
      </c>
      <c r="B533" s="165"/>
      <c r="C533" s="263" t="s">
        <v>237</v>
      </c>
      <c r="D533" s="264"/>
      <c r="E533" s="264"/>
      <c r="F533" s="265"/>
      <c r="G533" s="179"/>
      <c r="H533" s="180"/>
      <c r="I533" s="37"/>
      <c r="L533" s="174"/>
      <c r="M533" s="174"/>
      <c r="N533" s="37"/>
    </row>
    <row r="534" spans="1:16" s="63" customFormat="1" ht="15.75" customHeight="1" x14ac:dyDescent="0.35">
      <c r="A534" s="164">
        <v>5</v>
      </c>
      <c r="B534" s="165"/>
      <c r="C534" s="47" t="s">
        <v>176</v>
      </c>
      <c r="D534" s="90">
        <f>(29.9+1.25*2.6+2.6*0.75+0.75*(2.4+2.6))*10.764</f>
        <v>418.1814</v>
      </c>
      <c r="E534" s="51">
        <v>0</v>
      </c>
      <c r="F534" s="51">
        <f>D534*(($F$381)+1)+(IF(E534&lt;101,E534,IF(E534&lt;201,E534/2,IF(E534&lt;=301,E534/3,E534/4))))</f>
        <v>627.27210000000002</v>
      </c>
      <c r="G534" s="181"/>
      <c r="H534" s="182"/>
      <c r="I534" s="37"/>
      <c r="L534" s="174"/>
      <c r="M534" s="174"/>
      <c r="N534" s="37"/>
    </row>
    <row r="535" spans="1:16" s="63" customFormat="1" ht="15.75" customHeight="1" x14ac:dyDescent="0.35">
      <c r="A535" s="170" t="s">
        <v>170</v>
      </c>
      <c r="B535" s="171"/>
      <c r="C535" s="171"/>
      <c r="D535" s="171"/>
      <c r="E535" s="171"/>
      <c r="F535" s="171"/>
      <c r="G535" s="171"/>
      <c r="H535" s="172"/>
      <c r="I535" s="37"/>
      <c r="P535" s="38"/>
    </row>
    <row r="536" spans="1:16" s="63" customFormat="1" x14ac:dyDescent="0.35">
      <c r="A536" s="170" t="s">
        <v>180</v>
      </c>
      <c r="B536" s="171"/>
      <c r="C536" s="171"/>
      <c r="D536" s="171"/>
      <c r="E536" s="171"/>
      <c r="F536" s="171"/>
      <c r="G536" s="171"/>
      <c r="H536" s="172"/>
      <c r="J536" s="37"/>
    </row>
    <row r="537" spans="1:16" s="63" customFormat="1" ht="15.75" customHeight="1" x14ac:dyDescent="0.35">
      <c r="A537" s="164">
        <v>1</v>
      </c>
      <c r="B537" s="165"/>
      <c r="C537" s="47" t="s">
        <v>176</v>
      </c>
      <c r="D537" s="90">
        <f t="shared" ref="D537:D542" si="64">(29.9+1.25*2.6+2.6*0.75+0.75*(2.4+2.6))*10.764</f>
        <v>418.1814</v>
      </c>
      <c r="E537" s="51">
        <v>0</v>
      </c>
      <c r="F537" s="51">
        <f t="shared" ref="F537:F542" si="65">D537*(($F$381)+1)+(IF(E537&lt;101,E537,IF(E537&lt;201,E537/2,IF(E537&lt;=301,E537/3,E537/4))))</f>
        <v>627.27210000000002</v>
      </c>
      <c r="G537" s="177" t="str">
        <f>A536</f>
        <v>1st to 7th &amp; 9th to 11th Floor For Residential</v>
      </c>
      <c r="H537" s="178"/>
      <c r="I537" s="37"/>
      <c r="P537" s="38"/>
    </row>
    <row r="538" spans="1:16" s="63" customFormat="1" ht="15.75" customHeight="1" x14ac:dyDescent="0.35">
      <c r="A538" s="164">
        <v>2</v>
      </c>
      <c r="B538" s="165"/>
      <c r="C538" s="47" t="s">
        <v>176</v>
      </c>
      <c r="D538" s="90">
        <f t="shared" si="64"/>
        <v>418.1814</v>
      </c>
      <c r="E538" s="51">
        <v>0</v>
      </c>
      <c r="F538" s="51">
        <f t="shared" si="65"/>
        <v>627.27210000000002</v>
      </c>
      <c r="G538" s="179"/>
      <c r="H538" s="180"/>
      <c r="I538" s="37"/>
    </row>
    <row r="539" spans="1:16" s="63" customFormat="1" ht="15.75" customHeight="1" x14ac:dyDescent="0.35">
      <c r="A539" s="164">
        <v>3</v>
      </c>
      <c r="B539" s="165"/>
      <c r="C539" s="47" t="s">
        <v>176</v>
      </c>
      <c r="D539" s="90">
        <f t="shared" si="64"/>
        <v>418.1814</v>
      </c>
      <c r="E539" s="51">
        <v>0</v>
      </c>
      <c r="F539" s="51">
        <f t="shared" si="65"/>
        <v>627.27210000000002</v>
      </c>
      <c r="G539" s="179"/>
      <c r="H539" s="180"/>
      <c r="I539" s="37"/>
    </row>
    <row r="540" spans="1:16" s="63" customFormat="1" ht="15.75" customHeight="1" x14ac:dyDescent="0.35">
      <c r="A540" s="164">
        <v>4</v>
      </c>
      <c r="B540" s="165"/>
      <c r="C540" s="47" t="s">
        <v>176</v>
      </c>
      <c r="D540" s="90">
        <f t="shared" si="64"/>
        <v>418.1814</v>
      </c>
      <c r="E540" s="51">
        <v>0</v>
      </c>
      <c r="F540" s="51">
        <f t="shared" si="65"/>
        <v>627.27210000000002</v>
      </c>
      <c r="G540" s="179"/>
      <c r="H540" s="180"/>
      <c r="I540" s="37"/>
    </row>
    <row r="541" spans="1:16" s="63" customFormat="1" ht="15.75" customHeight="1" x14ac:dyDescent="0.35">
      <c r="A541" s="164">
        <v>5</v>
      </c>
      <c r="B541" s="165"/>
      <c r="C541" s="47" t="s">
        <v>176</v>
      </c>
      <c r="D541" s="90">
        <f t="shared" si="64"/>
        <v>418.1814</v>
      </c>
      <c r="E541" s="51">
        <v>0</v>
      </c>
      <c r="F541" s="51">
        <f t="shared" si="65"/>
        <v>627.27210000000002</v>
      </c>
      <c r="G541" s="179"/>
      <c r="H541" s="180"/>
      <c r="I541" s="37"/>
    </row>
    <row r="542" spans="1:16" s="63" customFormat="1" ht="17.25" customHeight="1" x14ac:dyDescent="0.35">
      <c r="A542" s="164">
        <v>6</v>
      </c>
      <c r="B542" s="165"/>
      <c r="C542" s="47" t="s">
        <v>176</v>
      </c>
      <c r="D542" s="90">
        <f t="shared" si="64"/>
        <v>418.1814</v>
      </c>
      <c r="E542" s="51">
        <v>0</v>
      </c>
      <c r="F542" s="51">
        <f t="shared" si="65"/>
        <v>627.27210000000002</v>
      </c>
      <c r="G542" s="181"/>
      <c r="H542" s="182"/>
      <c r="I542" s="37"/>
    </row>
    <row r="543" spans="1:16" s="63" customFormat="1" x14ac:dyDescent="0.35">
      <c r="A543" s="169" t="s">
        <v>195</v>
      </c>
      <c r="B543" s="169"/>
      <c r="C543" s="169"/>
      <c r="D543" s="169"/>
      <c r="E543" s="169"/>
      <c r="F543" s="169"/>
      <c r="G543" s="169"/>
      <c r="H543" s="169"/>
      <c r="J543" s="37"/>
    </row>
    <row r="544" spans="1:16" s="63" customFormat="1" ht="15.75" customHeight="1" x14ac:dyDescent="0.35">
      <c r="A544" s="175">
        <v>1</v>
      </c>
      <c r="B544" s="175"/>
      <c r="C544" s="47" t="s">
        <v>176</v>
      </c>
      <c r="D544" s="90">
        <f t="shared" ref="D544:D547" si="66">(29.9+1.25*2.6+2.6*0.75+0.75*(2.4+2.6))*10.764</f>
        <v>418.1814</v>
      </c>
      <c r="E544" s="51">
        <v>0</v>
      </c>
      <c r="F544" s="51">
        <f>D544*(($F$381)+1)+(IF(E544&lt;101,E544,IF(E544&lt;201,E544/2,IF(E544&lt;=301,E544/3,E544/4))))</f>
        <v>627.27210000000002</v>
      </c>
      <c r="G544" s="175" t="str">
        <f>A543</f>
        <v>8th Floor ( Part Refuge Floor )</v>
      </c>
      <c r="H544" s="175"/>
      <c r="J544" s="37"/>
    </row>
    <row r="545" spans="1:16" s="63" customFormat="1" ht="15.75" customHeight="1" x14ac:dyDescent="0.35">
      <c r="A545" s="175">
        <v>2</v>
      </c>
      <c r="B545" s="175"/>
      <c r="C545" s="47" t="s">
        <v>176</v>
      </c>
      <c r="D545" s="90">
        <f t="shared" si="66"/>
        <v>418.1814</v>
      </c>
      <c r="E545" s="51">
        <v>0</v>
      </c>
      <c r="F545" s="51">
        <f>D545*(($F$381)+1)+(IF(E545&lt;101,E545,IF(E545&lt;201,E545/2,IF(E545&lt;=301,E545/3,E545/4))))</f>
        <v>627.27210000000002</v>
      </c>
      <c r="G545" s="175"/>
      <c r="H545" s="175"/>
      <c r="I545" s="37"/>
      <c r="L545" s="174"/>
      <c r="M545" s="174"/>
      <c r="N545" s="37"/>
    </row>
    <row r="546" spans="1:16" s="63" customFormat="1" ht="15.75" customHeight="1" x14ac:dyDescent="0.35">
      <c r="A546" s="175">
        <v>3</v>
      </c>
      <c r="B546" s="175"/>
      <c r="C546" s="47" t="s">
        <v>176</v>
      </c>
      <c r="D546" s="90">
        <f t="shared" si="66"/>
        <v>418.1814</v>
      </c>
      <c r="E546" s="51">
        <v>0</v>
      </c>
      <c r="F546" s="51">
        <f>D546*(($F$381)+1)+(IF(E546&lt;101,E546,IF(E546&lt;201,E546/2,IF(E546&lt;=301,E546/3,E546/4))))</f>
        <v>627.27210000000002</v>
      </c>
      <c r="G546" s="175"/>
      <c r="H546" s="175"/>
      <c r="I546" s="37"/>
      <c r="L546" s="174"/>
      <c r="M546" s="174"/>
      <c r="N546" s="37"/>
    </row>
    <row r="547" spans="1:16" s="63" customFormat="1" ht="15.75" customHeight="1" x14ac:dyDescent="0.35">
      <c r="A547" s="175">
        <v>4</v>
      </c>
      <c r="B547" s="175"/>
      <c r="C547" s="47" t="s">
        <v>176</v>
      </c>
      <c r="D547" s="90">
        <f t="shared" si="66"/>
        <v>418.1814</v>
      </c>
      <c r="E547" s="51">
        <v>0</v>
      </c>
      <c r="F547" s="51">
        <f>D547*(($F$381)+1)+(IF(E547&lt;101,E547,IF(E547&lt;201,E547/2,IF(E547&lt;=301,E547/3,E547/4))))</f>
        <v>627.27210000000002</v>
      </c>
      <c r="G547" s="175"/>
      <c r="H547" s="175"/>
      <c r="I547" s="37"/>
      <c r="L547" s="174"/>
      <c r="M547" s="174"/>
      <c r="N547" s="37"/>
    </row>
    <row r="548" spans="1:16" s="74" customFormat="1" ht="15.75" customHeight="1" x14ac:dyDescent="0.35">
      <c r="A548" s="175" t="s">
        <v>236</v>
      </c>
      <c r="B548" s="175"/>
      <c r="C548" s="266" t="s">
        <v>237</v>
      </c>
      <c r="D548" s="266"/>
      <c r="E548" s="266"/>
      <c r="F548" s="266"/>
      <c r="G548" s="175"/>
      <c r="H548" s="175"/>
      <c r="I548" s="37"/>
      <c r="L548" s="174"/>
      <c r="M548" s="174"/>
      <c r="N548" s="37"/>
    </row>
    <row r="549" spans="1:16" s="63" customFormat="1" ht="15.75" customHeight="1" x14ac:dyDescent="0.35">
      <c r="A549" s="175">
        <v>5</v>
      </c>
      <c r="B549" s="175"/>
      <c r="C549" s="47" t="s">
        <v>176</v>
      </c>
      <c r="D549" s="90">
        <f>(29.9+1.25*2.6+2.6*0.75+0.75*(2.4+2.6))*10.764</f>
        <v>418.1814</v>
      </c>
      <c r="E549" s="51">
        <v>0</v>
      </c>
      <c r="F549" s="51">
        <f>D549*(($F$381)+1)+(IF(E549&lt;101,E549,IF(E549&lt;201,E549/2,IF(E549&lt;=301,E549/3,E549/4))))</f>
        <v>627.27210000000002</v>
      </c>
      <c r="G549" s="175"/>
      <c r="H549" s="175"/>
      <c r="I549" s="37"/>
      <c r="L549" s="174"/>
      <c r="M549" s="174"/>
      <c r="N549" s="37"/>
    </row>
    <row r="550" spans="1:16" s="63" customFormat="1" ht="16.5" customHeight="1" x14ac:dyDescent="0.35">
      <c r="A550" s="170" t="s">
        <v>192</v>
      </c>
      <c r="B550" s="171"/>
      <c r="C550" s="171"/>
      <c r="D550" s="171"/>
      <c r="E550" s="171"/>
      <c r="F550" s="171"/>
      <c r="G550" s="171"/>
      <c r="H550" s="172"/>
      <c r="I550" s="37"/>
      <c r="P550" s="38"/>
    </row>
    <row r="551" spans="1:16" s="63" customFormat="1" ht="15.75" customHeight="1" x14ac:dyDescent="0.35">
      <c r="A551" s="170" t="s">
        <v>169</v>
      </c>
      <c r="B551" s="171"/>
      <c r="C551" s="171"/>
      <c r="D551" s="171"/>
      <c r="E551" s="171"/>
      <c r="F551" s="171"/>
      <c r="G551" s="171"/>
      <c r="H551" s="172"/>
      <c r="I551" s="37"/>
      <c r="P551" s="38"/>
    </row>
    <row r="552" spans="1:16" s="63" customFormat="1" x14ac:dyDescent="0.35">
      <c r="A552" s="170" t="s">
        <v>180</v>
      </c>
      <c r="B552" s="171"/>
      <c r="C552" s="171"/>
      <c r="D552" s="171"/>
      <c r="E552" s="171"/>
      <c r="F552" s="171"/>
      <c r="G552" s="171"/>
      <c r="H552" s="172"/>
      <c r="J552" s="37"/>
    </row>
    <row r="553" spans="1:16" s="63" customFormat="1" ht="15.75" customHeight="1" x14ac:dyDescent="0.35">
      <c r="A553" s="164">
        <v>1</v>
      </c>
      <c r="B553" s="165"/>
      <c r="C553" s="47" t="s">
        <v>176</v>
      </c>
      <c r="D553" s="90">
        <f t="shared" ref="D553:D558" si="67">(29.9+1.25*2.6+2.6*0.75+0.75*(2.4+2.6))*10.764</f>
        <v>418.1814</v>
      </c>
      <c r="E553" s="51">
        <v>0</v>
      </c>
      <c r="F553" s="51">
        <f t="shared" ref="F553:F558" si="68">D553*(($F$381)+1)+(IF(E553&lt;101,E553,IF(E553&lt;201,E553/2,IF(E553&lt;=301,E553/3,E553/4))))</f>
        <v>627.27210000000002</v>
      </c>
      <c r="G553" s="177" t="str">
        <f>A552</f>
        <v>1st to 7th &amp; 9th to 11th Floor For Residential</v>
      </c>
      <c r="H553" s="178"/>
      <c r="I553" s="37"/>
      <c r="P553" s="38"/>
    </row>
    <row r="554" spans="1:16" s="63" customFormat="1" ht="15.75" customHeight="1" x14ac:dyDescent="0.35">
      <c r="A554" s="164">
        <v>2</v>
      </c>
      <c r="B554" s="165"/>
      <c r="C554" s="47" t="s">
        <v>176</v>
      </c>
      <c r="D554" s="90">
        <f t="shared" si="67"/>
        <v>418.1814</v>
      </c>
      <c r="E554" s="51">
        <v>0</v>
      </c>
      <c r="F554" s="51">
        <f t="shared" si="68"/>
        <v>627.27210000000002</v>
      </c>
      <c r="G554" s="179"/>
      <c r="H554" s="180"/>
      <c r="I554" s="37"/>
    </row>
    <row r="555" spans="1:16" s="63" customFormat="1" ht="15.75" customHeight="1" x14ac:dyDescent="0.35">
      <c r="A555" s="164">
        <v>3</v>
      </c>
      <c r="B555" s="165"/>
      <c r="C555" s="47" t="s">
        <v>176</v>
      </c>
      <c r="D555" s="90">
        <f t="shared" si="67"/>
        <v>418.1814</v>
      </c>
      <c r="E555" s="51">
        <v>0</v>
      </c>
      <c r="F555" s="51">
        <f t="shared" si="68"/>
        <v>627.27210000000002</v>
      </c>
      <c r="G555" s="179"/>
      <c r="H555" s="180"/>
      <c r="I555" s="37"/>
    </row>
    <row r="556" spans="1:16" s="63" customFormat="1" ht="15.75" customHeight="1" x14ac:dyDescent="0.35">
      <c r="A556" s="164">
        <v>4</v>
      </c>
      <c r="B556" s="165"/>
      <c r="C556" s="47" t="s">
        <v>176</v>
      </c>
      <c r="D556" s="90">
        <f t="shared" si="67"/>
        <v>418.1814</v>
      </c>
      <c r="E556" s="51">
        <v>0</v>
      </c>
      <c r="F556" s="51">
        <f t="shared" si="68"/>
        <v>627.27210000000002</v>
      </c>
      <c r="G556" s="179"/>
      <c r="H556" s="180"/>
      <c r="I556" s="37"/>
    </row>
    <row r="557" spans="1:16" s="63" customFormat="1" ht="15.75" customHeight="1" x14ac:dyDescent="0.35">
      <c r="A557" s="164">
        <v>5</v>
      </c>
      <c r="B557" s="165"/>
      <c r="C557" s="47" t="s">
        <v>176</v>
      </c>
      <c r="D557" s="90">
        <f t="shared" si="67"/>
        <v>418.1814</v>
      </c>
      <c r="E557" s="51">
        <v>0</v>
      </c>
      <c r="F557" s="51">
        <f t="shared" si="68"/>
        <v>627.27210000000002</v>
      </c>
      <c r="G557" s="179"/>
      <c r="H557" s="180"/>
      <c r="I557" s="37"/>
    </row>
    <row r="558" spans="1:16" s="63" customFormat="1" ht="17.25" customHeight="1" x14ac:dyDescent="0.35">
      <c r="A558" s="164">
        <v>6</v>
      </c>
      <c r="B558" s="165"/>
      <c r="C558" s="47" t="s">
        <v>176</v>
      </c>
      <c r="D558" s="90">
        <f t="shared" si="67"/>
        <v>418.1814</v>
      </c>
      <c r="E558" s="51">
        <v>0</v>
      </c>
      <c r="F558" s="51">
        <f t="shared" si="68"/>
        <v>627.27210000000002</v>
      </c>
      <c r="G558" s="181"/>
      <c r="H558" s="182"/>
      <c r="I558" s="37"/>
    </row>
    <row r="559" spans="1:16" s="63" customFormat="1" x14ac:dyDescent="0.35">
      <c r="A559" s="170" t="s">
        <v>195</v>
      </c>
      <c r="B559" s="171"/>
      <c r="C559" s="171"/>
      <c r="D559" s="171"/>
      <c r="E559" s="171"/>
      <c r="F559" s="171"/>
      <c r="G559" s="171"/>
      <c r="H559" s="172"/>
      <c r="J559" s="37"/>
    </row>
    <row r="560" spans="1:16" s="63" customFormat="1" ht="15.75" customHeight="1" x14ac:dyDescent="0.35">
      <c r="A560" s="164">
        <v>1</v>
      </c>
      <c r="B560" s="165"/>
      <c r="C560" s="47" t="s">
        <v>176</v>
      </c>
      <c r="D560" s="90">
        <f t="shared" ref="D560:D563" si="69">(29.9+1.25*2.6+2.6*0.75+0.75*(2.4+2.6))*10.764</f>
        <v>418.1814</v>
      </c>
      <c r="E560" s="51">
        <v>0</v>
      </c>
      <c r="F560" s="51">
        <f>D560*(($F$381)+1)+(IF(E560&lt;101,E560,IF(E560&lt;201,E560/2,IF(E560&lt;=301,E560/3,E560/4))))</f>
        <v>627.27210000000002</v>
      </c>
      <c r="G560" s="177" t="str">
        <f>A559</f>
        <v>8th Floor ( Part Refuge Floor )</v>
      </c>
      <c r="H560" s="178"/>
      <c r="J560" s="37"/>
    </row>
    <row r="561" spans="1:16" s="63" customFormat="1" ht="15.75" customHeight="1" x14ac:dyDescent="0.35">
      <c r="A561" s="164">
        <v>2</v>
      </c>
      <c r="B561" s="165"/>
      <c r="C561" s="47" t="s">
        <v>176</v>
      </c>
      <c r="D561" s="90">
        <f t="shared" si="69"/>
        <v>418.1814</v>
      </c>
      <c r="E561" s="51">
        <v>0</v>
      </c>
      <c r="F561" s="51">
        <f>D561*(($F$381)+1)+(IF(E561&lt;101,E561,IF(E561&lt;201,E561/2,IF(E561&lt;=301,E561/3,E561/4))))</f>
        <v>627.27210000000002</v>
      </c>
      <c r="G561" s="179"/>
      <c r="H561" s="180"/>
      <c r="I561" s="37"/>
      <c r="L561" s="174"/>
      <c r="M561" s="174"/>
      <c r="N561" s="37"/>
    </row>
    <row r="562" spans="1:16" s="63" customFormat="1" ht="15.75" customHeight="1" x14ac:dyDescent="0.35">
      <c r="A562" s="164">
        <v>3</v>
      </c>
      <c r="B562" s="165"/>
      <c r="C562" s="47" t="s">
        <v>176</v>
      </c>
      <c r="D562" s="90">
        <f t="shared" si="69"/>
        <v>418.1814</v>
      </c>
      <c r="E562" s="51">
        <v>0</v>
      </c>
      <c r="F562" s="51">
        <f>D562*(($F$381)+1)+(IF(E562&lt;101,E562,IF(E562&lt;201,E562/2,IF(E562&lt;=301,E562/3,E562/4))))</f>
        <v>627.27210000000002</v>
      </c>
      <c r="G562" s="179"/>
      <c r="H562" s="180"/>
      <c r="I562" s="37"/>
      <c r="L562" s="174"/>
      <c r="M562" s="174"/>
      <c r="N562" s="37"/>
    </row>
    <row r="563" spans="1:16" s="63" customFormat="1" ht="15.75" customHeight="1" x14ac:dyDescent="0.35">
      <c r="A563" s="164">
        <v>4</v>
      </c>
      <c r="B563" s="165"/>
      <c r="C563" s="47" t="s">
        <v>176</v>
      </c>
      <c r="D563" s="90">
        <f t="shared" si="69"/>
        <v>418.1814</v>
      </c>
      <c r="E563" s="51">
        <v>0</v>
      </c>
      <c r="F563" s="51">
        <f>D563*(($F$381)+1)+(IF(E563&lt;101,E563,IF(E563&lt;201,E563/2,IF(E563&lt;=301,E563/3,E563/4))))</f>
        <v>627.27210000000002</v>
      </c>
      <c r="G563" s="179"/>
      <c r="H563" s="180"/>
      <c r="I563" s="37"/>
      <c r="L563" s="174"/>
      <c r="M563" s="174"/>
      <c r="N563" s="37"/>
    </row>
    <row r="564" spans="1:16" s="74" customFormat="1" ht="15.75" customHeight="1" x14ac:dyDescent="0.35">
      <c r="A564" s="164" t="s">
        <v>236</v>
      </c>
      <c r="B564" s="165"/>
      <c r="C564" s="263" t="s">
        <v>237</v>
      </c>
      <c r="D564" s="264"/>
      <c r="E564" s="264"/>
      <c r="F564" s="265"/>
      <c r="G564" s="179"/>
      <c r="H564" s="180"/>
      <c r="I564" s="37"/>
      <c r="L564" s="174"/>
      <c r="M564" s="174"/>
      <c r="N564" s="37"/>
    </row>
    <row r="565" spans="1:16" s="63" customFormat="1" ht="15.75" customHeight="1" x14ac:dyDescent="0.35">
      <c r="A565" s="164">
        <v>5</v>
      </c>
      <c r="B565" s="165"/>
      <c r="C565" s="47" t="s">
        <v>176</v>
      </c>
      <c r="D565" s="90">
        <f>(29.9+1.25*2.6+2.6*0.75+0.75*(2.4+2.6))*10.764</f>
        <v>418.1814</v>
      </c>
      <c r="E565" s="51">
        <v>0</v>
      </c>
      <c r="F565" s="51">
        <f>D565*(($F$381)+1)+(IF(E565&lt;101,E565,IF(E565&lt;201,E565/2,IF(E565&lt;=301,E565/3,E565/4))))</f>
        <v>627.27210000000002</v>
      </c>
      <c r="G565" s="181"/>
      <c r="H565" s="182"/>
      <c r="I565" s="37"/>
      <c r="L565" s="174"/>
      <c r="M565" s="174"/>
      <c r="N565" s="37"/>
    </row>
    <row r="566" spans="1:16" s="63" customFormat="1" ht="15.75" customHeight="1" x14ac:dyDescent="0.35">
      <c r="A566" s="170" t="s">
        <v>170</v>
      </c>
      <c r="B566" s="171"/>
      <c r="C566" s="171"/>
      <c r="D566" s="171"/>
      <c r="E566" s="171"/>
      <c r="F566" s="171"/>
      <c r="G566" s="171"/>
      <c r="H566" s="172"/>
      <c r="I566" s="37"/>
      <c r="P566" s="38"/>
    </row>
    <row r="567" spans="1:16" s="63" customFormat="1" x14ac:dyDescent="0.35">
      <c r="A567" s="170" t="s">
        <v>180</v>
      </c>
      <c r="B567" s="171"/>
      <c r="C567" s="171"/>
      <c r="D567" s="171"/>
      <c r="E567" s="171"/>
      <c r="F567" s="171"/>
      <c r="G567" s="171"/>
      <c r="H567" s="172"/>
      <c r="J567" s="37"/>
    </row>
    <row r="568" spans="1:16" s="63" customFormat="1" ht="15.75" customHeight="1" x14ac:dyDescent="0.35">
      <c r="A568" s="164">
        <v>1</v>
      </c>
      <c r="B568" s="165"/>
      <c r="C568" s="47" t="s">
        <v>176</v>
      </c>
      <c r="D568" s="90">
        <f t="shared" ref="D568:D573" si="70">(29.9+1.25*2.6+2.6*0.75+0.75*(2.4+2.6))*10.764</f>
        <v>418.1814</v>
      </c>
      <c r="E568" s="51">
        <v>0</v>
      </c>
      <c r="F568" s="51">
        <f t="shared" ref="F568:F573" si="71">D568*(($F$381)+1)+(IF(E568&lt;101,E568,IF(E568&lt;201,E568/2,IF(E568&lt;=301,E568/3,E568/4))))</f>
        <v>627.27210000000002</v>
      </c>
      <c r="G568" s="177" t="str">
        <f>A567</f>
        <v>1st to 7th &amp; 9th to 11th Floor For Residential</v>
      </c>
      <c r="H568" s="178"/>
      <c r="I568" s="37"/>
      <c r="P568" s="38"/>
    </row>
    <row r="569" spans="1:16" s="63" customFormat="1" ht="15.75" customHeight="1" x14ac:dyDescent="0.35">
      <c r="A569" s="164">
        <v>2</v>
      </c>
      <c r="B569" s="165"/>
      <c r="C569" s="47" t="s">
        <v>176</v>
      </c>
      <c r="D569" s="90">
        <f t="shared" si="70"/>
        <v>418.1814</v>
      </c>
      <c r="E569" s="51">
        <v>0</v>
      </c>
      <c r="F569" s="51">
        <f t="shared" si="71"/>
        <v>627.27210000000002</v>
      </c>
      <c r="G569" s="179"/>
      <c r="H569" s="180"/>
      <c r="I569" s="37"/>
    </row>
    <row r="570" spans="1:16" s="63" customFormat="1" ht="15.75" customHeight="1" x14ac:dyDescent="0.35">
      <c r="A570" s="164">
        <v>3</v>
      </c>
      <c r="B570" s="165"/>
      <c r="C570" s="47" t="s">
        <v>176</v>
      </c>
      <c r="D570" s="90">
        <f t="shared" si="70"/>
        <v>418.1814</v>
      </c>
      <c r="E570" s="51">
        <v>0</v>
      </c>
      <c r="F570" s="51">
        <f t="shared" si="71"/>
        <v>627.27210000000002</v>
      </c>
      <c r="G570" s="179"/>
      <c r="H570" s="180"/>
      <c r="I570" s="37"/>
    </row>
    <row r="571" spans="1:16" s="63" customFormat="1" ht="15.75" customHeight="1" x14ac:dyDescent="0.35">
      <c r="A571" s="164">
        <v>4</v>
      </c>
      <c r="B571" s="165"/>
      <c r="C571" s="47" t="s">
        <v>176</v>
      </c>
      <c r="D571" s="90">
        <f t="shared" si="70"/>
        <v>418.1814</v>
      </c>
      <c r="E571" s="51">
        <v>0</v>
      </c>
      <c r="F571" s="51">
        <f t="shared" si="71"/>
        <v>627.27210000000002</v>
      </c>
      <c r="G571" s="179"/>
      <c r="H571" s="180"/>
      <c r="I571" s="37"/>
    </row>
    <row r="572" spans="1:16" s="63" customFormat="1" ht="15.75" customHeight="1" x14ac:dyDescent="0.35">
      <c r="A572" s="164">
        <v>5</v>
      </c>
      <c r="B572" s="165"/>
      <c r="C572" s="47" t="s">
        <v>176</v>
      </c>
      <c r="D572" s="90">
        <f t="shared" si="70"/>
        <v>418.1814</v>
      </c>
      <c r="E572" s="51">
        <v>0</v>
      </c>
      <c r="F572" s="51">
        <f t="shared" si="71"/>
        <v>627.27210000000002</v>
      </c>
      <c r="G572" s="179"/>
      <c r="H572" s="180"/>
      <c r="I572" s="37"/>
    </row>
    <row r="573" spans="1:16" s="63" customFormat="1" ht="17.25" customHeight="1" x14ac:dyDescent="0.35">
      <c r="A573" s="164">
        <v>6</v>
      </c>
      <c r="B573" s="165"/>
      <c r="C573" s="47" t="s">
        <v>176</v>
      </c>
      <c r="D573" s="90">
        <f t="shared" si="70"/>
        <v>418.1814</v>
      </c>
      <c r="E573" s="51">
        <v>0</v>
      </c>
      <c r="F573" s="51">
        <f t="shared" si="71"/>
        <v>627.27210000000002</v>
      </c>
      <c r="G573" s="181"/>
      <c r="H573" s="182"/>
      <c r="I573" s="37"/>
    </row>
    <row r="574" spans="1:16" s="63" customFormat="1" x14ac:dyDescent="0.35">
      <c r="A574" s="170" t="s">
        <v>198</v>
      </c>
      <c r="B574" s="171"/>
      <c r="C574" s="171"/>
      <c r="D574" s="171"/>
      <c r="E574" s="171"/>
      <c r="F574" s="171"/>
      <c r="G574" s="171"/>
      <c r="H574" s="172"/>
      <c r="J574" s="37"/>
    </row>
    <row r="575" spans="1:16" s="63" customFormat="1" ht="15.75" customHeight="1" x14ac:dyDescent="0.35">
      <c r="A575" s="164">
        <v>1</v>
      </c>
      <c r="B575" s="165"/>
      <c r="C575" s="47" t="s">
        <v>176</v>
      </c>
      <c r="D575" s="90">
        <f t="shared" ref="D575:D578" si="72">(29.9+1.25*2.6+2.6*0.75+0.75*(2.4+2.6))*10.764</f>
        <v>418.1814</v>
      </c>
      <c r="E575" s="51">
        <v>0</v>
      </c>
      <c r="F575" s="51">
        <f>D575*(($F$381)+1)+(IF(E575&lt;101,E575,IF(E575&lt;201,E575/2,IF(E575&lt;=301,E575/3,E575/4))))</f>
        <v>627.27210000000002</v>
      </c>
      <c r="G575" s="177" t="str">
        <f>A574</f>
        <v>8th Floor (  Part Refuge Floor )</v>
      </c>
      <c r="H575" s="178"/>
      <c r="J575" s="37"/>
    </row>
    <row r="576" spans="1:16" s="63" customFormat="1" ht="15.75" customHeight="1" x14ac:dyDescent="0.35">
      <c r="A576" s="164">
        <v>2</v>
      </c>
      <c r="B576" s="165"/>
      <c r="C576" s="47" t="s">
        <v>176</v>
      </c>
      <c r="D576" s="90">
        <f t="shared" si="72"/>
        <v>418.1814</v>
      </c>
      <c r="E576" s="51">
        <v>0</v>
      </c>
      <c r="F576" s="51">
        <f>D576*(($F$381)+1)+(IF(E576&lt;101,E576,IF(E576&lt;201,E576/2,IF(E576&lt;=301,E576/3,E576/4))))</f>
        <v>627.27210000000002</v>
      </c>
      <c r="G576" s="179"/>
      <c r="H576" s="180"/>
      <c r="I576" s="37"/>
      <c r="L576" s="174"/>
      <c r="M576" s="174"/>
      <c r="N576" s="37"/>
    </row>
    <row r="577" spans="1:16" s="63" customFormat="1" ht="15.75" customHeight="1" x14ac:dyDescent="0.35">
      <c r="A577" s="164">
        <v>3</v>
      </c>
      <c r="B577" s="165"/>
      <c r="C577" s="47" t="s">
        <v>176</v>
      </c>
      <c r="D577" s="90">
        <f t="shared" si="72"/>
        <v>418.1814</v>
      </c>
      <c r="E577" s="51">
        <v>0</v>
      </c>
      <c r="F577" s="51">
        <f>D577*(($F$381)+1)+(IF(E577&lt;101,E577,IF(E577&lt;201,E577/2,IF(E577&lt;=301,E577/3,E577/4))))</f>
        <v>627.27210000000002</v>
      </c>
      <c r="G577" s="179"/>
      <c r="H577" s="180"/>
      <c r="I577" s="37"/>
      <c r="L577" s="174"/>
      <c r="M577" s="174"/>
      <c r="N577" s="37"/>
    </row>
    <row r="578" spans="1:16" s="63" customFormat="1" ht="15.75" customHeight="1" x14ac:dyDescent="0.35">
      <c r="A578" s="164">
        <v>4</v>
      </c>
      <c r="B578" s="165"/>
      <c r="C578" s="47" t="s">
        <v>176</v>
      </c>
      <c r="D578" s="90">
        <f t="shared" si="72"/>
        <v>418.1814</v>
      </c>
      <c r="E578" s="51">
        <v>0</v>
      </c>
      <c r="F578" s="51">
        <f>D578*(($F$381)+1)+(IF(E578&lt;101,E578,IF(E578&lt;201,E578/2,IF(E578&lt;=301,E578/3,E578/4))))</f>
        <v>627.27210000000002</v>
      </c>
      <c r="G578" s="179"/>
      <c r="H578" s="180"/>
      <c r="I578" s="37"/>
      <c r="L578" s="174"/>
      <c r="M578" s="174"/>
      <c r="N578" s="37"/>
    </row>
    <row r="579" spans="1:16" s="74" customFormat="1" ht="15.75" customHeight="1" x14ac:dyDescent="0.35">
      <c r="A579" s="164" t="s">
        <v>236</v>
      </c>
      <c r="B579" s="165"/>
      <c r="C579" s="263" t="s">
        <v>237</v>
      </c>
      <c r="D579" s="264"/>
      <c r="E579" s="264"/>
      <c r="F579" s="265"/>
      <c r="G579" s="179"/>
      <c r="H579" s="180"/>
      <c r="I579" s="37"/>
      <c r="L579" s="174"/>
      <c r="M579" s="174"/>
      <c r="N579" s="37"/>
    </row>
    <row r="580" spans="1:16" s="63" customFormat="1" ht="15.75" customHeight="1" x14ac:dyDescent="0.35">
      <c r="A580" s="164">
        <v>5</v>
      </c>
      <c r="B580" s="165"/>
      <c r="C580" s="47" t="s">
        <v>176</v>
      </c>
      <c r="D580" s="90">
        <f>(29.9+1.25*2.6+2.6*0.75+0.75*(2.4+2.6))*10.764</f>
        <v>418.1814</v>
      </c>
      <c r="E580" s="51">
        <v>0</v>
      </c>
      <c r="F580" s="51">
        <f>D580*(($F$381)+1)+(IF(E580&lt;101,E580,IF(E580&lt;201,E580/2,IF(E580&lt;=301,E580/3,E580/4))))</f>
        <v>627.27210000000002</v>
      </c>
      <c r="G580" s="181"/>
      <c r="H580" s="182"/>
      <c r="I580" s="37"/>
      <c r="L580" s="174"/>
      <c r="M580" s="174"/>
      <c r="N580" s="37"/>
    </row>
    <row r="581" spans="1:16" s="63" customFormat="1" ht="16.5" customHeight="1" x14ac:dyDescent="0.35">
      <c r="A581" s="170" t="s">
        <v>193</v>
      </c>
      <c r="B581" s="171"/>
      <c r="C581" s="171"/>
      <c r="D581" s="171"/>
      <c r="E581" s="171"/>
      <c r="F581" s="171"/>
      <c r="G581" s="171"/>
      <c r="H581" s="172"/>
      <c r="I581" s="37"/>
      <c r="P581" s="38"/>
    </row>
    <row r="582" spans="1:16" s="63" customFormat="1" ht="15.75" customHeight="1" x14ac:dyDescent="0.35">
      <c r="A582" s="169" t="s">
        <v>169</v>
      </c>
      <c r="B582" s="169"/>
      <c r="C582" s="169"/>
      <c r="D582" s="169"/>
      <c r="E582" s="169"/>
      <c r="F582" s="169"/>
      <c r="G582" s="169"/>
      <c r="H582" s="169"/>
      <c r="I582" s="37"/>
      <c r="P582" s="38"/>
    </row>
    <row r="583" spans="1:16" s="63" customFormat="1" x14ac:dyDescent="0.35">
      <c r="A583" s="169" t="s">
        <v>180</v>
      </c>
      <c r="B583" s="169"/>
      <c r="C583" s="169"/>
      <c r="D583" s="169"/>
      <c r="E583" s="169"/>
      <c r="F583" s="169"/>
      <c r="G583" s="169"/>
      <c r="H583" s="169"/>
      <c r="J583" s="37"/>
    </row>
    <row r="584" spans="1:16" s="63" customFormat="1" ht="15.75" customHeight="1" x14ac:dyDescent="0.35">
      <c r="A584" s="175">
        <v>1</v>
      </c>
      <c r="B584" s="175"/>
      <c r="C584" s="47" t="s">
        <v>176</v>
      </c>
      <c r="D584" s="90">
        <f t="shared" ref="D584:D589" si="73">(29.9+1.25*2.6+2.6*0.75+0.75*(2.4+2.6))*10.764</f>
        <v>418.1814</v>
      </c>
      <c r="E584" s="51">
        <v>0</v>
      </c>
      <c r="F584" s="51">
        <f t="shared" ref="F584:F589" si="74">D584*(($F$381)+1)+(IF(E584&lt;101,E584,IF(E584&lt;201,E584/2,IF(E584&lt;=301,E584/3,E584/4))))</f>
        <v>627.27210000000002</v>
      </c>
      <c r="G584" s="175" t="str">
        <f>A583</f>
        <v>1st to 7th &amp; 9th to 11th Floor For Residential</v>
      </c>
      <c r="H584" s="175"/>
      <c r="I584" s="37"/>
      <c r="P584" s="38"/>
    </row>
    <row r="585" spans="1:16" s="63" customFormat="1" ht="15.75" customHeight="1" x14ac:dyDescent="0.35">
      <c r="A585" s="175">
        <v>2</v>
      </c>
      <c r="B585" s="175"/>
      <c r="C585" s="47" t="s">
        <v>176</v>
      </c>
      <c r="D585" s="90">
        <f t="shared" si="73"/>
        <v>418.1814</v>
      </c>
      <c r="E585" s="51">
        <v>0</v>
      </c>
      <c r="F585" s="51">
        <f t="shared" si="74"/>
        <v>627.27210000000002</v>
      </c>
      <c r="G585" s="175"/>
      <c r="H585" s="175"/>
      <c r="I585" s="37"/>
    </row>
    <row r="586" spans="1:16" s="63" customFormat="1" ht="15.75" customHeight="1" x14ac:dyDescent="0.35">
      <c r="A586" s="175">
        <v>3</v>
      </c>
      <c r="B586" s="175"/>
      <c r="C586" s="47" t="s">
        <v>176</v>
      </c>
      <c r="D586" s="90">
        <f t="shared" si="73"/>
        <v>418.1814</v>
      </c>
      <c r="E586" s="51">
        <v>0</v>
      </c>
      <c r="F586" s="51">
        <f t="shared" si="74"/>
        <v>627.27210000000002</v>
      </c>
      <c r="G586" s="175"/>
      <c r="H586" s="175"/>
      <c r="I586" s="37"/>
    </row>
    <row r="587" spans="1:16" s="63" customFormat="1" ht="15.75" customHeight="1" x14ac:dyDescent="0.35">
      <c r="A587" s="175">
        <v>4</v>
      </c>
      <c r="B587" s="175"/>
      <c r="C587" s="47" t="s">
        <v>176</v>
      </c>
      <c r="D587" s="90">
        <f t="shared" si="73"/>
        <v>418.1814</v>
      </c>
      <c r="E587" s="51">
        <v>0</v>
      </c>
      <c r="F587" s="51">
        <f t="shared" si="74"/>
        <v>627.27210000000002</v>
      </c>
      <c r="G587" s="175"/>
      <c r="H587" s="175"/>
      <c r="I587" s="37"/>
    </row>
    <row r="588" spans="1:16" s="63" customFormat="1" ht="15.75" customHeight="1" x14ac:dyDescent="0.35">
      <c r="A588" s="175">
        <v>5</v>
      </c>
      <c r="B588" s="175"/>
      <c r="C588" s="47" t="s">
        <v>176</v>
      </c>
      <c r="D588" s="90">
        <f t="shared" si="73"/>
        <v>418.1814</v>
      </c>
      <c r="E588" s="51">
        <v>0</v>
      </c>
      <c r="F588" s="51">
        <f t="shared" si="74"/>
        <v>627.27210000000002</v>
      </c>
      <c r="G588" s="175"/>
      <c r="H588" s="175"/>
      <c r="I588" s="37"/>
    </row>
    <row r="589" spans="1:16" s="63" customFormat="1" x14ac:dyDescent="0.35">
      <c r="A589" s="175">
        <v>6</v>
      </c>
      <c r="B589" s="175"/>
      <c r="C589" s="47" t="s">
        <v>176</v>
      </c>
      <c r="D589" s="90">
        <f t="shared" si="73"/>
        <v>418.1814</v>
      </c>
      <c r="E589" s="51">
        <v>0</v>
      </c>
      <c r="F589" s="51">
        <f t="shared" si="74"/>
        <v>627.27210000000002</v>
      </c>
      <c r="G589" s="175"/>
      <c r="H589" s="175"/>
      <c r="I589" s="37"/>
    </row>
    <row r="590" spans="1:16" s="63" customFormat="1" x14ac:dyDescent="0.35">
      <c r="A590" s="170" t="s">
        <v>199</v>
      </c>
      <c r="B590" s="171"/>
      <c r="C590" s="171"/>
      <c r="D590" s="171"/>
      <c r="E590" s="171"/>
      <c r="F590" s="171"/>
      <c r="G590" s="171"/>
      <c r="H590" s="172"/>
      <c r="J590" s="37"/>
    </row>
    <row r="591" spans="1:16" s="63" customFormat="1" ht="15.75" customHeight="1" x14ac:dyDescent="0.35">
      <c r="A591" s="164">
        <v>1</v>
      </c>
      <c r="B591" s="165"/>
      <c r="C591" s="47" t="s">
        <v>176</v>
      </c>
      <c r="D591" s="90">
        <f t="shared" ref="D591:D594" si="75">(29.9+1.25*2.6+2.6*0.75+0.75*(2.4+2.6))*10.764</f>
        <v>418.1814</v>
      </c>
      <c r="E591" s="51">
        <v>0</v>
      </c>
      <c r="F591" s="51">
        <f>D591*(($F$381)+1)+(IF(E591&lt;101,E591,IF(E591&lt;201,E591/2,IF(E591&lt;=301,E591/3,E591/4))))</f>
        <v>627.27210000000002</v>
      </c>
      <c r="G591" s="177" t="str">
        <f>A590</f>
        <v>8th Floor (Part Refuge Floor )</v>
      </c>
      <c r="H591" s="178"/>
      <c r="J591" s="37"/>
    </row>
    <row r="592" spans="1:16" s="63" customFormat="1" ht="15.75" customHeight="1" x14ac:dyDescent="0.35">
      <c r="A592" s="164">
        <v>2</v>
      </c>
      <c r="B592" s="165"/>
      <c r="C592" s="47" t="s">
        <v>176</v>
      </c>
      <c r="D592" s="90">
        <f t="shared" si="75"/>
        <v>418.1814</v>
      </c>
      <c r="E592" s="51">
        <v>0</v>
      </c>
      <c r="F592" s="51">
        <f>D592*(($F$381)+1)+(IF(E592&lt;101,E592,IF(E592&lt;201,E592/2,IF(E592&lt;=301,E592/3,E592/4))))</f>
        <v>627.27210000000002</v>
      </c>
      <c r="G592" s="179"/>
      <c r="H592" s="180"/>
      <c r="I592" s="37"/>
      <c r="L592" s="174"/>
      <c r="M592" s="174"/>
      <c r="N592" s="37"/>
    </row>
    <row r="593" spans="1:16" s="63" customFormat="1" ht="15.75" customHeight="1" x14ac:dyDescent="0.35">
      <c r="A593" s="164">
        <v>3</v>
      </c>
      <c r="B593" s="165"/>
      <c r="C593" s="47" t="s">
        <v>176</v>
      </c>
      <c r="D593" s="90">
        <f t="shared" si="75"/>
        <v>418.1814</v>
      </c>
      <c r="E593" s="51">
        <v>0</v>
      </c>
      <c r="F593" s="51">
        <f>D593*(($F$381)+1)+(IF(E593&lt;101,E593,IF(E593&lt;201,E593/2,IF(E593&lt;=301,E593/3,E593/4))))</f>
        <v>627.27210000000002</v>
      </c>
      <c r="G593" s="179"/>
      <c r="H593" s="180"/>
      <c r="I593" s="37"/>
      <c r="L593" s="174"/>
      <c r="M593" s="174"/>
      <c r="N593" s="37"/>
    </row>
    <row r="594" spans="1:16" s="63" customFormat="1" ht="15.75" customHeight="1" x14ac:dyDescent="0.35">
      <c r="A594" s="164">
        <v>4</v>
      </c>
      <c r="B594" s="165"/>
      <c r="C594" s="47" t="s">
        <v>176</v>
      </c>
      <c r="D594" s="90">
        <f t="shared" si="75"/>
        <v>418.1814</v>
      </c>
      <c r="E594" s="51">
        <v>0</v>
      </c>
      <c r="F594" s="51">
        <f>D594*(($F$381)+1)+(IF(E594&lt;101,E594,IF(E594&lt;201,E594/2,IF(E594&lt;=301,E594/3,E594/4))))</f>
        <v>627.27210000000002</v>
      </c>
      <c r="G594" s="179"/>
      <c r="H594" s="180"/>
      <c r="I594" s="37"/>
      <c r="L594" s="174"/>
      <c r="M594" s="174"/>
      <c r="N594" s="37"/>
    </row>
    <row r="595" spans="1:16" s="74" customFormat="1" ht="15.75" customHeight="1" x14ac:dyDescent="0.35">
      <c r="A595" s="164" t="s">
        <v>236</v>
      </c>
      <c r="B595" s="165"/>
      <c r="C595" s="263" t="s">
        <v>237</v>
      </c>
      <c r="D595" s="264"/>
      <c r="E595" s="264"/>
      <c r="F595" s="265"/>
      <c r="G595" s="179"/>
      <c r="H595" s="180"/>
      <c r="I595" s="37"/>
      <c r="L595" s="174"/>
      <c r="M595" s="174"/>
      <c r="N595" s="37"/>
    </row>
    <row r="596" spans="1:16" s="63" customFormat="1" ht="15.75" customHeight="1" x14ac:dyDescent="0.35">
      <c r="A596" s="164">
        <v>5</v>
      </c>
      <c r="B596" s="165"/>
      <c r="C596" s="47" t="s">
        <v>176</v>
      </c>
      <c r="D596" s="90">
        <f>(29.9+1.25*2.6+2.6*0.75+0.75*(2.4+2.6))*10.764</f>
        <v>418.1814</v>
      </c>
      <c r="E596" s="51">
        <v>0</v>
      </c>
      <c r="F596" s="51">
        <f>D596*(($F$381)+1)+(IF(E596&lt;101,E596,IF(E596&lt;201,E596/2,IF(E596&lt;=301,E596/3,E596/4))))</f>
        <v>627.27210000000002</v>
      </c>
      <c r="G596" s="181"/>
      <c r="H596" s="182"/>
      <c r="I596" s="37"/>
      <c r="L596" s="174"/>
      <c r="M596" s="174"/>
      <c r="N596" s="37"/>
    </row>
    <row r="597" spans="1:16" s="63" customFormat="1" ht="15.75" customHeight="1" x14ac:dyDescent="0.35">
      <c r="A597" s="170" t="s">
        <v>170</v>
      </c>
      <c r="B597" s="171"/>
      <c r="C597" s="171"/>
      <c r="D597" s="171"/>
      <c r="E597" s="171"/>
      <c r="F597" s="171"/>
      <c r="G597" s="171"/>
      <c r="H597" s="172"/>
      <c r="I597" s="37"/>
      <c r="P597" s="38"/>
    </row>
    <row r="598" spans="1:16" s="63" customFormat="1" x14ac:dyDescent="0.35">
      <c r="A598" s="170" t="s">
        <v>180</v>
      </c>
      <c r="B598" s="171"/>
      <c r="C598" s="171"/>
      <c r="D598" s="171"/>
      <c r="E598" s="171"/>
      <c r="F598" s="171"/>
      <c r="G598" s="171"/>
      <c r="H598" s="172"/>
      <c r="I598" s="37"/>
      <c r="N598" s="37"/>
    </row>
    <row r="599" spans="1:16" s="63" customFormat="1" ht="15.75" customHeight="1" x14ac:dyDescent="0.35">
      <c r="A599" s="164">
        <v>1</v>
      </c>
      <c r="B599" s="165"/>
      <c r="C599" s="47" t="s">
        <v>176</v>
      </c>
      <c r="D599" s="90">
        <f t="shared" ref="D599:D604" si="76">(29.9+1.25*2.6+2.6*0.75+0.75*(2.4+2.6))*10.764</f>
        <v>418.1814</v>
      </c>
      <c r="E599" s="51">
        <v>0</v>
      </c>
      <c r="F599" s="51">
        <f t="shared" ref="F599:F604" si="77">D599*(($F$381)+1)+(IF(E599&lt;101,E599,IF(E599&lt;201,E599/2,IF(E599&lt;=301,E599/3,E599/4))))</f>
        <v>627.27210000000002</v>
      </c>
      <c r="G599" s="177" t="str">
        <f>A598</f>
        <v>1st to 7th &amp; 9th to 11th Floor For Residential</v>
      </c>
      <c r="H599" s="178"/>
      <c r="I599" s="37"/>
      <c r="P599" s="38"/>
    </row>
    <row r="600" spans="1:16" s="63" customFormat="1" ht="15.75" customHeight="1" x14ac:dyDescent="0.35">
      <c r="A600" s="164">
        <v>2</v>
      </c>
      <c r="B600" s="165"/>
      <c r="C600" s="47" t="s">
        <v>176</v>
      </c>
      <c r="D600" s="90">
        <f t="shared" si="76"/>
        <v>418.1814</v>
      </c>
      <c r="E600" s="51">
        <v>0</v>
      </c>
      <c r="F600" s="51">
        <f t="shared" si="77"/>
        <v>627.27210000000002</v>
      </c>
      <c r="G600" s="179"/>
      <c r="H600" s="180"/>
      <c r="I600" s="37"/>
    </row>
    <row r="601" spans="1:16" s="63" customFormat="1" ht="15.75" customHeight="1" x14ac:dyDescent="0.35">
      <c r="A601" s="164">
        <v>3</v>
      </c>
      <c r="B601" s="165"/>
      <c r="C601" s="47" t="s">
        <v>176</v>
      </c>
      <c r="D601" s="90">
        <f t="shared" si="76"/>
        <v>418.1814</v>
      </c>
      <c r="E601" s="51">
        <v>0</v>
      </c>
      <c r="F601" s="51">
        <f t="shared" si="77"/>
        <v>627.27210000000002</v>
      </c>
      <c r="G601" s="179"/>
      <c r="H601" s="180"/>
      <c r="I601" s="37"/>
    </row>
    <row r="602" spans="1:16" s="63" customFormat="1" ht="15.75" customHeight="1" x14ac:dyDescent="0.35">
      <c r="A602" s="164">
        <v>4</v>
      </c>
      <c r="B602" s="165"/>
      <c r="C602" s="47" t="s">
        <v>176</v>
      </c>
      <c r="D602" s="90">
        <f t="shared" si="76"/>
        <v>418.1814</v>
      </c>
      <c r="E602" s="51">
        <v>0</v>
      </c>
      <c r="F602" s="51">
        <f t="shared" si="77"/>
        <v>627.27210000000002</v>
      </c>
      <c r="G602" s="179"/>
      <c r="H602" s="180"/>
      <c r="I602" s="37"/>
    </row>
    <row r="603" spans="1:16" s="63" customFormat="1" ht="15.75" customHeight="1" x14ac:dyDescent="0.35">
      <c r="A603" s="164">
        <v>5</v>
      </c>
      <c r="B603" s="165"/>
      <c r="C603" s="47" t="s">
        <v>176</v>
      </c>
      <c r="D603" s="90">
        <f t="shared" si="76"/>
        <v>418.1814</v>
      </c>
      <c r="E603" s="51">
        <v>0</v>
      </c>
      <c r="F603" s="51">
        <f t="shared" si="77"/>
        <v>627.27210000000002</v>
      </c>
      <c r="G603" s="179"/>
      <c r="H603" s="180"/>
      <c r="I603" s="37"/>
    </row>
    <row r="604" spans="1:16" s="63" customFormat="1" ht="15.75" customHeight="1" x14ac:dyDescent="0.35">
      <c r="A604" s="164">
        <v>6</v>
      </c>
      <c r="B604" s="165"/>
      <c r="C604" s="47" t="s">
        <v>176</v>
      </c>
      <c r="D604" s="90">
        <f t="shared" si="76"/>
        <v>418.1814</v>
      </c>
      <c r="E604" s="51">
        <v>0</v>
      </c>
      <c r="F604" s="51">
        <f t="shared" si="77"/>
        <v>627.27210000000002</v>
      </c>
      <c r="G604" s="181"/>
      <c r="H604" s="182"/>
      <c r="I604" s="37"/>
    </row>
    <row r="605" spans="1:16" s="63" customFormat="1" x14ac:dyDescent="0.35">
      <c r="A605" s="170" t="s">
        <v>195</v>
      </c>
      <c r="B605" s="171"/>
      <c r="C605" s="171"/>
      <c r="D605" s="171"/>
      <c r="E605" s="171"/>
      <c r="F605" s="171"/>
      <c r="G605" s="171"/>
      <c r="H605" s="172"/>
      <c r="J605" s="37"/>
    </row>
    <row r="606" spans="1:16" s="63" customFormat="1" ht="15.75" customHeight="1" x14ac:dyDescent="0.35">
      <c r="A606" s="164">
        <v>1</v>
      </c>
      <c r="B606" s="165"/>
      <c r="C606" s="47" t="s">
        <v>176</v>
      </c>
      <c r="D606" s="90">
        <f t="shared" ref="D606:D609" si="78">(29.9+1.25*2.6+2.6*0.75+0.75*(2.4+2.6))*10.764</f>
        <v>418.1814</v>
      </c>
      <c r="E606" s="51">
        <v>0</v>
      </c>
      <c r="F606" s="51">
        <f>D606*(($F$381)+1)+(IF(E606&lt;101,E606,IF(E606&lt;201,E606/2,IF(E606&lt;=301,E606/3,E606/4))))</f>
        <v>627.27210000000002</v>
      </c>
      <c r="G606" s="177" t="str">
        <f>A605</f>
        <v>8th Floor ( Part Refuge Floor )</v>
      </c>
      <c r="H606" s="178"/>
      <c r="J606" s="37"/>
    </row>
    <row r="607" spans="1:16" s="63" customFormat="1" ht="15.75" customHeight="1" x14ac:dyDescent="0.35">
      <c r="A607" s="164">
        <v>2</v>
      </c>
      <c r="B607" s="165"/>
      <c r="C607" s="47" t="s">
        <v>176</v>
      </c>
      <c r="D607" s="90">
        <f t="shared" si="78"/>
        <v>418.1814</v>
      </c>
      <c r="E607" s="51">
        <v>0</v>
      </c>
      <c r="F607" s="51">
        <f>D607*(($F$381)+1)+(IF(E607&lt;101,E607,IF(E607&lt;201,E607/2,IF(E607&lt;=301,E607/3,E607/4))))</f>
        <v>627.27210000000002</v>
      </c>
      <c r="G607" s="179"/>
      <c r="H607" s="180"/>
      <c r="I607" s="37"/>
      <c r="L607" s="174"/>
      <c r="M607" s="174"/>
      <c r="N607" s="37"/>
    </row>
    <row r="608" spans="1:16" s="63" customFormat="1" ht="15.75" customHeight="1" x14ac:dyDescent="0.35">
      <c r="A608" s="164">
        <v>3</v>
      </c>
      <c r="B608" s="165"/>
      <c r="C608" s="47" t="s">
        <v>176</v>
      </c>
      <c r="D608" s="90">
        <f t="shared" si="78"/>
        <v>418.1814</v>
      </c>
      <c r="E608" s="51">
        <v>0</v>
      </c>
      <c r="F608" s="51">
        <f>D608*(($F$381)+1)+(IF(E608&lt;101,E608,IF(E608&lt;201,E608/2,IF(E608&lt;=301,E608/3,E608/4))))</f>
        <v>627.27210000000002</v>
      </c>
      <c r="G608" s="179"/>
      <c r="H608" s="180"/>
      <c r="I608" s="37"/>
      <c r="L608" s="174"/>
      <c r="M608" s="174"/>
      <c r="N608" s="37"/>
    </row>
    <row r="609" spans="1:16" s="63" customFormat="1" ht="15.75" customHeight="1" x14ac:dyDescent="0.35">
      <c r="A609" s="164">
        <v>4</v>
      </c>
      <c r="B609" s="165"/>
      <c r="C609" s="47" t="s">
        <v>176</v>
      </c>
      <c r="D609" s="90">
        <f t="shared" si="78"/>
        <v>418.1814</v>
      </c>
      <c r="E609" s="51">
        <v>0</v>
      </c>
      <c r="F609" s="51">
        <f>D609*(($F$381)+1)+(IF(E609&lt;101,E609,IF(E609&lt;201,E609/2,IF(E609&lt;=301,E609/3,E609/4))))</f>
        <v>627.27210000000002</v>
      </c>
      <c r="G609" s="179"/>
      <c r="H609" s="180"/>
      <c r="I609" s="37"/>
      <c r="L609" s="174"/>
      <c r="M609" s="174"/>
      <c r="N609" s="37"/>
    </row>
    <row r="610" spans="1:16" s="74" customFormat="1" ht="15.75" customHeight="1" x14ac:dyDescent="0.35">
      <c r="A610" s="164" t="s">
        <v>236</v>
      </c>
      <c r="B610" s="165"/>
      <c r="C610" s="263" t="s">
        <v>237</v>
      </c>
      <c r="D610" s="264"/>
      <c r="E610" s="264"/>
      <c r="F610" s="265"/>
      <c r="G610" s="179"/>
      <c r="H610" s="180"/>
      <c r="I610" s="37"/>
      <c r="L610" s="174"/>
      <c r="M610" s="174"/>
      <c r="N610" s="37"/>
    </row>
    <row r="611" spans="1:16" s="63" customFormat="1" ht="15.75" customHeight="1" x14ac:dyDescent="0.35">
      <c r="A611" s="164">
        <v>5</v>
      </c>
      <c r="B611" s="165"/>
      <c r="C611" s="47" t="s">
        <v>176</v>
      </c>
      <c r="D611" s="90">
        <f>(29.9+1.25*2.6+2.6*0.75+0.75*(2.4+2.6))*10.764</f>
        <v>418.1814</v>
      </c>
      <c r="E611" s="51">
        <v>0</v>
      </c>
      <c r="F611" s="51">
        <f>D611*(($F$381)+1)+(IF(E611&lt;101,E611,IF(E611&lt;201,E611/2,IF(E611&lt;=301,E611/3,E611/4))))</f>
        <v>627.27210000000002</v>
      </c>
      <c r="G611" s="181"/>
      <c r="H611" s="182"/>
      <c r="I611" s="37"/>
      <c r="L611" s="174"/>
      <c r="M611" s="174"/>
      <c r="N611" s="37"/>
    </row>
    <row r="612" spans="1:16" s="63" customFormat="1" x14ac:dyDescent="0.35">
      <c r="A612" s="170" t="s">
        <v>200</v>
      </c>
      <c r="B612" s="171"/>
      <c r="C612" s="171"/>
      <c r="D612" s="171"/>
      <c r="E612" s="171"/>
      <c r="F612" s="171"/>
      <c r="G612" s="171"/>
      <c r="H612" s="172"/>
      <c r="I612" s="37"/>
    </row>
    <row r="613" spans="1:16" s="63" customFormat="1" x14ac:dyDescent="0.35">
      <c r="A613" s="170" t="s">
        <v>169</v>
      </c>
      <c r="B613" s="171"/>
      <c r="C613" s="171"/>
      <c r="D613" s="171"/>
      <c r="E613" s="171"/>
      <c r="F613" s="171"/>
      <c r="G613" s="171"/>
      <c r="H613" s="172"/>
      <c r="J613" s="37"/>
    </row>
    <row r="614" spans="1:16" s="63" customFormat="1" x14ac:dyDescent="0.35">
      <c r="A614" s="170" t="s">
        <v>238</v>
      </c>
      <c r="B614" s="171"/>
      <c r="C614" s="171"/>
      <c r="D614" s="171"/>
      <c r="E614" s="171"/>
      <c r="F614" s="171"/>
      <c r="G614" s="171"/>
      <c r="H614" s="172"/>
      <c r="J614" s="37"/>
    </row>
    <row r="615" spans="1:16" s="63" customFormat="1" ht="15.75" customHeight="1" x14ac:dyDescent="0.35">
      <c r="A615" s="164">
        <v>1</v>
      </c>
      <c r="B615" s="165"/>
      <c r="C615" s="47" t="s">
        <v>176</v>
      </c>
      <c r="D615" s="51">
        <f>(30*10.764)</f>
        <v>322.91999999999996</v>
      </c>
      <c r="E615" s="51">
        <v>0</v>
      </c>
      <c r="F615" s="51">
        <f>D615*(($F$381)+1)+(IF(E615&lt;101,E615,IF(E615&lt;201,E615/2,IF(E615&lt;=301,E615/3,E615/4))))</f>
        <v>484.37999999999994</v>
      </c>
      <c r="G615" s="177" t="str">
        <f>A614</f>
        <v>Ground Floor For Residential, Drivers Room &amp; Parking</v>
      </c>
      <c r="H615" s="178"/>
      <c r="J615" s="37"/>
    </row>
    <row r="616" spans="1:16" s="63" customFormat="1" ht="15.75" customHeight="1" x14ac:dyDescent="0.35">
      <c r="A616" s="164">
        <v>2</v>
      </c>
      <c r="B616" s="165"/>
      <c r="C616" s="47" t="s">
        <v>176</v>
      </c>
      <c r="D616" s="51">
        <f t="shared" ref="D616:D618" si="79">(30*10.764)</f>
        <v>322.91999999999996</v>
      </c>
      <c r="E616" s="51">
        <v>0</v>
      </c>
      <c r="F616" s="51">
        <f>D616*(($F$381)+1)+(IF(E616&lt;101,E616,IF(E616&lt;201,E616/2,IF(E616&lt;=301,E616/3,E616/4))))</f>
        <v>484.37999999999994</v>
      </c>
      <c r="G616" s="179"/>
      <c r="H616" s="180"/>
      <c r="I616" s="37"/>
      <c r="L616" s="174"/>
      <c r="M616" s="174"/>
      <c r="N616" s="37"/>
    </row>
    <row r="617" spans="1:16" s="63" customFormat="1" ht="15.75" customHeight="1" x14ac:dyDescent="0.35">
      <c r="A617" s="164">
        <v>3</v>
      </c>
      <c r="B617" s="165"/>
      <c r="C617" s="47" t="s">
        <v>176</v>
      </c>
      <c r="D617" s="51">
        <f t="shared" si="79"/>
        <v>322.91999999999996</v>
      </c>
      <c r="E617" s="51">
        <v>0</v>
      </c>
      <c r="F617" s="51">
        <f>D617*(($F$381)+1)+(IF(E617&lt;101,E617,IF(E617&lt;201,E617/2,IF(E617&lt;=301,E617/3,E617/4))))</f>
        <v>484.37999999999994</v>
      </c>
      <c r="G617" s="179"/>
      <c r="H617" s="180"/>
      <c r="I617" s="37"/>
      <c r="L617" s="174"/>
      <c r="M617" s="174"/>
      <c r="N617" s="37"/>
    </row>
    <row r="618" spans="1:16" s="63" customFormat="1" ht="15.75" customHeight="1" x14ac:dyDescent="0.35">
      <c r="A618" s="164">
        <v>4</v>
      </c>
      <c r="B618" s="165"/>
      <c r="C618" s="47" t="s">
        <v>176</v>
      </c>
      <c r="D618" s="51">
        <f t="shared" si="79"/>
        <v>322.91999999999996</v>
      </c>
      <c r="E618" s="51">
        <v>0</v>
      </c>
      <c r="F618" s="51">
        <f>D618*(($F$381)+1)+(IF(E618&lt;101,E618,IF(E618&lt;201,E618/2,IF(E618&lt;=301,E618/3,E618/4))))</f>
        <v>484.37999999999994</v>
      </c>
      <c r="G618" s="181"/>
      <c r="H618" s="182"/>
      <c r="I618" s="37"/>
      <c r="L618" s="174"/>
      <c r="M618" s="174"/>
      <c r="N618" s="37"/>
    </row>
    <row r="619" spans="1:16" s="63" customFormat="1" x14ac:dyDescent="0.35">
      <c r="A619" s="170" t="s">
        <v>179</v>
      </c>
      <c r="B619" s="171"/>
      <c r="C619" s="171"/>
      <c r="D619" s="171"/>
      <c r="E619" s="171"/>
      <c r="F619" s="171"/>
      <c r="G619" s="171"/>
      <c r="H619" s="172"/>
      <c r="I619" s="37"/>
      <c r="L619" s="174"/>
      <c r="M619" s="174"/>
      <c r="N619" s="37"/>
    </row>
    <row r="620" spans="1:16" s="63" customFormat="1" ht="15.75" customHeight="1" x14ac:dyDescent="0.35">
      <c r="A620" s="164">
        <v>1</v>
      </c>
      <c r="B620" s="165"/>
      <c r="C620" s="47" t="s">
        <v>176</v>
      </c>
      <c r="D620" s="51">
        <f t="shared" ref="D620:D625" si="80">(30+1.03*2.6+2.5*0.75+2.6*1)*10.764</f>
        <v>399.91489199999995</v>
      </c>
      <c r="E620" s="51">
        <v>0</v>
      </c>
      <c r="F620" s="51">
        <f t="shared" ref="F620:F625" si="81">D620*(($F$381)+1)+(IF(E620&lt;101,E620,IF(E620&lt;201,E620/2,IF(E620&lt;=301,E620/3,E620/4))))</f>
        <v>599.8723379999999</v>
      </c>
      <c r="G620" s="177" t="str">
        <f>A619</f>
        <v>1st to 7th Floor For Residential</v>
      </c>
      <c r="H620" s="178"/>
      <c r="I620" s="37"/>
      <c r="P620" s="38"/>
    </row>
    <row r="621" spans="1:16" s="63" customFormat="1" ht="15.75" customHeight="1" x14ac:dyDescent="0.35">
      <c r="A621" s="164">
        <v>2</v>
      </c>
      <c r="B621" s="165"/>
      <c r="C621" s="47" t="s">
        <v>176</v>
      </c>
      <c r="D621" s="51">
        <f t="shared" si="80"/>
        <v>399.91489199999995</v>
      </c>
      <c r="E621" s="51">
        <v>0</v>
      </c>
      <c r="F621" s="51">
        <f t="shared" si="81"/>
        <v>599.8723379999999</v>
      </c>
      <c r="G621" s="179"/>
      <c r="H621" s="180"/>
      <c r="I621" s="37"/>
    </row>
    <row r="622" spans="1:16" s="63" customFormat="1" ht="15.75" customHeight="1" x14ac:dyDescent="0.35">
      <c r="A622" s="164">
        <v>3</v>
      </c>
      <c r="B622" s="165"/>
      <c r="C622" s="47" t="s">
        <v>176</v>
      </c>
      <c r="D622" s="51">
        <f t="shared" si="80"/>
        <v>399.91489199999995</v>
      </c>
      <c r="E622" s="51">
        <v>0</v>
      </c>
      <c r="F622" s="51">
        <f t="shared" si="81"/>
        <v>599.8723379999999</v>
      </c>
      <c r="G622" s="179"/>
      <c r="H622" s="180"/>
      <c r="I622" s="37"/>
    </row>
    <row r="623" spans="1:16" s="63" customFormat="1" ht="15.75" customHeight="1" x14ac:dyDescent="0.35">
      <c r="A623" s="164">
        <v>4</v>
      </c>
      <c r="B623" s="165"/>
      <c r="C623" s="47" t="s">
        <v>176</v>
      </c>
      <c r="D623" s="51">
        <f t="shared" si="80"/>
        <v>399.91489199999995</v>
      </c>
      <c r="E623" s="51">
        <v>0</v>
      </c>
      <c r="F623" s="51">
        <f t="shared" si="81"/>
        <v>599.8723379999999</v>
      </c>
      <c r="G623" s="179"/>
      <c r="H623" s="180"/>
      <c r="I623" s="37"/>
    </row>
    <row r="624" spans="1:16" s="63" customFormat="1" ht="15.75" customHeight="1" x14ac:dyDescent="0.35">
      <c r="A624" s="164">
        <v>5</v>
      </c>
      <c r="B624" s="165"/>
      <c r="C624" s="47" t="s">
        <v>176</v>
      </c>
      <c r="D624" s="51">
        <f t="shared" si="80"/>
        <v>399.91489199999995</v>
      </c>
      <c r="E624" s="51">
        <v>0</v>
      </c>
      <c r="F624" s="51">
        <f t="shared" si="81"/>
        <v>599.8723379999999</v>
      </c>
      <c r="G624" s="179"/>
      <c r="H624" s="180"/>
      <c r="I624" s="37"/>
    </row>
    <row r="625" spans="1:16" s="63" customFormat="1" ht="15.75" customHeight="1" x14ac:dyDescent="0.35">
      <c r="A625" s="164">
        <v>6</v>
      </c>
      <c r="B625" s="165"/>
      <c r="C625" s="47" t="s">
        <v>176</v>
      </c>
      <c r="D625" s="51">
        <f t="shared" si="80"/>
        <v>399.91489199999995</v>
      </c>
      <c r="E625" s="51">
        <v>0</v>
      </c>
      <c r="F625" s="51">
        <f t="shared" si="81"/>
        <v>599.8723379999999</v>
      </c>
      <c r="G625" s="181"/>
      <c r="H625" s="182"/>
      <c r="I625" s="37"/>
    </row>
    <row r="626" spans="1:16" s="63" customFormat="1" x14ac:dyDescent="0.35">
      <c r="A626" s="169" t="s">
        <v>170</v>
      </c>
      <c r="B626" s="169"/>
      <c r="C626" s="169"/>
      <c r="D626" s="169"/>
      <c r="E626" s="169"/>
      <c r="F626" s="169"/>
      <c r="G626" s="169"/>
      <c r="H626" s="169"/>
      <c r="I626" s="37"/>
    </row>
    <row r="627" spans="1:16" s="63" customFormat="1" ht="15.75" customHeight="1" x14ac:dyDescent="0.35">
      <c r="A627" s="169" t="s">
        <v>239</v>
      </c>
      <c r="B627" s="169"/>
      <c r="C627" s="169"/>
      <c r="D627" s="169"/>
      <c r="E627" s="169"/>
      <c r="F627" s="169"/>
      <c r="G627" s="169"/>
      <c r="H627" s="169"/>
      <c r="J627" s="37"/>
    </row>
    <row r="628" spans="1:16" s="63" customFormat="1" ht="15.75" customHeight="1" x14ac:dyDescent="0.35">
      <c r="A628" s="175">
        <v>1</v>
      </c>
      <c r="B628" s="175"/>
      <c r="C628" s="47" t="s">
        <v>176</v>
      </c>
      <c r="D628" s="51">
        <f>(30*10.764)</f>
        <v>322.91999999999996</v>
      </c>
      <c r="E628" s="51">
        <v>0</v>
      </c>
      <c r="F628" s="51">
        <f>D628*(($F$381)+1)+(IF(E628&lt;101,E628,IF(E628&lt;201,E628/2,IF(E628&lt;=301,E628/3,E628/4))))</f>
        <v>484.37999999999994</v>
      </c>
      <c r="G628" s="175" t="str">
        <f>A627</f>
        <v>Ground Floor For Residential, Society Office &amp; Parking</v>
      </c>
      <c r="H628" s="175"/>
      <c r="J628" s="37"/>
    </row>
    <row r="629" spans="1:16" s="63" customFormat="1" ht="15.75" customHeight="1" x14ac:dyDescent="0.35">
      <c r="A629" s="175">
        <v>2</v>
      </c>
      <c r="B629" s="175"/>
      <c r="C629" s="47" t="s">
        <v>176</v>
      </c>
      <c r="D629" s="51">
        <f t="shared" ref="D629:D631" si="82">(30*10.764)</f>
        <v>322.91999999999996</v>
      </c>
      <c r="E629" s="51">
        <v>0</v>
      </c>
      <c r="F629" s="51">
        <f>D629*(($F$381)+1)+(IF(E629&lt;101,E629,IF(E629&lt;201,E629/2,IF(E629&lt;=301,E629/3,E629/4))))</f>
        <v>484.37999999999994</v>
      </c>
      <c r="G629" s="175"/>
      <c r="H629" s="175"/>
      <c r="I629" s="37"/>
      <c r="L629" s="174"/>
      <c r="M629" s="174"/>
      <c r="N629" s="37"/>
    </row>
    <row r="630" spans="1:16" s="63" customFormat="1" ht="15.75" customHeight="1" x14ac:dyDescent="0.35">
      <c r="A630" s="175">
        <v>3</v>
      </c>
      <c r="B630" s="175"/>
      <c r="C630" s="47" t="s">
        <v>176</v>
      </c>
      <c r="D630" s="51">
        <f t="shared" si="82"/>
        <v>322.91999999999996</v>
      </c>
      <c r="E630" s="51">
        <v>0</v>
      </c>
      <c r="F630" s="51">
        <f>D630*(($F$381)+1)+(IF(E630&lt;101,E630,IF(E630&lt;201,E630/2,IF(E630&lt;=301,E630/3,E630/4))))</f>
        <v>484.37999999999994</v>
      </c>
      <c r="G630" s="175"/>
      <c r="H630" s="175"/>
      <c r="I630" s="37"/>
      <c r="L630" s="174"/>
      <c r="M630" s="174"/>
      <c r="N630" s="37"/>
    </row>
    <row r="631" spans="1:16" s="63" customFormat="1" ht="15.75" customHeight="1" x14ac:dyDescent="0.35">
      <c r="A631" s="175">
        <v>4</v>
      </c>
      <c r="B631" s="175"/>
      <c r="C631" s="47" t="s">
        <v>176</v>
      </c>
      <c r="D631" s="51">
        <f t="shared" si="82"/>
        <v>322.91999999999996</v>
      </c>
      <c r="E631" s="51">
        <v>0</v>
      </c>
      <c r="F631" s="51">
        <f>D631*(($F$381)+1)+(IF(E631&lt;101,E631,IF(E631&lt;201,E631/2,IF(E631&lt;=301,E631/3,E631/4))))</f>
        <v>484.37999999999994</v>
      </c>
      <c r="G631" s="175"/>
      <c r="H631" s="175"/>
      <c r="I631" s="37"/>
      <c r="L631" s="174"/>
      <c r="M631" s="174"/>
      <c r="N631" s="37"/>
    </row>
    <row r="632" spans="1:16" s="63" customFormat="1" x14ac:dyDescent="0.35">
      <c r="A632" s="169" t="s">
        <v>179</v>
      </c>
      <c r="B632" s="169"/>
      <c r="C632" s="169"/>
      <c r="D632" s="169"/>
      <c r="E632" s="169"/>
      <c r="F632" s="169"/>
      <c r="G632" s="169"/>
      <c r="H632" s="169"/>
      <c r="I632" s="37"/>
      <c r="L632" s="174"/>
      <c r="M632" s="174"/>
      <c r="N632" s="37"/>
    </row>
    <row r="633" spans="1:16" s="63" customFormat="1" ht="15.75" customHeight="1" x14ac:dyDescent="0.35">
      <c r="A633" s="175">
        <v>1</v>
      </c>
      <c r="B633" s="175"/>
      <c r="C633" s="47" t="s">
        <v>176</v>
      </c>
      <c r="D633" s="51">
        <f t="shared" ref="D633:D638" si="83">(30+1.03*2.6+2.5*0.75+2.6*1)*10.764</f>
        <v>399.91489199999995</v>
      </c>
      <c r="E633" s="51">
        <v>0</v>
      </c>
      <c r="F633" s="51">
        <f t="shared" ref="F633:F638" si="84">D633*(($F$381)+1)+(IF(E633&lt;101,E633,IF(E633&lt;201,E633/2,IF(E633&lt;=301,E633/3,E633/4))))</f>
        <v>599.8723379999999</v>
      </c>
      <c r="G633" s="175" t="str">
        <f>A632</f>
        <v>1st to 7th Floor For Residential</v>
      </c>
      <c r="H633" s="175"/>
      <c r="I633" s="37"/>
      <c r="P633" s="38"/>
    </row>
    <row r="634" spans="1:16" s="63" customFormat="1" ht="15.75" customHeight="1" x14ac:dyDescent="0.35">
      <c r="A634" s="175">
        <v>2</v>
      </c>
      <c r="B634" s="175"/>
      <c r="C634" s="47" t="s">
        <v>176</v>
      </c>
      <c r="D634" s="51">
        <f t="shared" si="83"/>
        <v>399.91489199999995</v>
      </c>
      <c r="E634" s="51">
        <v>0</v>
      </c>
      <c r="F634" s="51">
        <f t="shared" si="84"/>
        <v>599.8723379999999</v>
      </c>
      <c r="G634" s="175"/>
      <c r="H634" s="175"/>
      <c r="I634" s="37"/>
    </row>
    <row r="635" spans="1:16" s="63" customFormat="1" ht="15.75" customHeight="1" x14ac:dyDescent="0.35">
      <c r="A635" s="175">
        <v>3</v>
      </c>
      <c r="B635" s="175"/>
      <c r="C635" s="47" t="s">
        <v>176</v>
      </c>
      <c r="D635" s="51">
        <f t="shared" si="83"/>
        <v>399.91489199999995</v>
      </c>
      <c r="E635" s="51">
        <v>0</v>
      </c>
      <c r="F635" s="51">
        <f t="shared" si="84"/>
        <v>599.8723379999999</v>
      </c>
      <c r="G635" s="175"/>
      <c r="H635" s="175"/>
    </row>
    <row r="636" spans="1:16" s="63" customFormat="1" ht="15.75" customHeight="1" x14ac:dyDescent="0.35">
      <c r="A636" s="175">
        <v>4</v>
      </c>
      <c r="B636" s="175"/>
      <c r="C636" s="47" t="s">
        <v>176</v>
      </c>
      <c r="D636" s="51">
        <f t="shared" si="83"/>
        <v>399.91489199999995</v>
      </c>
      <c r="E636" s="51">
        <v>0</v>
      </c>
      <c r="F636" s="51">
        <f t="shared" si="84"/>
        <v>599.8723379999999</v>
      </c>
      <c r="G636" s="175"/>
      <c r="H636" s="175"/>
    </row>
    <row r="637" spans="1:16" s="63" customFormat="1" ht="15.75" customHeight="1" x14ac:dyDescent="0.35">
      <c r="A637" s="175">
        <v>5</v>
      </c>
      <c r="B637" s="175"/>
      <c r="C637" s="47" t="s">
        <v>176</v>
      </c>
      <c r="D637" s="51">
        <f t="shared" si="83"/>
        <v>399.91489199999995</v>
      </c>
      <c r="E637" s="51">
        <v>0</v>
      </c>
      <c r="F637" s="51">
        <f t="shared" si="84"/>
        <v>599.8723379999999</v>
      </c>
      <c r="G637" s="175"/>
      <c r="H637" s="175"/>
      <c r="I637" s="37"/>
    </row>
    <row r="638" spans="1:16" s="63" customFormat="1" ht="15.75" customHeight="1" x14ac:dyDescent="0.35">
      <c r="A638" s="176">
        <v>6</v>
      </c>
      <c r="B638" s="176"/>
      <c r="C638" s="59" t="s">
        <v>176</v>
      </c>
      <c r="D638" s="60">
        <f t="shared" si="83"/>
        <v>399.91489199999995</v>
      </c>
      <c r="E638" s="60">
        <v>0</v>
      </c>
      <c r="F638" s="60">
        <f t="shared" si="84"/>
        <v>599.8723379999999</v>
      </c>
      <c r="G638" s="175"/>
      <c r="H638" s="175"/>
      <c r="I638" s="37"/>
    </row>
    <row r="639" spans="1:16" s="63" customFormat="1" ht="15.75" customHeight="1" x14ac:dyDescent="0.35">
      <c r="A639" s="203" t="s">
        <v>67</v>
      </c>
      <c r="B639" s="203"/>
      <c r="C639" s="203"/>
      <c r="D639" s="203"/>
      <c r="E639" s="203"/>
      <c r="F639" s="203"/>
      <c r="G639" s="203"/>
      <c r="H639" s="203"/>
      <c r="I639" s="37"/>
    </row>
    <row r="640" spans="1:16" s="36" customFormat="1" ht="81" customHeight="1" x14ac:dyDescent="0.35">
      <c r="A640" s="58" t="s">
        <v>151</v>
      </c>
      <c r="B640" s="111" t="s">
        <v>283</v>
      </c>
      <c r="C640" s="112"/>
      <c r="D640" s="112"/>
      <c r="E640" s="112"/>
      <c r="F640" s="112"/>
      <c r="G640" s="112"/>
      <c r="H640" s="113"/>
    </row>
    <row r="641" spans="1:12" s="36" customFormat="1" hidden="1" x14ac:dyDescent="0.35">
      <c r="A641" s="58" t="s">
        <v>151</v>
      </c>
      <c r="B641" s="111" t="s">
        <v>214</v>
      </c>
      <c r="C641" s="112"/>
      <c r="D641" s="112"/>
      <c r="E641" s="112"/>
      <c r="F641" s="112"/>
      <c r="G641" s="112"/>
      <c r="H641" s="113"/>
    </row>
    <row r="642" spans="1:12" s="36" customFormat="1" x14ac:dyDescent="0.35">
      <c r="A642" s="58" t="s">
        <v>151</v>
      </c>
      <c r="B642" s="111" t="str">
        <f>(IF(F380="Saleable area Loading :","We have considered Saleable area of Flats as per our Calculation.","We considered Saleable area of Flat as per Builder area Sheet."))</f>
        <v>We have considered Saleable area of Flats as per our Calculation.</v>
      </c>
      <c r="C642" s="112"/>
      <c r="D642" s="112"/>
      <c r="E642" s="112"/>
      <c r="F642" s="112"/>
      <c r="G642" s="112"/>
      <c r="H642" s="113"/>
    </row>
    <row r="643" spans="1:12" s="36" customFormat="1" hidden="1" x14ac:dyDescent="0.35">
      <c r="A643" s="43" t="s">
        <v>151</v>
      </c>
      <c r="B643" s="111" t="str">
        <f>(IF(F288="Saleable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643" s="112"/>
      <c r="D643" s="112"/>
      <c r="E643" s="112"/>
      <c r="F643" s="112"/>
      <c r="G643" s="112"/>
      <c r="H643" s="113"/>
    </row>
    <row r="644" spans="1:12" s="36" customFormat="1" x14ac:dyDescent="0.35">
      <c r="A644" s="43" t="s">
        <v>151</v>
      </c>
      <c r="B644" s="200" t="s">
        <v>121</v>
      </c>
      <c r="C644" s="201"/>
      <c r="D644" s="201"/>
      <c r="E644" s="201"/>
      <c r="F644" s="201"/>
      <c r="G644" s="201"/>
      <c r="H644" s="202"/>
      <c r="K644" s="21"/>
      <c r="L644" s="21"/>
    </row>
    <row r="645" spans="1:12" s="36" customFormat="1" x14ac:dyDescent="0.35">
      <c r="A645" s="43" t="s">
        <v>151</v>
      </c>
      <c r="B645" s="200" t="s">
        <v>212</v>
      </c>
      <c r="C645" s="201"/>
      <c r="D645" s="201"/>
      <c r="E645" s="201"/>
      <c r="F645" s="201"/>
      <c r="G645" s="201"/>
      <c r="H645" s="202"/>
      <c r="K645" s="21"/>
      <c r="L645" s="21"/>
    </row>
    <row r="646" spans="1:12" s="36" customFormat="1" x14ac:dyDescent="0.35">
      <c r="A646" s="43" t="s">
        <v>151</v>
      </c>
      <c r="B646" s="200" t="s">
        <v>150</v>
      </c>
      <c r="C646" s="201"/>
      <c r="D646" s="201"/>
      <c r="E646" s="201"/>
      <c r="F646" s="201"/>
      <c r="G646" s="201"/>
      <c r="H646" s="202"/>
    </row>
    <row r="647" spans="1:12" s="36" customFormat="1" x14ac:dyDescent="0.35">
      <c r="A647" s="43" t="s">
        <v>151</v>
      </c>
      <c r="B647" s="200" t="s">
        <v>122</v>
      </c>
      <c r="C647" s="201"/>
      <c r="D647" s="201"/>
      <c r="E647" s="201"/>
      <c r="F647" s="201"/>
      <c r="G647" s="201"/>
      <c r="H647" s="202"/>
    </row>
    <row r="648" spans="1:12" s="36" customFormat="1" ht="32.25" customHeight="1" x14ac:dyDescent="0.35">
      <c r="A648" s="43" t="s">
        <v>151</v>
      </c>
      <c r="B648" s="270" t="s">
        <v>152</v>
      </c>
      <c r="C648" s="270"/>
      <c r="D648" s="270"/>
      <c r="E648" s="270"/>
      <c r="F648" s="270"/>
      <c r="G648" s="270"/>
      <c r="H648" s="270"/>
    </row>
    <row r="649" spans="1:12" s="36" customFormat="1" x14ac:dyDescent="0.35">
      <c r="A649" s="58" t="s">
        <v>151</v>
      </c>
      <c r="B649" s="268" t="s">
        <v>123</v>
      </c>
      <c r="C649" s="268"/>
      <c r="D649" s="268"/>
      <c r="E649" s="268"/>
      <c r="F649" s="268"/>
      <c r="G649" s="268"/>
      <c r="H649" s="268"/>
    </row>
    <row r="650" spans="1:12" s="36" customFormat="1" ht="37.5" customHeight="1" x14ac:dyDescent="0.35">
      <c r="A650" s="96" t="s">
        <v>151</v>
      </c>
      <c r="B650" s="269" t="s">
        <v>273</v>
      </c>
      <c r="C650" s="269"/>
      <c r="D650" s="269"/>
      <c r="E650" s="269"/>
      <c r="F650" s="269"/>
      <c r="G650" s="269"/>
      <c r="H650" s="269"/>
    </row>
    <row r="651" spans="1:12" s="36" customFormat="1" x14ac:dyDescent="0.35">
      <c r="A651" s="58" t="s">
        <v>151</v>
      </c>
      <c r="B651" s="268" t="s">
        <v>272</v>
      </c>
      <c r="C651" s="268"/>
      <c r="D651" s="268"/>
      <c r="E651" s="268"/>
      <c r="F651" s="268"/>
      <c r="G651" s="268"/>
      <c r="H651" s="268"/>
    </row>
    <row r="652" spans="1:12" s="36" customFormat="1" hidden="1" x14ac:dyDescent="0.35">
      <c r="A652" s="58" t="s">
        <v>151</v>
      </c>
      <c r="B652" s="268" t="s">
        <v>213</v>
      </c>
      <c r="C652" s="268"/>
      <c r="D652" s="268"/>
      <c r="E652" s="268"/>
      <c r="F652" s="268"/>
      <c r="G652" s="268"/>
      <c r="H652" s="268"/>
    </row>
    <row r="653" spans="1:12" s="36" customFormat="1" x14ac:dyDescent="0.35">
      <c r="A653" s="58" t="s">
        <v>151</v>
      </c>
      <c r="B653" s="268" t="s">
        <v>257</v>
      </c>
      <c r="C653" s="268"/>
      <c r="D653" s="268"/>
      <c r="E653" s="268"/>
      <c r="F653" s="268"/>
      <c r="G653" s="268"/>
      <c r="H653" s="268"/>
    </row>
    <row r="654" spans="1:12" s="36" customFormat="1" x14ac:dyDescent="0.35">
      <c r="A654" s="58" t="s">
        <v>151</v>
      </c>
      <c r="B654" s="268" t="s">
        <v>262</v>
      </c>
      <c r="C654" s="268"/>
      <c r="D654" s="268"/>
      <c r="E654" s="268"/>
      <c r="F654" s="268"/>
      <c r="G654" s="268"/>
      <c r="H654" s="268"/>
      <c r="I654" s="98"/>
    </row>
    <row r="655" spans="1:12" s="36" customFormat="1" ht="33" hidden="1" customHeight="1" x14ac:dyDescent="0.35">
      <c r="A655" s="58" t="s">
        <v>151</v>
      </c>
      <c r="B655" s="271" t="s">
        <v>279</v>
      </c>
      <c r="C655" s="271"/>
      <c r="D655" s="271"/>
      <c r="E655" s="271"/>
      <c r="F655" s="271"/>
      <c r="G655" s="271"/>
      <c r="H655" s="271"/>
      <c r="I655" s="98"/>
    </row>
    <row r="656" spans="1:12" s="36" customFormat="1" ht="33" customHeight="1" x14ac:dyDescent="0.35">
      <c r="A656" s="58" t="s">
        <v>151</v>
      </c>
      <c r="B656" s="268" t="s">
        <v>286</v>
      </c>
      <c r="C656" s="268"/>
      <c r="D656" s="268"/>
      <c r="E656" s="268"/>
      <c r="F656" s="268"/>
      <c r="G656" s="268"/>
      <c r="H656" s="268"/>
      <c r="I656" s="98"/>
    </row>
    <row r="657" spans="1:9" s="36" customFormat="1" ht="32.5" customHeight="1" x14ac:dyDescent="0.35">
      <c r="A657" s="58" t="s">
        <v>151</v>
      </c>
      <c r="B657" s="111" t="s">
        <v>287</v>
      </c>
      <c r="C657" s="112"/>
      <c r="D657" s="112"/>
      <c r="E657" s="112"/>
      <c r="F657" s="112"/>
      <c r="G657" s="112"/>
      <c r="H657" s="113"/>
      <c r="I657" s="98"/>
    </row>
    <row r="658" spans="1:9" s="36" customFormat="1" x14ac:dyDescent="0.35">
      <c r="A658" s="204" t="s">
        <v>61</v>
      </c>
      <c r="B658" s="204"/>
      <c r="C658" s="204"/>
      <c r="D658" s="204"/>
      <c r="E658" s="204"/>
      <c r="F658" s="204"/>
      <c r="G658" s="204"/>
      <c r="H658" s="204"/>
    </row>
    <row r="659" spans="1:9" x14ac:dyDescent="0.35">
      <c r="A659" s="183" t="s">
        <v>62</v>
      </c>
      <c r="B659" s="183"/>
      <c r="C659" s="183"/>
      <c r="D659" s="183"/>
      <c r="E659" s="183"/>
      <c r="F659" s="183"/>
      <c r="G659" s="183"/>
      <c r="H659" s="183"/>
    </row>
    <row r="660" spans="1:9" x14ac:dyDescent="0.35">
      <c r="A660" s="184" t="s">
        <v>63</v>
      </c>
      <c r="B660" s="184"/>
      <c r="C660" s="184"/>
      <c r="D660" s="184"/>
      <c r="E660" s="184"/>
      <c r="F660" s="184"/>
      <c r="G660" s="184"/>
      <c r="H660" s="184"/>
    </row>
    <row r="661" spans="1:9" ht="15.75" customHeight="1" x14ac:dyDescent="0.35">
      <c r="A661" s="183" t="s">
        <v>64</v>
      </c>
      <c r="B661" s="183"/>
      <c r="C661" s="183"/>
      <c r="D661" s="183"/>
      <c r="E661" s="183"/>
      <c r="F661" s="183"/>
      <c r="G661" s="183"/>
      <c r="H661" s="183"/>
    </row>
    <row r="662" spans="1:9" x14ac:dyDescent="0.35">
      <c r="A662" s="183" t="s">
        <v>65</v>
      </c>
      <c r="B662" s="183"/>
      <c r="C662" s="183"/>
      <c r="D662" s="183"/>
      <c r="E662" s="183"/>
      <c r="F662" s="183"/>
      <c r="G662" s="183"/>
      <c r="H662" s="183"/>
    </row>
    <row r="663" spans="1:9" x14ac:dyDescent="0.35">
      <c r="A663" s="183" t="s">
        <v>124</v>
      </c>
      <c r="B663" s="183"/>
      <c r="C663" s="183"/>
      <c r="D663" s="183"/>
      <c r="E663" s="183"/>
      <c r="F663" s="183"/>
      <c r="G663" s="183"/>
      <c r="H663" s="183"/>
    </row>
    <row r="664" spans="1:9" x14ac:dyDescent="0.35">
      <c r="A664" s="205" t="s">
        <v>125</v>
      </c>
      <c r="B664" s="205"/>
      <c r="C664" s="205"/>
      <c r="D664" s="205"/>
      <c r="E664" s="205"/>
      <c r="F664" s="205"/>
      <c r="G664" s="205"/>
      <c r="H664" s="205"/>
      <c r="I664" s="97" t="s">
        <v>277</v>
      </c>
    </row>
    <row r="665" spans="1:9" x14ac:dyDescent="0.35">
      <c r="A665" s="259" t="s">
        <v>76</v>
      </c>
      <c r="B665" s="259"/>
      <c r="C665" s="259" t="s">
        <v>285</v>
      </c>
      <c r="D665" s="259"/>
      <c r="E665" s="259" t="s">
        <v>100</v>
      </c>
      <c r="F665" s="259"/>
      <c r="G665" s="259" t="s">
        <v>284</v>
      </c>
      <c r="H665" s="259"/>
      <c r="I665" s="97" t="s">
        <v>278</v>
      </c>
    </row>
    <row r="666" spans="1:9" x14ac:dyDescent="0.35">
      <c r="A666" s="258" t="s">
        <v>78</v>
      </c>
      <c r="B666" s="258"/>
      <c r="C666" s="258"/>
      <c r="D666" s="258"/>
      <c r="E666" s="258"/>
      <c r="F666" s="258"/>
      <c r="G666" s="258"/>
      <c r="H666" s="258"/>
    </row>
    <row r="667" spans="1:9" x14ac:dyDescent="0.35">
      <c r="A667" s="258"/>
      <c r="B667" s="258"/>
      <c r="C667" s="258"/>
      <c r="D667" s="258"/>
      <c r="E667" s="258"/>
      <c r="F667" s="258"/>
      <c r="G667" s="258"/>
      <c r="H667" s="258"/>
    </row>
    <row r="668" spans="1:9" x14ac:dyDescent="0.35">
      <c r="A668" s="258"/>
      <c r="B668" s="258"/>
      <c r="C668" s="258"/>
      <c r="D668" s="258"/>
      <c r="E668" s="258"/>
      <c r="F668" s="258"/>
      <c r="G668" s="258"/>
      <c r="H668" s="258"/>
    </row>
    <row r="669" spans="1:9" x14ac:dyDescent="0.35">
      <c r="A669" s="39" t="s">
        <v>211</v>
      </c>
      <c r="B669" s="40"/>
      <c r="C669" s="40"/>
      <c r="D669" s="39" t="str">
        <f>E8</f>
        <v>Charms Padmavati Royal Phase I &amp; II</v>
      </c>
      <c r="E669" s="40"/>
      <c r="F669" s="40"/>
      <c r="G669" s="40"/>
      <c r="H669" s="40"/>
    </row>
    <row r="670" spans="1:9" x14ac:dyDescent="0.35">
      <c r="A670" s="40"/>
      <c r="B670" s="40"/>
      <c r="C670" s="40"/>
      <c r="D670" s="40"/>
      <c r="E670" s="40"/>
      <c r="F670" s="40"/>
      <c r="G670" s="40"/>
      <c r="H670" s="40"/>
    </row>
    <row r="672" spans="1:9" ht="15" customHeight="1" x14ac:dyDescent="0.35"/>
    <row r="712" spans="1:8" x14ac:dyDescent="0.35">
      <c r="A712" s="39" t="s">
        <v>211</v>
      </c>
      <c r="B712" s="40"/>
      <c r="C712" s="40"/>
      <c r="D712" s="39" t="str">
        <f>E8</f>
        <v>Charms Padmavati Royal Phase I &amp; II</v>
      </c>
      <c r="E712" s="40"/>
      <c r="F712" s="40"/>
      <c r="G712" s="40"/>
      <c r="H712" s="40"/>
    </row>
    <row r="713" spans="1:8" x14ac:dyDescent="0.35">
      <c r="A713" s="40"/>
      <c r="B713" s="40"/>
      <c r="C713" s="40"/>
      <c r="D713" s="40"/>
      <c r="E713" s="40"/>
      <c r="F713" s="40"/>
      <c r="G713" s="40"/>
      <c r="H713" s="40"/>
    </row>
    <row r="715" spans="1:8" ht="15" customHeight="1" x14ac:dyDescent="0.35"/>
    <row r="755" spans="1:8" x14ac:dyDescent="0.35">
      <c r="A755" s="39" t="s">
        <v>242</v>
      </c>
      <c r="B755" s="261" t="str">
        <f>E8</f>
        <v>Charms Padmavati Royal Phase I &amp; II</v>
      </c>
      <c r="C755" s="261"/>
      <c r="D755" s="261"/>
      <c r="E755" s="261"/>
      <c r="F755" s="261"/>
      <c r="G755" s="261"/>
      <c r="H755" s="261"/>
    </row>
    <row r="756" spans="1:8" x14ac:dyDescent="0.35">
      <c r="A756" s="40"/>
      <c r="B756" s="40"/>
      <c r="C756" s="40"/>
      <c r="D756" s="40"/>
      <c r="E756" s="40"/>
      <c r="F756" s="40"/>
      <c r="G756" s="40"/>
      <c r="H756" s="40"/>
    </row>
    <row r="758" spans="1:8" ht="15" customHeight="1" x14ac:dyDescent="0.35"/>
    <row r="798" spans="1:8" x14ac:dyDescent="0.35">
      <c r="A798" s="42"/>
    </row>
    <row r="799" spans="1:8" x14ac:dyDescent="0.35">
      <c r="A799" s="42" t="s">
        <v>66</v>
      </c>
      <c r="B799" s="42"/>
      <c r="C799" s="262" t="str">
        <f>E8</f>
        <v>Charms Padmavati Royal Phase I &amp; II</v>
      </c>
      <c r="D799" s="262"/>
      <c r="E799" s="262"/>
      <c r="F799" s="262"/>
      <c r="G799" s="262"/>
      <c r="H799" s="262"/>
    </row>
  </sheetData>
  <mergeCells count="1140"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87:B87"/>
    <mergeCell ref="A88:B88"/>
    <mergeCell ref="A89:B89"/>
    <mergeCell ref="A90:B90"/>
    <mergeCell ref="A91:B91"/>
    <mergeCell ref="A236:B236"/>
    <mergeCell ref="E236:F236"/>
    <mergeCell ref="G568:H573"/>
    <mergeCell ref="G575:H580"/>
    <mergeCell ref="G615:H618"/>
    <mergeCell ref="A54:B55"/>
    <mergeCell ref="C54:E54"/>
    <mergeCell ref="G54:H54"/>
    <mergeCell ref="C55:H55"/>
    <mergeCell ref="G302:H302"/>
    <mergeCell ref="A336:H336"/>
    <mergeCell ref="A306:H306"/>
    <mergeCell ref="A307:H307"/>
    <mergeCell ref="A354:B354"/>
    <mergeCell ref="A367:B367"/>
    <mergeCell ref="A452:H452"/>
    <mergeCell ref="C610:F610"/>
    <mergeCell ref="B288:B289"/>
    <mergeCell ref="A508:B508"/>
    <mergeCell ref="A516:B516"/>
    <mergeCell ref="A517:B517"/>
    <mergeCell ref="A504:B504"/>
    <mergeCell ref="A505:H505"/>
    <mergeCell ref="A541:B541"/>
    <mergeCell ref="A546:B546"/>
    <mergeCell ref="A556:B556"/>
    <mergeCell ref="A222:B222"/>
    <mergeCell ref="E222:F222"/>
    <mergeCell ref="G222:H222"/>
    <mergeCell ref="A223:B223"/>
    <mergeCell ref="E223:F232"/>
    <mergeCell ref="G223:H232"/>
    <mergeCell ref="A224:B224"/>
    <mergeCell ref="A225:B225"/>
    <mergeCell ref="B650:H650"/>
    <mergeCell ref="G522:H527"/>
    <mergeCell ref="G512:H517"/>
    <mergeCell ref="G507:H510"/>
    <mergeCell ref="G499:H504"/>
    <mergeCell ref="G494:H497"/>
    <mergeCell ref="G485:H490"/>
    <mergeCell ref="G480:H483"/>
    <mergeCell ref="G472:H477"/>
    <mergeCell ref="G467:H470"/>
    <mergeCell ref="G458:H463"/>
    <mergeCell ref="G453:H456"/>
    <mergeCell ref="A249:E249"/>
    <mergeCell ref="F249:H249"/>
    <mergeCell ref="D257:D258"/>
    <mergeCell ref="A264:C264"/>
    <mergeCell ref="A266:C266"/>
    <mergeCell ref="B267:B268"/>
    <mergeCell ref="B269:B270"/>
    <mergeCell ref="B271:B272"/>
    <mergeCell ref="E261:F261"/>
    <mergeCell ref="G261:H261"/>
    <mergeCell ref="E277:F277"/>
    <mergeCell ref="G315:H315"/>
    <mergeCell ref="G303:H303"/>
    <mergeCell ref="G440:H443"/>
    <mergeCell ref="G445:H450"/>
    <mergeCell ref="G431:H436"/>
    <mergeCell ref="B755:H755"/>
    <mergeCell ref="C799:H799"/>
    <mergeCell ref="B651:H651"/>
    <mergeCell ref="A532:B532"/>
    <mergeCell ref="L532:M532"/>
    <mergeCell ref="C533:F533"/>
    <mergeCell ref="A548:B548"/>
    <mergeCell ref="C548:F548"/>
    <mergeCell ref="L548:M548"/>
    <mergeCell ref="A564:B564"/>
    <mergeCell ref="C564:F564"/>
    <mergeCell ref="L564:M564"/>
    <mergeCell ref="A579:B579"/>
    <mergeCell ref="C579:F579"/>
    <mergeCell ref="L579:M579"/>
    <mergeCell ref="A595:B595"/>
    <mergeCell ref="C595:F595"/>
    <mergeCell ref="L595:M595"/>
    <mergeCell ref="A620:B620"/>
    <mergeCell ref="A621:B621"/>
    <mergeCell ref="A622:B622"/>
    <mergeCell ref="L616:M616"/>
    <mergeCell ref="A617:B617"/>
    <mergeCell ref="L610:M610"/>
    <mergeCell ref="A610:B610"/>
    <mergeCell ref="B657:H657"/>
    <mergeCell ref="A666:H668"/>
    <mergeCell ref="A665:B665"/>
    <mergeCell ref="E665:F665"/>
    <mergeCell ref="C665:D665"/>
    <mergeCell ref="G665:H665"/>
    <mergeCell ref="A661:H661"/>
    <mergeCell ref="A664:H664"/>
    <mergeCell ref="C37:H37"/>
    <mergeCell ref="A50:B51"/>
    <mergeCell ref="C50:E50"/>
    <mergeCell ref="G50:H50"/>
    <mergeCell ref="C51:E51"/>
    <mergeCell ref="G51:H51"/>
    <mergeCell ref="A385:H385"/>
    <mergeCell ref="C380:C381"/>
    <mergeCell ref="A391:B391"/>
    <mergeCell ref="A392:B392"/>
    <mergeCell ref="A450:B450"/>
    <mergeCell ref="A451:H451"/>
    <mergeCell ref="A442:B442"/>
    <mergeCell ref="A435:B435"/>
    <mergeCell ref="A436:B436"/>
    <mergeCell ref="A536:H536"/>
    <mergeCell ref="B641:H641"/>
    <mergeCell ref="E254:F254"/>
    <mergeCell ref="A286:H286"/>
    <mergeCell ref="E263:F263"/>
    <mergeCell ref="G263:H263"/>
    <mergeCell ref="B283:B284"/>
    <mergeCell ref="E283:F283"/>
    <mergeCell ref="G283:H283"/>
    <mergeCell ref="E284:F284"/>
    <mergeCell ref="A277:A284"/>
    <mergeCell ref="A285:C285"/>
    <mergeCell ref="B273:B274"/>
    <mergeCell ref="B275:B276"/>
    <mergeCell ref="A267:A276"/>
    <mergeCell ref="B277:B278"/>
    <mergeCell ref="L390:M390"/>
    <mergeCell ref="L387:M387"/>
    <mergeCell ref="L388:M388"/>
    <mergeCell ref="L389:M389"/>
    <mergeCell ref="L414:M414"/>
    <mergeCell ref="L415:M415"/>
    <mergeCell ref="L416:M416"/>
    <mergeCell ref="L428:M428"/>
    <mergeCell ref="L429:M429"/>
    <mergeCell ref="A432:B432"/>
    <mergeCell ref="B279:B280"/>
    <mergeCell ref="E279:F279"/>
    <mergeCell ref="G279:H279"/>
    <mergeCell ref="E280:F280"/>
    <mergeCell ref="G280:H280"/>
    <mergeCell ref="B281:B282"/>
    <mergeCell ref="E281:F281"/>
    <mergeCell ref="G281:H281"/>
    <mergeCell ref="A310:B310"/>
    <mergeCell ref="G310:H310"/>
    <mergeCell ref="A315:B315"/>
    <mergeCell ref="A288:A289"/>
    <mergeCell ref="A350:B350"/>
    <mergeCell ref="G350:H350"/>
    <mergeCell ref="C288:C289"/>
    <mergeCell ref="A321:H321"/>
    <mergeCell ref="A434:B434"/>
    <mergeCell ref="A414:B414"/>
    <mergeCell ref="A410:H410"/>
    <mergeCell ref="A411:H411"/>
    <mergeCell ref="A413:B413"/>
    <mergeCell ref="A456:B456"/>
    <mergeCell ref="G404:H409"/>
    <mergeCell ref="G413:H416"/>
    <mergeCell ref="G418:H423"/>
    <mergeCell ref="G386:H389"/>
    <mergeCell ref="G391:H396"/>
    <mergeCell ref="A539:B539"/>
    <mergeCell ref="A540:B540"/>
    <mergeCell ref="A528:H528"/>
    <mergeCell ref="A429:B429"/>
    <mergeCell ref="A557:B557"/>
    <mergeCell ref="A395:B395"/>
    <mergeCell ref="A423:B423"/>
    <mergeCell ref="A424:H424"/>
    <mergeCell ref="A409:B409"/>
    <mergeCell ref="A388:B388"/>
    <mergeCell ref="A390:H390"/>
    <mergeCell ref="A521:H521"/>
    <mergeCell ref="A522:B522"/>
    <mergeCell ref="A523:B523"/>
    <mergeCell ref="A524:B524"/>
    <mergeCell ref="A466:H466"/>
    <mergeCell ref="A425:H425"/>
    <mergeCell ref="A406:B406"/>
    <mergeCell ref="A448:B448"/>
    <mergeCell ref="A484:H484"/>
    <mergeCell ref="L547:M547"/>
    <mergeCell ref="A549:B549"/>
    <mergeCell ref="L549:M549"/>
    <mergeCell ref="A551:H551"/>
    <mergeCell ref="A552:H552"/>
    <mergeCell ref="A543:H543"/>
    <mergeCell ref="A553:B553"/>
    <mergeCell ref="A554:B554"/>
    <mergeCell ref="A555:B555"/>
    <mergeCell ref="G529:H534"/>
    <mergeCell ref="G537:H542"/>
    <mergeCell ref="G544:H549"/>
    <mergeCell ref="G553:H558"/>
    <mergeCell ref="G560:H565"/>
    <mergeCell ref="L534:M534"/>
    <mergeCell ref="L530:M530"/>
    <mergeCell ref="L531:M531"/>
    <mergeCell ref="L533:M533"/>
    <mergeCell ref="A542:B542"/>
    <mergeCell ref="L545:M545"/>
    <mergeCell ref="A38:B38"/>
    <mergeCell ref="C38:H38"/>
    <mergeCell ref="B648:H648"/>
    <mergeCell ref="A47:B47"/>
    <mergeCell ref="C47:H47"/>
    <mergeCell ref="B646:H646"/>
    <mergeCell ref="G209:H218"/>
    <mergeCell ref="A210:B210"/>
    <mergeCell ref="A211:B211"/>
    <mergeCell ref="A212:B212"/>
    <mergeCell ref="G348:H348"/>
    <mergeCell ref="D288:D289"/>
    <mergeCell ref="G285:H285"/>
    <mergeCell ref="A386:B386"/>
    <mergeCell ref="A207:B207"/>
    <mergeCell ref="C207:H207"/>
    <mergeCell ref="A308:H308"/>
    <mergeCell ref="A309:B309"/>
    <mergeCell ref="G254:H254"/>
    <mergeCell ref="G339:H339"/>
    <mergeCell ref="A383:H383"/>
    <mergeCell ref="A287:H287"/>
    <mergeCell ref="A380:A381"/>
    <mergeCell ref="A396:B396"/>
    <mergeCell ref="A208:B208"/>
    <mergeCell ref="A250:E250"/>
    <mergeCell ref="A558:B558"/>
    <mergeCell ref="A559:H559"/>
    <mergeCell ref="A560:B560"/>
    <mergeCell ref="A550:H550"/>
    <mergeCell ref="A547:B547"/>
    <mergeCell ref="A433:B433"/>
    <mergeCell ref="D63:H63"/>
    <mergeCell ref="A535:H535"/>
    <mergeCell ref="A533:B533"/>
    <mergeCell ref="A526:B526"/>
    <mergeCell ref="A527:B527"/>
    <mergeCell ref="A525:B525"/>
    <mergeCell ref="A488:B488"/>
    <mergeCell ref="A489:B489"/>
    <mergeCell ref="L379:M379"/>
    <mergeCell ref="A146:B146"/>
    <mergeCell ref="E267:F267"/>
    <mergeCell ref="G267:H267"/>
    <mergeCell ref="A248:E248"/>
    <mergeCell ref="E288:E289"/>
    <mergeCell ref="G288:H289"/>
    <mergeCell ref="A209:B209"/>
    <mergeCell ref="E209:F218"/>
    <mergeCell ref="A216:B216"/>
    <mergeCell ref="A217:B217"/>
    <mergeCell ref="A218:B218"/>
    <mergeCell ref="F247:H247"/>
    <mergeCell ref="F250:H250"/>
    <mergeCell ref="A379:H379"/>
    <mergeCell ref="A349:B349"/>
    <mergeCell ref="A340:B340"/>
    <mergeCell ref="G324:H324"/>
    <mergeCell ref="A325:B325"/>
    <mergeCell ref="B380:B381"/>
    <mergeCell ref="G309:H309"/>
    <mergeCell ref="G326:H326"/>
    <mergeCell ref="A331:B331"/>
    <mergeCell ref="G331:H331"/>
    <mergeCell ref="A394:B394"/>
    <mergeCell ref="L305:M305"/>
    <mergeCell ref="A345:B345"/>
    <mergeCell ref="G345:H345"/>
    <mergeCell ref="A303:B303"/>
    <mergeCell ref="A372:B372"/>
    <mergeCell ref="G372:H372"/>
    <mergeCell ref="G298:H298"/>
    <mergeCell ref="A36:H36"/>
    <mergeCell ref="A35:B35"/>
    <mergeCell ref="C35:E35"/>
    <mergeCell ref="A40:D40"/>
    <mergeCell ref="E40:H40"/>
    <mergeCell ref="G367:H367"/>
    <mergeCell ref="G259:H260"/>
    <mergeCell ref="B261:B263"/>
    <mergeCell ref="A290:H290"/>
    <mergeCell ref="E264:F264"/>
    <mergeCell ref="G264:H264"/>
    <mergeCell ref="A346:B346"/>
    <mergeCell ref="G346:H346"/>
    <mergeCell ref="A363:B363"/>
    <mergeCell ref="G363:H363"/>
    <mergeCell ref="E285:F285"/>
    <mergeCell ref="E262:F262"/>
    <mergeCell ref="G262:H262"/>
    <mergeCell ref="A247:E247"/>
    <mergeCell ref="E268:F268"/>
    <mergeCell ref="A294:B294"/>
    <mergeCell ref="A387:B387"/>
    <mergeCell ref="G52:H52"/>
    <mergeCell ref="E208:F208"/>
    <mergeCell ref="F32:H32"/>
    <mergeCell ref="F33:H33"/>
    <mergeCell ref="A39:H39"/>
    <mergeCell ref="A72:C72"/>
    <mergeCell ref="A73:C73"/>
    <mergeCell ref="D72:H72"/>
    <mergeCell ref="E139:F148"/>
    <mergeCell ref="G139:H148"/>
    <mergeCell ref="A147:B147"/>
    <mergeCell ref="A148:B148"/>
    <mergeCell ref="D73:H73"/>
    <mergeCell ref="A42:D42"/>
    <mergeCell ref="E42:H42"/>
    <mergeCell ref="E43:H43"/>
    <mergeCell ref="E44:H44"/>
    <mergeCell ref="A44:D44"/>
    <mergeCell ref="A45:D45"/>
    <mergeCell ref="A46:H46"/>
    <mergeCell ref="A43:D43"/>
    <mergeCell ref="F35:H35"/>
    <mergeCell ref="A37:B37"/>
    <mergeCell ref="A77:C77"/>
    <mergeCell ref="D77:H77"/>
    <mergeCell ref="A139:B139"/>
    <mergeCell ref="D65:H65"/>
    <mergeCell ref="A65:C65"/>
    <mergeCell ref="A66:C71"/>
    <mergeCell ref="C52:E52"/>
    <mergeCell ref="D66:H66"/>
    <mergeCell ref="D70:H70"/>
    <mergeCell ref="D67:H67"/>
    <mergeCell ref="D69:H69"/>
    <mergeCell ref="A20:B20"/>
    <mergeCell ref="C20:D20"/>
    <mergeCell ref="E20:F20"/>
    <mergeCell ref="A16:B16"/>
    <mergeCell ref="C16:H16"/>
    <mergeCell ref="G20:H20"/>
    <mergeCell ref="A15:B1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18:F18"/>
    <mergeCell ref="E19:F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0:D10"/>
    <mergeCell ref="E10:H10"/>
    <mergeCell ref="G19:H19"/>
    <mergeCell ref="C14:H14"/>
    <mergeCell ref="C15:H15"/>
    <mergeCell ref="E23:H23"/>
    <mergeCell ref="A17:B17"/>
    <mergeCell ref="C17:D17"/>
    <mergeCell ref="E17:F17"/>
    <mergeCell ref="G17:H17"/>
    <mergeCell ref="A18:B18"/>
    <mergeCell ref="C18:D18"/>
    <mergeCell ref="A408:B408"/>
    <mergeCell ref="A12:D12"/>
    <mergeCell ref="E12:H12"/>
    <mergeCell ref="A13:D13"/>
    <mergeCell ref="E45:H45"/>
    <mergeCell ref="C60:E60"/>
    <mergeCell ref="A62:H62"/>
    <mergeCell ref="A63:C63"/>
    <mergeCell ref="A64:C64"/>
    <mergeCell ref="D64:H64"/>
    <mergeCell ref="G60:H60"/>
    <mergeCell ref="A60:B61"/>
    <mergeCell ref="C61:H61"/>
    <mergeCell ref="A76:C76"/>
    <mergeCell ref="D76:H76"/>
    <mergeCell ref="C48:E48"/>
    <mergeCell ref="C53:E53"/>
    <mergeCell ref="G53:H53"/>
    <mergeCell ref="G48:H48"/>
    <mergeCell ref="C257:C258"/>
    <mergeCell ref="E282:F282"/>
    <mergeCell ref="G282:H282"/>
    <mergeCell ref="G18:H18"/>
    <mergeCell ref="A19:B19"/>
    <mergeCell ref="C19:D19"/>
    <mergeCell ref="A21:D22"/>
    <mergeCell ref="E21:H22"/>
    <mergeCell ref="E13:H13"/>
    <mergeCell ref="A14:B14"/>
    <mergeCell ref="A52:B53"/>
    <mergeCell ref="A659:H659"/>
    <mergeCell ref="E266:F266"/>
    <mergeCell ref="B649:H649"/>
    <mergeCell ref="B652:H652"/>
    <mergeCell ref="B647:H647"/>
    <mergeCell ref="B643:H643"/>
    <mergeCell ref="A537:B537"/>
    <mergeCell ref="A141:B141"/>
    <mergeCell ref="A137:B137"/>
    <mergeCell ref="A135:B135"/>
    <mergeCell ref="C135:H135"/>
    <mergeCell ref="A143:B143"/>
    <mergeCell ref="A74:C74"/>
    <mergeCell ref="D74:H74"/>
    <mergeCell ref="C137:H137"/>
    <mergeCell ref="A140:B140"/>
    <mergeCell ref="A142:B142"/>
    <mergeCell ref="E138:F138"/>
    <mergeCell ref="A75:C75"/>
    <mergeCell ref="D75:H75"/>
    <mergeCell ref="A544:B544"/>
    <mergeCell ref="A545:B545"/>
    <mergeCell ref="A393:B393"/>
    <mergeCell ref="G349:H349"/>
    <mergeCell ref="G294:H294"/>
    <mergeCell ref="A298:B298"/>
    <mergeCell ref="A23:D23"/>
    <mergeCell ref="C255:C256"/>
    <mergeCell ref="D255:D256"/>
    <mergeCell ref="E255:F256"/>
    <mergeCell ref="G255:H256"/>
    <mergeCell ref="A253:H253"/>
    <mergeCell ref="A251:E251"/>
    <mergeCell ref="F251:H251"/>
    <mergeCell ref="A252:E252"/>
    <mergeCell ref="F252:H252"/>
    <mergeCell ref="A265:H265"/>
    <mergeCell ref="A342:B342"/>
    <mergeCell ref="G342:H342"/>
    <mergeCell ref="G208:H208"/>
    <mergeCell ref="A171:B171"/>
    <mergeCell ref="A662:H662"/>
    <mergeCell ref="B640:H640"/>
    <mergeCell ref="B642:H642"/>
    <mergeCell ref="B644:H644"/>
    <mergeCell ref="B645:H645"/>
    <mergeCell ref="A639:H639"/>
    <mergeCell ref="A658:H658"/>
    <mergeCell ref="A405:B405"/>
    <mergeCell ref="G340:H340"/>
    <mergeCell ref="A415:B415"/>
    <mergeCell ref="A382:H382"/>
    <mergeCell ref="A421:B421"/>
    <mergeCell ref="A534:B534"/>
    <mergeCell ref="A529:B529"/>
    <mergeCell ref="A530:B530"/>
    <mergeCell ref="A531:B531"/>
    <mergeCell ref="G325:H325"/>
    <mergeCell ref="A326:B326"/>
    <mergeCell ref="A446:B446"/>
    <mergeCell ref="E41:H41"/>
    <mergeCell ref="A41:D41"/>
    <mergeCell ref="L417:M417"/>
    <mergeCell ref="L427:M427"/>
    <mergeCell ref="A407:B407"/>
    <mergeCell ref="L441:M441"/>
    <mergeCell ref="A441:B441"/>
    <mergeCell ref="A518:H518"/>
    <mergeCell ref="A519:H519"/>
    <mergeCell ref="A520:H520"/>
    <mergeCell ref="L468:M468"/>
    <mergeCell ref="L469:M469"/>
    <mergeCell ref="L470:M470"/>
    <mergeCell ref="A471:H471"/>
    <mergeCell ref="A461:B461"/>
    <mergeCell ref="A462:B462"/>
    <mergeCell ref="A463:B463"/>
    <mergeCell ref="A499:B499"/>
    <mergeCell ref="A500:B500"/>
    <mergeCell ref="A501:B501"/>
    <mergeCell ref="A399:B399"/>
    <mergeCell ref="A453:B453"/>
    <mergeCell ref="L454:M454"/>
    <mergeCell ref="A454:B454"/>
    <mergeCell ref="L508:M508"/>
    <mergeCell ref="L509:M509"/>
    <mergeCell ref="L510:M510"/>
    <mergeCell ref="L511:M511"/>
    <mergeCell ref="A465:H465"/>
    <mergeCell ref="A254:C254"/>
    <mergeCell ref="A255:A263"/>
    <mergeCell ref="A663:H663"/>
    <mergeCell ref="A660:H660"/>
    <mergeCell ref="A338:B338"/>
    <mergeCell ref="D380:D381"/>
    <mergeCell ref="E380:E381"/>
    <mergeCell ref="G380:H381"/>
    <mergeCell ref="A213:B213"/>
    <mergeCell ref="A214:B214"/>
    <mergeCell ref="A215:B215"/>
    <mergeCell ref="A205:B205"/>
    <mergeCell ref="C205:H205"/>
    <mergeCell ref="A144:B144"/>
    <mergeCell ref="F248:H248"/>
    <mergeCell ref="A48:B48"/>
    <mergeCell ref="A437:H437"/>
    <mergeCell ref="A438:H438"/>
    <mergeCell ref="A439:H439"/>
    <mergeCell ref="A440:B440"/>
    <mergeCell ref="A400:B400"/>
    <mergeCell ref="G400:H400"/>
    <mergeCell ref="A455:B455"/>
    <mergeCell ref="A417:H417"/>
    <mergeCell ref="A418:B418"/>
    <mergeCell ref="A419:B419"/>
    <mergeCell ref="A420:B420"/>
    <mergeCell ref="A416:B416"/>
    <mergeCell ref="A427:B427"/>
    <mergeCell ref="A428:B428"/>
    <mergeCell ref="A422:B422"/>
    <mergeCell ref="A538:B538"/>
    <mergeCell ref="A430:H430"/>
    <mergeCell ref="A431:B431"/>
    <mergeCell ref="G426:H429"/>
    <mergeCell ref="L483:M483"/>
    <mergeCell ref="L370:M370"/>
    <mergeCell ref="A371:B371"/>
    <mergeCell ref="G371:H371"/>
    <mergeCell ref="L371:M371"/>
    <mergeCell ref="A377:B377"/>
    <mergeCell ref="G377:H377"/>
    <mergeCell ref="L377:M377"/>
    <mergeCell ref="L378:M378"/>
    <mergeCell ref="A373:B373"/>
    <mergeCell ref="G373:H373"/>
    <mergeCell ref="L373:M373"/>
    <mergeCell ref="A374:B374"/>
    <mergeCell ref="G374:H374"/>
    <mergeCell ref="L374:M374"/>
    <mergeCell ref="A375:H375"/>
    <mergeCell ref="A376:B376"/>
    <mergeCell ref="G376:H376"/>
    <mergeCell ref="L372:M372"/>
    <mergeCell ref="A469:B469"/>
    <mergeCell ref="A470:B470"/>
    <mergeCell ref="A459:B459"/>
    <mergeCell ref="A460:B460"/>
    <mergeCell ref="A467:B467"/>
    <mergeCell ref="A468:B468"/>
    <mergeCell ref="L430:M430"/>
    <mergeCell ref="L457:M457"/>
    <mergeCell ref="A457:H457"/>
    <mergeCell ref="A458:B458"/>
    <mergeCell ref="L455:M455"/>
    <mergeCell ref="A445:B445"/>
    <mergeCell ref="L302:M302"/>
    <mergeCell ref="L303:M303"/>
    <mergeCell ref="A304:B304"/>
    <mergeCell ref="G304:H304"/>
    <mergeCell ref="L304:M304"/>
    <mergeCell ref="A302:B302"/>
    <mergeCell ref="L356:M356"/>
    <mergeCell ref="G357:H357"/>
    <mergeCell ref="L345:M345"/>
    <mergeCell ref="A337:H337"/>
    <mergeCell ref="A339:B339"/>
    <mergeCell ref="L339:M339"/>
    <mergeCell ref="A370:B370"/>
    <mergeCell ref="G370:H370"/>
    <mergeCell ref="A378:B378"/>
    <mergeCell ref="G378:H378"/>
    <mergeCell ref="A464:H464"/>
    <mergeCell ref="G399:H399"/>
    <mergeCell ref="L400:M400"/>
    <mergeCell ref="A449:B449"/>
    <mergeCell ref="L442:M442"/>
    <mergeCell ref="A384:H384"/>
    <mergeCell ref="A389:B389"/>
    <mergeCell ref="A398:H398"/>
    <mergeCell ref="A397:H397"/>
    <mergeCell ref="A403:H403"/>
    <mergeCell ref="A404:B404"/>
    <mergeCell ref="G338:H338"/>
    <mergeCell ref="L340:M340"/>
    <mergeCell ref="A341:B341"/>
    <mergeCell ref="G341:H341"/>
    <mergeCell ref="L341:M341"/>
    <mergeCell ref="L295:M295"/>
    <mergeCell ref="A295:B295"/>
    <mergeCell ref="G295:H295"/>
    <mergeCell ref="L296:M296"/>
    <mergeCell ref="A296:B296"/>
    <mergeCell ref="G296:H296"/>
    <mergeCell ref="L297:M297"/>
    <mergeCell ref="A297:B297"/>
    <mergeCell ref="G297:H297"/>
    <mergeCell ref="L298:M298"/>
    <mergeCell ref="L299:M299"/>
    <mergeCell ref="A299:B299"/>
    <mergeCell ref="G299:H299"/>
    <mergeCell ref="A300:B300"/>
    <mergeCell ref="G300:H300"/>
    <mergeCell ref="A301:B301"/>
    <mergeCell ref="G301:H301"/>
    <mergeCell ref="L301:M301"/>
    <mergeCell ref="L342:M342"/>
    <mergeCell ref="A343:B343"/>
    <mergeCell ref="G343:H343"/>
    <mergeCell ref="L343:M343"/>
    <mergeCell ref="A344:B344"/>
    <mergeCell ref="G344:H344"/>
    <mergeCell ref="L344:M344"/>
    <mergeCell ref="A353:B353"/>
    <mergeCell ref="G353:H353"/>
    <mergeCell ref="A357:B357"/>
    <mergeCell ref="L353:M353"/>
    <mergeCell ref="L354:M354"/>
    <mergeCell ref="A355:B355"/>
    <mergeCell ref="G355:H355"/>
    <mergeCell ref="L355:M355"/>
    <mergeCell ref="A356:B356"/>
    <mergeCell ref="G356:H356"/>
    <mergeCell ref="L346:M346"/>
    <mergeCell ref="A347:B347"/>
    <mergeCell ref="G347:H347"/>
    <mergeCell ref="L347:M347"/>
    <mergeCell ref="A352:B352"/>
    <mergeCell ref="G352:H352"/>
    <mergeCell ref="L352:M352"/>
    <mergeCell ref="L348:M348"/>
    <mergeCell ref="L349:M349"/>
    <mergeCell ref="L350:M350"/>
    <mergeCell ref="A351:B351"/>
    <mergeCell ref="G351:H351"/>
    <mergeCell ref="L351:M351"/>
    <mergeCell ref="A348:B348"/>
    <mergeCell ref="G354:H354"/>
    <mergeCell ref="L362:M362"/>
    <mergeCell ref="L363:M363"/>
    <mergeCell ref="A364:B364"/>
    <mergeCell ref="G364:H364"/>
    <mergeCell ref="L364:M364"/>
    <mergeCell ref="A365:B365"/>
    <mergeCell ref="G365:H365"/>
    <mergeCell ref="L365:M365"/>
    <mergeCell ref="A362:B362"/>
    <mergeCell ref="G362:H362"/>
    <mergeCell ref="A366:B366"/>
    <mergeCell ref="G366:H366"/>
    <mergeCell ref="L357:M357"/>
    <mergeCell ref="A358:H358"/>
    <mergeCell ref="A359:B359"/>
    <mergeCell ref="G359:H359"/>
    <mergeCell ref="A360:B360"/>
    <mergeCell ref="G360:H360"/>
    <mergeCell ref="L360:M360"/>
    <mergeCell ref="A361:B361"/>
    <mergeCell ref="G361:H361"/>
    <mergeCell ref="L361:M361"/>
    <mergeCell ref="L366:M366"/>
    <mergeCell ref="L367:M367"/>
    <mergeCell ref="A368:B368"/>
    <mergeCell ref="G368:H368"/>
    <mergeCell ref="L368:M368"/>
    <mergeCell ref="A369:B369"/>
    <mergeCell ref="G369:H369"/>
    <mergeCell ref="L369:M369"/>
    <mergeCell ref="L471:M471"/>
    <mergeCell ref="A472:B472"/>
    <mergeCell ref="A473:B473"/>
    <mergeCell ref="A474:B474"/>
    <mergeCell ref="A475:B475"/>
    <mergeCell ref="A485:B485"/>
    <mergeCell ref="L456:M456"/>
    <mergeCell ref="A476:B476"/>
    <mergeCell ref="A477:B477"/>
    <mergeCell ref="A478:H478"/>
    <mergeCell ref="A479:H479"/>
    <mergeCell ref="A480:B480"/>
    <mergeCell ref="L443:M443"/>
    <mergeCell ref="A443:B443"/>
    <mergeCell ref="L444:M444"/>
    <mergeCell ref="A444:H444"/>
    <mergeCell ref="L401:M401"/>
    <mergeCell ref="A401:B401"/>
    <mergeCell ref="G401:H401"/>
    <mergeCell ref="L402:M402"/>
    <mergeCell ref="A402:B402"/>
    <mergeCell ref="G402:H402"/>
    <mergeCell ref="L403:M403"/>
    <mergeCell ref="A412:H412"/>
    <mergeCell ref="A426:B426"/>
    <mergeCell ref="L484:M484"/>
    <mergeCell ref="L495:M495"/>
    <mergeCell ref="A496:B496"/>
    <mergeCell ref="L496:M496"/>
    <mergeCell ref="A481:B481"/>
    <mergeCell ref="A487:B487"/>
    <mergeCell ref="L497:M497"/>
    <mergeCell ref="A498:H498"/>
    <mergeCell ref="L498:M498"/>
    <mergeCell ref="A490:B490"/>
    <mergeCell ref="A491:H491"/>
    <mergeCell ref="A492:H492"/>
    <mergeCell ref="A493:H493"/>
    <mergeCell ref="A494:B494"/>
    <mergeCell ref="A495:B495"/>
    <mergeCell ref="A486:B486"/>
    <mergeCell ref="L481:M481"/>
    <mergeCell ref="A482:B482"/>
    <mergeCell ref="L482:M482"/>
    <mergeCell ref="A483:B483"/>
    <mergeCell ref="A447:B447"/>
    <mergeCell ref="A497:B497"/>
    <mergeCell ref="A502:B502"/>
    <mergeCell ref="A503:B503"/>
    <mergeCell ref="A513:B513"/>
    <mergeCell ref="A514:B514"/>
    <mergeCell ref="A515:B515"/>
    <mergeCell ref="A509:B509"/>
    <mergeCell ref="A510:B510"/>
    <mergeCell ref="A511:H511"/>
    <mergeCell ref="A512:B512"/>
    <mergeCell ref="G584:H589"/>
    <mergeCell ref="A565:B565"/>
    <mergeCell ref="L565:M565"/>
    <mergeCell ref="A566:H566"/>
    <mergeCell ref="A567:H567"/>
    <mergeCell ref="A568:B568"/>
    <mergeCell ref="A569:B569"/>
    <mergeCell ref="A561:B561"/>
    <mergeCell ref="L561:M561"/>
    <mergeCell ref="A562:B562"/>
    <mergeCell ref="L562:M562"/>
    <mergeCell ref="A563:B563"/>
    <mergeCell ref="L563:M563"/>
    <mergeCell ref="A575:B575"/>
    <mergeCell ref="A576:B576"/>
    <mergeCell ref="L576:M576"/>
    <mergeCell ref="A577:B577"/>
    <mergeCell ref="L577:M577"/>
    <mergeCell ref="A506:H506"/>
    <mergeCell ref="A507:B507"/>
    <mergeCell ref="L546:M546"/>
    <mergeCell ref="A596:B596"/>
    <mergeCell ref="L596:M596"/>
    <mergeCell ref="A597:H597"/>
    <mergeCell ref="A591:B591"/>
    <mergeCell ref="A592:B592"/>
    <mergeCell ref="L592:M592"/>
    <mergeCell ref="A593:B593"/>
    <mergeCell ref="L593:M593"/>
    <mergeCell ref="A594:B594"/>
    <mergeCell ref="L594:M594"/>
    <mergeCell ref="G591:H596"/>
    <mergeCell ref="G599:H604"/>
    <mergeCell ref="G606:H611"/>
    <mergeCell ref="A578:B578"/>
    <mergeCell ref="L578:M578"/>
    <mergeCell ref="A570:B570"/>
    <mergeCell ref="A571:B571"/>
    <mergeCell ref="A572:B572"/>
    <mergeCell ref="A573:B573"/>
    <mergeCell ref="A574:H574"/>
    <mergeCell ref="A586:B586"/>
    <mergeCell ref="A587:B587"/>
    <mergeCell ref="A588:B588"/>
    <mergeCell ref="A589:B589"/>
    <mergeCell ref="A590:H590"/>
    <mergeCell ref="A580:B580"/>
    <mergeCell ref="L580:M580"/>
    <mergeCell ref="A581:H581"/>
    <mergeCell ref="A582:H582"/>
    <mergeCell ref="A583:H583"/>
    <mergeCell ref="A584:B584"/>
    <mergeCell ref="A585:B585"/>
    <mergeCell ref="L617:M617"/>
    <mergeCell ref="A618:B618"/>
    <mergeCell ref="L618:M618"/>
    <mergeCell ref="A619:H619"/>
    <mergeCell ref="L619:M619"/>
    <mergeCell ref="A611:B611"/>
    <mergeCell ref="L611:M611"/>
    <mergeCell ref="A598:H598"/>
    <mergeCell ref="A599:B599"/>
    <mergeCell ref="A600:B600"/>
    <mergeCell ref="A601:B601"/>
    <mergeCell ref="A602:B602"/>
    <mergeCell ref="A603:B603"/>
    <mergeCell ref="A604:B604"/>
    <mergeCell ref="A612:H612"/>
    <mergeCell ref="A613:H613"/>
    <mergeCell ref="A614:H614"/>
    <mergeCell ref="A615:B615"/>
    <mergeCell ref="A616:B616"/>
    <mergeCell ref="A606:B606"/>
    <mergeCell ref="A607:B607"/>
    <mergeCell ref="L607:M607"/>
    <mergeCell ref="A608:B608"/>
    <mergeCell ref="L608:M608"/>
    <mergeCell ref="A609:B609"/>
    <mergeCell ref="L609:M609"/>
    <mergeCell ref="A605:H605"/>
    <mergeCell ref="A638:B638"/>
    <mergeCell ref="A630:B630"/>
    <mergeCell ref="L630:M630"/>
    <mergeCell ref="A631:B631"/>
    <mergeCell ref="L631:M631"/>
    <mergeCell ref="A632:H632"/>
    <mergeCell ref="L632:M632"/>
    <mergeCell ref="A633:B633"/>
    <mergeCell ref="A625:B625"/>
    <mergeCell ref="A626:H626"/>
    <mergeCell ref="A627:H627"/>
    <mergeCell ref="A628:B628"/>
    <mergeCell ref="A629:B629"/>
    <mergeCell ref="L629:M629"/>
    <mergeCell ref="A637:B637"/>
    <mergeCell ref="A635:B635"/>
    <mergeCell ref="A636:B636"/>
    <mergeCell ref="G620:H625"/>
    <mergeCell ref="G628:H631"/>
    <mergeCell ref="G633:H638"/>
    <mergeCell ref="A623:B623"/>
    <mergeCell ref="A624:B624"/>
    <mergeCell ref="A634:B634"/>
    <mergeCell ref="G313:H313"/>
    <mergeCell ref="L313:M313"/>
    <mergeCell ref="L326:M326"/>
    <mergeCell ref="A327:B327"/>
    <mergeCell ref="G327:H327"/>
    <mergeCell ref="L327:M327"/>
    <mergeCell ref="G319:H319"/>
    <mergeCell ref="L319:M319"/>
    <mergeCell ref="A320:B320"/>
    <mergeCell ref="G320:H320"/>
    <mergeCell ref="L320:M320"/>
    <mergeCell ref="A322:H322"/>
    <mergeCell ref="L314:M314"/>
    <mergeCell ref="A316:B316"/>
    <mergeCell ref="G316:H316"/>
    <mergeCell ref="A317:B317"/>
    <mergeCell ref="G317:H317"/>
    <mergeCell ref="L317:M317"/>
    <mergeCell ref="A318:B318"/>
    <mergeCell ref="G318:H318"/>
    <mergeCell ref="L318:M318"/>
    <mergeCell ref="A314:B314"/>
    <mergeCell ref="G314:H314"/>
    <mergeCell ref="A319:B319"/>
    <mergeCell ref="A324:B324"/>
    <mergeCell ref="A323:H323"/>
    <mergeCell ref="A246:B246"/>
    <mergeCell ref="L316:M316"/>
    <mergeCell ref="L325:M325"/>
    <mergeCell ref="L335:M335"/>
    <mergeCell ref="A332:B332"/>
    <mergeCell ref="G332:H332"/>
    <mergeCell ref="A333:B333"/>
    <mergeCell ref="G333:H333"/>
    <mergeCell ref="L333:M333"/>
    <mergeCell ref="A334:B334"/>
    <mergeCell ref="G334:H334"/>
    <mergeCell ref="L334:M334"/>
    <mergeCell ref="A328:B328"/>
    <mergeCell ref="G328:H328"/>
    <mergeCell ref="L328:M328"/>
    <mergeCell ref="A329:B329"/>
    <mergeCell ref="G329:H329"/>
    <mergeCell ref="L329:M329"/>
    <mergeCell ref="A330:B330"/>
    <mergeCell ref="G330:H330"/>
    <mergeCell ref="L331:M331"/>
    <mergeCell ref="L332:M332"/>
    <mergeCell ref="A335:B335"/>
    <mergeCell ref="G335:H335"/>
    <mergeCell ref="L310:M310"/>
    <mergeCell ref="A311:B311"/>
    <mergeCell ref="G311:H311"/>
    <mergeCell ref="L311:M311"/>
    <mergeCell ref="A312:B312"/>
    <mergeCell ref="G312:H312"/>
    <mergeCell ref="L312:M312"/>
    <mergeCell ref="A313:B313"/>
    <mergeCell ref="E257:F258"/>
    <mergeCell ref="G257:H258"/>
    <mergeCell ref="D259:D260"/>
    <mergeCell ref="E259:F260"/>
    <mergeCell ref="A305:B305"/>
    <mergeCell ref="G305:H305"/>
    <mergeCell ref="G266:H266"/>
    <mergeCell ref="E270:F270"/>
    <mergeCell ref="G270:H270"/>
    <mergeCell ref="E271:F271"/>
    <mergeCell ref="G271:H271"/>
    <mergeCell ref="E272:F272"/>
    <mergeCell ref="G272:H272"/>
    <mergeCell ref="E273:F273"/>
    <mergeCell ref="G273:H273"/>
    <mergeCell ref="E274:F274"/>
    <mergeCell ref="G274:H274"/>
    <mergeCell ref="E275:F275"/>
    <mergeCell ref="G275:H275"/>
    <mergeCell ref="E276:F276"/>
    <mergeCell ref="G276:H276"/>
    <mergeCell ref="E269:F269"/>
    <mergeCell ref="G269:H269"/>
    <mergeCell ref="C259:C260"/>
    <mergeCell ref="A291:H291"/>
    <mergeCell ref="A292:H292"/>
    <mergeCell ref="A293:H293"/>
    <mergeCell ref="G268:H268"/>
    <mergeCell ref="G277:H277"/>
    <mergeCell ref="E278:F278"/>
    <mergeCell ref="G278:H278"/>
    <mergeCell ref="G284:H284"/>
    <mergeCell ref="E152:F152"/>
    <mergeCell ref="G152:H152"/>
    <mergeCell ref="A153:B153"/>
    <mergeCell ref="E153:F162"/>
    <mergeCell ref="G153:H162"/>
    <mergeCell ref="A154:B154"/>
    <mergeCell ref="A155:B155"/>
    <mergeCell ref="A156:B156"/>
    <mergeCell ref="A157:B157"/>
    <mergeCell ref="A158:B158"/>
    <mergeCell ref="A159:B159"/>
    <mergeCell ref="A109:B109"/>
    <mergeCell ref="C109:H109"/>
    <mergeCell ref="A110:B110"/>
    <mergeCell ref="E110:F110"/>
    <mergeCell ref="G110:H110"/>
    <mergeCell ref="A111:B111"/>
    <mergeCell ref="E111:F120"/>
    <mergeCell ref="G111:H120"/>
    <mergeCell ref="A112:B112"/>
    <mergeCell ref="A113:B113"/>
    <mergeCell ref="A114:B114"/>
    <mergeCell ref="A115:B115"/>
    <mergeCell ref="A116:B116"/>
    <mergeCell ref="A145:B145"/>
    <mergeCell ref="A160:B160"/>
    <mergeCell ref="A161:B161"/>
    <mergeCell ref="A162:B162"/>
    <mergeCell ref="A219:B219"/>
    <mergeCell ref="C219:H219"/>
    <mergeCell ref="A226:B226"/>
    <mergeCell ref="A227:B227"/>
    <mergeCell ref="A228:B228"/>
    <mergeCell ref="A229:B229"/>
    <mergeCell ref="A230:B230"/>
    <mergeCell ref="A231:B231"/>
    <mergeCell ref="A232:B232"/>
    <mergeCell ref="D71:H71"/>
    <mergeCell ref="A149:B149"/>
    <mergeCell ref="C149:H149"/>
    <mergeCell ref="A151:B151"/>
    <mergeCell ref="C151:H151"/>
    <mergeCell ref="D68:H68"/>
    <mergeCell ref="A138:B138"/>
    <mergeCell ref="G138:H138"/>
    <mergeCell ref="A121:B121"/>
    <mergeCell ref="C121:H121"/>
    <mergeCell ref="A123:B123"/>
    <mergeCell ref="C123:H123"/>
    <mergeCell ref="A124:B124"/>
    <mergeCell ref="E124:F124"/>
    <mergeCell ref="G124:H124"/>
    <mergeCell ref="A107:B107"/>
    <mergeCell ref="C107:H107"/>
    <mergeCell ref="A78:C78"/>
    <mergeCell ref="D78:H78"/>
    <mergeCell ref="A132:B132"/>
    <mergeCell ref="A133:B133"/>
    <mergeCell ref="A134:B134"/>
    <mergeCell ref="A152:B152"/>
    <mergeCell ref="A165:B165"/>
    <mergeCell ref="C165:H165"/>
    <mergeCell ref="A177:B177"/>
    <mergeCell ref="A186:B186"/>
    <mergeCell ref="A187:B187"/>
    <mergeCell ref="A188:B188"/>
    <mergeCell ref="A189:B189"/>
    <mergeCell ref="A190:B190"/>
    <mergeCell ref="A191:B191"/>
    <mergeCell ref="C191:H191"/>
    <mergeCell ref="A193:B193"/>
    <mergeCell ref="C193:H193"/>
    <mergeCell ref="A194:B194"/>
    <mergeCell ref="E194:F194"/>
    <mergeCell ref="G194:H194"/>
    <mergeCell ref="A174:B174"/>
    <mergeCell ref="A175:B175"/>
    <mergeCell ref="A176:B176"/>
    <mergeCell ref="A172:B172"/>
    <mergeCell ref="A173:B173"/>
    <mergeCell ref="A79:B79"/>
    <mergeCell ref="C79:H79"/>
    <mergeCell ref="A81:B81"/>
    <mergeCell ref="A233:B233"/>
    <mergeCell ref="A237:B237"/>
    <mergeCell ref="E237:F246"/>
    <mergeCell ref="A163:B163"/>
    <mergeCell ref="C163:H163"/>
    <mergeCell ref="A166:B166"/>
    <mergeCell ref="E166:F166"/>
    <mergeCell ref="G166:H166"/>
    <mergeCell ref="A167:B167"/>
    <mergeCell ref="E167:F176"/>
    <mergeCell ref="G167:H176"/>
    <mergeCell ref="A168:B168"/>
    <mergeCell ref="A169:B169"/>
    <mergeCell ref="A170:B170"/>
    <mergeCell ref="A240:B240"/>
    <mergeCell ref="A241:B241"/>
    <mergeCell ref="A242:B242"/>
    <mergeCell ref="A243:B243"/>
    <mergeCell ref="A244:B244"/>
    <mergeCell ref="A245:B245"/>
    <mergeCell ref="A195:B195"/>
    <mergeCell ref="E195:F204"/>
    <mergeCell ref="G195:H204"/>
    <mergeCell ref="A196:B196"/>
    <mergeCell ref="A197:B197"/>
    <mergeCell ref="A198:B198"/>
    <mergeCell ref="C233:H233"/>
    <mergeCell ref="A235:B235"/>
    <mergeCell ref="C235:H235"/>
    <mergeCell ref="B656:H656"/>
    <mergeCell ref="C81:H81"/>
    <mergeCell ref="A82:B82"/>
    <mergeCell ref="E82:F82"/>
    <mergeCell ref="G82:H82"/>
    <mergeCell ref="C177:H177"/>
    <mergeCell ref="A179:B179"/>
    <mergeCell ref="C179:H179"/>
    <mergeCell ref="A180:B180"/>
    <mergeCell ref="E180:F180"/>
    <mergeCell ref="G180:H180"/>
    <mergeCell ref="A181:B181"/>
    <mergeCell ref="E181:F190"/>
    <mergeCell ref="A83:B83"/>
    <mergeCell ref="E83:F92"/>
    <mergeCell ref="G83:H92"/>
    <mergeCell ref="G236:H236"/>
    <mergeCell ref="A221:B221"/>
    <mergeCell ref="C221:H221"/>
    <mergeCell ref="A92:B92"/>
    <mergeCell ref="G181:H190"/>
    <mergeCell ref="A182:B182"/>
    <mergeCell ref="A183:B183"/>
    <mergeCell ref="A184:B184"/>
    <mergeCell ref="A185:B185"/>
    <mergeCell ref="B653:H653"/>
    <mergeCell ref="A199:B199"/>
    <mergeCell ref="A200:B200"/>
    <mergeCell ref="A201:B201"/>
    <mergeCell ref="A202:B202"/>
    <mergeCell ref="A203:B203"/>
    <mergeCell ref="A204:B204"/>
    <mergeCell ref="A84:B84"/>
    <mergeCell ref="A85:B85"/>
    <mergeCell ref="A86:B86"/>
    <mergeCell ref="G237:H246"/>
    <mergeCell ref="A238:B238"/>
    <mergeCell ref="A239:B239"/>
    <mergeCell ref="B654:H654"/>
    <mergeCell ref="B655:H655"/>
    <mergeCell ref="A49:B49"/>
    <mergeCell ref="C49:E49"/>
    <mergeCell ref="G49:H49"/>
    <mergeCell ref="A117:B117"/>
    <mergeCell ref="A118:B118"/>
    <mergeCell ref="A119:B119"/>
    <mergeCell ref="A120:B120"/>
    <mergeCell ref="A58:B59"/>
    <mergeCell ref="C58:E58"/>
    <mergeCell ref="G58:H58"/>
    <mergeCell ref="C59:H59"/>
    <mergeCell ref="A56:B57"/>
    <mergeCell ref="C56:E56"/>
    <mergeCell ref="G56:H56"/>
    <mergeCell ref="C57:H57"/>
    <mergeCell ref="A125:B125"/>
    <mergeCell ref="E125:F134"/>
    <mergeCell ref="G125:H134"/>
    <mergeCell ref="A126:B126"/>
    <mergeCell ref="A127:B127"/>
    <mergeCell ref="A128:B128"/>
    <mergeCell ref="A129:B129"/>
    <mergeCell ref="A130:B130"/>
    <mergeCell ref="A131:B13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06" max="16383" man="1"/>
    <brk id="668" max="16383" man="1"/>
    <brk id="711" max="16383" man="1"/>
    <brk id="754" max="16383" man="1"/>
    <brk id="79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2" zoomScale="85" zoomScaleNormal="85" workbookViewId="0">
      <selection activeCell="G43" sqref="G43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67" t="s">
        <v>101</v>
      </c>
      <c r="C3" s="267"/>
      <c r="D3" s="267"/>
      <c r="E3" s="267"/>
      <c r="F3" s="267"/>
      <c r="G3" s="267"/>
      <c r="H3" s="267"/>
    </row>
    <row r="4" spans="1:9" x14ac:dyDescent="0.35">
      <c r="A4" s="3"/>
      <c r="B4" s="4" t="s">
        <v>102</v>
      </c>
      <c r="C4" s="4" t="s">
        <v>103</v>
      </c>
      <c r="D4" s="4" t="s">
        <v>68</v>
      </c>
      <c r="E4" s="4" t="s">
        <v>104</v>
      </c>
      <c r="F4" s="4" t="s">
        <v>110</v>
      </c>
      <c r="G4" s="4" t="s">
        <v>111</v>
      </c>
      <c r="H4" s="4" t="s">
        <v>105</v>
      </c>
    </row>
    <row r="5" spans="1:9" ht="15" customHeight="1" x14ac:dyDescent="0.35">
      <c r="A5" s="3"/>
      <c r="B5" s="6" t="s">
        <v>106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106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106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106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106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107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107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108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109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2025-08-05T07:20:39Z</cp:lastPrinted>
  <dcterms:created xsi:type="dcterms:W3CDTF">2019-07-16T09:29:46Z</dcterms:created>
  <dcterms:modified xsi:type="dcterms:W3CDTF">2025-08-05T07:21:39Z</dcterms:modified>
</cp:coreProperties>
</file>