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VSJCV\Making\AXIS\2025-26\Axis\APF Old\August 2025\05-08-2025\"/>
    </mc:Choice>
  </mc:AlternateContent>
  <bookViews>
    <workbookView xWindow="0" yWindow="0" windowWidth="19200" windowHeight="6640"/>
  </bookViews>
  <sheets>
    <sheet name="Report (2)" sheetId="1" r:id="rId1"/>
    <sheet name="VALUATION" sheetId="6" r:id="rId2"/>
    <sheet name="1%" sheetId="2" r:id="rId3"/>
    <sheet name="2(A&amp;B)% (2)" sheetId="5" r:id="rId4"/>
    <sheet name="Note" sheetId="4" r:id="rId5"/>
    <sheet name="Flat detail" sheetId="3" r:id="rId6"/>
  </sheets>
  <definedNames>
    <definedName name="_xlnm.Print_Area" localSheetId="0">'Report (2)'!$A$1:$J$296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6" i="1" l="1"/>
  <c r="M105" i="1"/>
  <c r="C98" i="1" s="1"/>
  <c r="D98" i="1" s="1"/>
  <c r="D105" i="1"/>
  <c r="M104" i="1"/>
  <c r="D104" i="1"/>
  <c r="M103" i="1"/>
  <c r="D103" i="1"/>
  <c r="M102" i="1"/>
  <c r="D102" i="1"/>
  <c r="D101" i="1"/>
  <c r="M100" i="1"/>
  <c r="D100" i="1"/>
  <c r="M99" i="1"/>
  <c r="D99" i="1"/>
  <c r="C97" i="1"/>
  <c r="D97" i="1" s="1"/>
  <c r="K93" i="1" l="1"/>
  <c r="C95" i="1" s="1"/>
  <c r="F97" i="1" s="1"/>
  <c r="H97" i="1"/>
  <c r="C14" i="1"/>
  <c r="N160" i="1" l="1"/>
  <c r="N206" i="1"/>
  <c r="N205" i="1"/>
  <c r="N204" i="1"/>
  <c r="N203" i="1"/>
  <c r="N202" i="1"/>
  <c r="N201" i="1"/>
  <c r="N199" i="1"/>
  <c r="N198" i="1"/>
  <c r="N197" i="1"/>
  <c r="N196" i="1"/>
  <c r="N195" i="1"/>
  <c r="N194" i="1"/>
  <c r="N193" i="1"/>
  <c r="N188" i="1"/>
  <c r="N187" i="1"/>
  <c r="N186" i="1"/>
  <c r="N184" i="1"/>
  <c r="N183" i="1"/>
  <c r="N182" i="1"/>
  <c r="N181" i="1"/>
  <c r="N176" i="1"/>
  <c r="N175" i="1"/>
  <c r="N174" i="1"/>
  <c r="N173" i="1"/>
  <c r="N172" i="1"/>
  <c r="N171" i="1"/>
  <c r="N169" i="1"/>
  <c r="N161" i="1"/>
  <c r="N162" i="1"/>
  <c r="N163" i="1"/>
  <c r="N164" i="1"/>
  <c r="N165" i="1"/>
  <c r="N166" i="1"/>
  <c r="N167" i="1"/>
  <c r="N177" i="1"/>
  <c r="N178" i="1"/>
  <c r="N179" i="1"/>
  <c r="N180" i="1"/>
  <c r="N185" i="1"/>
  <c r="N189" i="1"/>
  <c r="N190" i="1"/>
  <c r="N191" i="1"/>
  <c r="N192" i="1"/>
  <c r="N200" i="1"/>
  <c r="M169" i="1"/>
  <c r="L169" i="1"/>
  <c r="L203" i="1"/>
  <c r="L174" i="1"/>
  <c r="L205" i="1"/>
  <c r="L160" i="1"/>
  <c r="L165" i="1"/>
  <c r="D51" i="1" l="1"/>
  <c r="G152" i="1"/>
  <c r="G151" i="1"/>
  <c r="G150" i="1"/>
  <c r="D193" i="1"/>
  <c r="H201" i="1"/>
  <c r="R206" i="1"/>
  <c r="D206" i="1"/>
  <c r="R205" i="1"/>
  <c r="D205" i="1"/>
  <c r="R204" i="1"/>
  <c r="D204" i="1"/>
  <c r="R203" i="1"/>
  <c r="D203" i="1"/>
  <c r="R202" i="1"/>
  <c r="D202" i="1"/>
  <c r="R201" i="1"/>
  <c r="D201" i="1"/>
  <c r="R189" i="1"/>
  <c r="A189" i="1" s="1"/>
  <c r="R188" i="1"/>
  <c r="A188" i="1" s="1"/>
  <c r="D188" i="1"/>
  <c r="R187" i="1"/>
  <c r="A187" i="1" s="1"/>
  <c r="D187" i="1"/>
  <c r="R186" i="1"/>
  <c r="A186" i="1" s="1"/>
  <c r="H186" i="1"/>
  <c r="D186" i="1"/>
  <c r="D199" i="1"/>
  <c r="D198" i="1"/>
  <c r="D197" i="1"/>
  <c r="D196" i="1"/>
  <c r="D195" i="1"/>
  <c r="D194" i="1"/>
  <c r="R199" i="1"/>
  <c r="A199" i="1" s="1"/>
  <c r="R198" i="1"/>
  <c r="A198" i="1" s="1"/>
  <c r="R194" i="1"/>
  <c r="A194" i="1" s="1"/>
  <c r="R195" i="1"/>
  <c r="A195" i="1" s="1"/>
  <c r="R196" i="1"/>
  <c r="A196" i="1" s="1"/>
  <c r="R197" i="1"/>
  <c r="A197" i="1" s="1"/>
  <c r="R193" i="1"/>
  <c r="A193" i="1" s="1"/>
  <c r="H193" i="1"/>
  <c r="D184" i="1"/>
  <c r="D183" i="1"/>
  <c r="D182" i="1"/>
  <c r="D181" i="1"/>
  <c r="H181" i="1"/>
  <c r="R184" i="1"/>
  <c r="A184" i="1" s="1"/>
  <c r="R183" i="1"/>
  <c r="A183" i="1" s="1"/>
  <c r="R182" i="1"/>
  <c r="A182" i="1" s="1"/>
  <c r="R181" i="1"/>
  <c r="A181" i="1" s="1"/>
  <c r="D176" i="1"/>
  <c r="D175" i="1"/>
  <c r="D174" i="1"/>
  <c r="D173" i="1"/>
  <c r="D172" i="1"/>
  <c r="D171" i="1"/>
  <c r="D169" i="1"/>
  <c r="D166" i="1"/>
  <c r="D163" i="1"/>
  <c r="D167" i="1"/>
  <c r="D162" i="1"/>
  <c r="D165" i="1"/>
  <c r="D164" i="1"/>
  <c r="D161" i="1"/>
  <c r="D160" i="1"/>
  <c r="R161" i="1"/>
  <c r="A161" i="1" s="1"/>
  <c r="R162" i="1"/>
  <c r="A162" i="1" s="1"/>
  <c r="R163" i="1"/>
  <c r="A163" i="1" s="1"/>
  <c r="R164" i="1"/>
  <c r="A164" i="1" s="1"/>
  <c r="R165" i="1"/>
  <c r="A165" i="1" s="1"/>
  <c r="R166" i="1"/>
  <c r="A166" i="1" s="1"/>
  <c r="R167" i="1"/>
  <c r="A167" i="1" s="1"/>
  <c r="R160" i="1"/>
  <c r="A160" i="1" s="1"/>
  <c r="D150" i="1" l="1"/>
  <c r="D152" i="1"/>
  <c r="C152" i="1"/>
  <c r="D151" i="1"/>
  <c r="G153" i="1"/>
  <c r="C150" i="1"/>
  <c r="C151" i="1"/>
  <c r="C83" i="1"/>
  <c r="D153" i="1" l="1"/>
  <c r="C153" i="1"/>
  <c r="F3" i="1"/>
  <c r="D134" i="1" l="1"/>
  <c r="M133" i="1"/>
  <c r="C126" i="1" s="1"/>
  <c r="D126" i="1" s="1"/>
  <c r="D133" i="1"/>
  <c r="M132" i="1"/>
  <c r="D132" i="1"/>
  <c r="M131" i="1"/>
  <c r="D131" i="1"/>
  <c r="M130" i="1"/>
  <c r="D130" i="1"/>
  <c r="D129" i="1"/>
  <c r="M128" i="1"/>
  <c r="C125" i="1" s="1"/>
  <c r="D128" i="1"/>
  <c r="M127" i="1"/>
  <c r="D127" i="1"/>
  <c r="H125" i="1" l="1"/>
  <c r="D125" i="1"/>
  <c r="K121" i="1" s="1"/>
  <c r="C123" i="1" s="1"/>
  <c r="F125" i="1" s="1"/>
  <c r="D120" i="1"/>
  <c r="M119" i="1"/>
  <c r="C112" i="1" s="1"/>
  <c r="D119" i="1"/>
  <c r="M118" i="1"/>
  <c r="D118" i="1"/>
  <c r="M117" i="1"/>
  <c r="D117" i="1"/>
  <c r="M116" i="1"/>
  <c r="D116" i="1"/>
  <c r="D115" i="1"/>
  <c r="M114" i="1"/>
  <c r="C111" i="1" s="1"/>
  <c r="D114" i="1"/>
  <c r="M113" i="1"/>
  <c r="D113" i="1"/>
  <c r="D92" i="1"/>
  <c r="M91" i="1"/>
  <c r="C84" i="1" s="1"/>
  <c r="D91" i="1"/>
  <c r="M90" i="1"/>
  <c r="D90" i="1"/>
  <c r="M89" i="1"/>
  <c r="D89" i="1"/>
  <c r="M88" i="1"/>
  <c r="D88" i="1"/>
  <c r="D87" i="1"/>
  <c r="M86" i="1"/>
  <c r="D86" i="1"/>
  <c r="M85" i="1"/>
  <c r="D85" i="1"/>
  <c r="D84" i="1" l="1"/>
  <c r="H111" i="1"/>
  <c r="D112" i="1"/>
  <c r="D111" i="1"/>
  <c r="H83" i="1"/>
  <c r="D83" i="1"/>
  <c r="F6" i="6"/>
  <c r="F5" i="6"/>
  <c r="K79" i="1" l="1"/>
  <c r="C81" i="1" s="1"/>
  <c r="F83" i="1" s="1"/>
  <c r="K107" i="1"/>
  <c r="C109" i="1" s="1"/>
  <c r="F111" i="1" s="1"/>
  <c r="G6" i="6"/>
  <c r="G5" i="6"/>
  <c r="G7" i="6" l="1"/>
  <c r="F41" i="1"/>
  <c r="G15" i="5" l="1"/>
  <c r="G16" i="5" s="1"/>
  <c r="C15" i="5" s="1"/>
  <c r="B7" i="5"/>
  <c r="H15" i="5" s="1"/>
  <c r="B16" i="5" s="1"/>
  <c r="D6" i="5"/>
  <c r="F71" i="1" s="1"/>
  <c r="C5" i="5"/>
  <c r="B12" i="5" s="1"/>
  <c r="H169" i="1"/>
  <c r="H160" i="1"/>
  <c r="B15" i="5" l="1"/>
  <c r="M16" i="5"/>
  <c r="C21" i="5" s="1"/>
  <c r="D12" i="5"/>
  <c r="F77" i="1" s="1"/>
  <c r="M15" i="5"/>
  <c r="B21" i="5" s="1"/>
  <c r="B8" i="5"/>
  <c r="B9" i="5"/>
  <c r="B10" i="5"/>
  <c r="B11" i="5"/>
  <c r="H16" i="5"/>
  <c r="C16" i="5" s="1"/>
  <c r="D7" i="5"/>
  <c r="F72" i="1" s="1"/>
  <c r="B7" i="2"/>
  <c r="K16" i="5" l="1"/>
  <c r="C19" i="5" s="1"/>
  <c r="D10" i="5"/>
  <c r="F75" i="1" s="1"/>
  <c r="K15" i="5"/>
  <c r="B19" i="5" s="1"/>
  <c r="I16" i="5"/>
  <c r="C17" i="5" s="1"/>
  <c r="D8" i="5"/>
  <c r="F73" i="1" s="1"/>
  <c r="I15" i="5"/>
  <c r="B17" i="5" s="1"/>
  <c r="L15" i="5"/>
  <c r="B20" i="5" s="1"/>
  <c r="D11" i="5"/>
  <c r="F76" i="1" s="1"/>
  <c r="L16" i="5"/>
  <c r="C20" i="5" s="1"/>
  <c r="J15" i="5"/>
  <c r="B18" i="5" s="1"/>
  <c r="D9" i="5"/>
  <c r="F74" i="1" s="1"/>
  <c r="J16" i="5"/>
  <c r="C18" i="5" s="1"/>
  <c r="G15" i="2"/>
  <c r="G16" i="2" s="1"/>
  <c r="C15" i="2" s="1"/>
  <c r="H15" i="2"/>
  <c r="B16" i="2" s="1"/>
  <c r="D6" i="2"/>
  <c r="F61" i="1" s="1"/>
  <c r="C5" i="2"/>
  <c r="B12" i="2" s="1"/>
  <c r="D221" i="1"/>
  <c r="G147" i="1"/>
  <c r="H47" i="1"/>
  <c r="C47" i="1"/>
  <c r="F42" i="1"/>
  <c r="D53" i="1" s="1"/>
  <c r="F7" i="1"/>
  <c r="B15" i="2" l="1"/>
  <c r="C22" i="5"/>
  <c r="I78" i="1" s="1"/>
  <c r="B22" i="5"/>
  <c r="D78" i="1" s="1"/>
  <c r="B9" i="2"/>
  <c r="J16" i="2" s="1"/>
  <c r="C18" i="2" s="1"/>
  <c r="B11" i="2"/>
  <c r="L15" i="2" s="1"/>
  <c r="B20" i="2" s="1"/>
  <c r="D12" i="2"/>
  <c r="F67" i="1" s="1"/>
  <c r="M16" i="2"/>
  <c r="C21" i="2" s="1"/>
  <c r="M15" i="2"/>
  <c r="B21" i="2" s="1"/>
  <c r="H16" i="2"/>
  <c r="C16" i="2" s="1"/>
  <c r="D7" i="2"/>
  <c r="F62" i="1" s="1"/>
  <c r="B8" i="2"/>
  <c r="B10" i="2"/>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11" i="2" l="1"/>
  <c r="F66" i="1" s="1"/>
  <c r="D9" i="2"/>
  <c r="F64" i="1" s="1"/>
  <c r="J15" i="2"/>
  <c r="B18" i="2" s="1"/>
  <c r="L16" i="2"/>
  <c r="C20" i="2" s="1"/>
  <c r="K16" i="2"/>
  <c r="C19" i="2" s="1"/>
  <c r="D10" i="2"/>
  <c r="F65" i="1" s="1"/>
  <c r="K15" i="2"/>
  <c r="B19" i="2" s="1"/>
  <c r="D8" i="2"/>
  <c r="F63" i="1" s="1"/>
  <c r="I16" i="2"/>
  <c r="C17" i="2" s="1"/>
  <c r="I15" i="2"/>
  <c r="B17" i="2" s="1"/>
  <c r="L34" i="3"/>
  <c r="K34" i="3" s="1"/>
  <c r="E34" i="3"/>
  <c r="I34" i="3"/>
  <c r="H34" i="3" s="1"/>
  <c r="C22" i="2" l="1"/>
  <c r="B22" i="2"/>
  <c r="D68" i="1" s="1"/>
  <c r="D34" i="3"/>
  <c r="D36" i="3" s="1"/>
  <c r="E36" i="3"/>
</calcChain>
</file>

<file path=xl/sharedStrings.xml><?xml version="1.0" encoding="utf-8"?>
<sst xmlns="http://schemas.openxmlformats.org/spreadsheetml/2006/main" count="558" uniqueCount="280">
  <si>
    <t xml:space="preserve">Valuation Report </t>
  </si>
  <si>
    <t>Date:</t>
  </si>
  <si>
    <t>CPC Name:</t>
  </si>
  <si>
    <t>Date Of Property Visit</t>
  </si>
  <si>
    <t>Name of the builder group</t>
  </si>
  <si>
    <t>Name of the builder company</t>
  </si>
  <si>
    <t>Name of the Project</t>
  </si>
  <si>
    <t>Name / No of the Building</t>
  </si>
  <si>
    <t>Docouments Provided</t>
  </si>
  <si>
    <t>Approved Layout, Approved Building Plan, CC</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</si>
  <si>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</si>
  <si>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</si>
  <si>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</si>
  <si>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</si>
  <si>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</si>
  <si>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</si>
  <si>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</si>
  <si>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</si>
  <si>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</si>
  <si>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</si>
  <si>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</si>
  <si>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</si>
  <si>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</si>
  <si>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</si>
  <si>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</si>
  <si>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</si>
  <si>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</si>
  <si>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</si>
  <si>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</si>
  <si>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</si>
  <si>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</si>
  <si>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</si>
  <si>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</si>
  <si>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</si>
  <si>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</si>
  <si>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</si>
  <si>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</si>
  <si>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</si>
  <si>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</si>
  <si>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</si>
  <si>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</si>
  <si>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</si>
  <si>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</si>
  <si>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</si>
  <si>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</si>
  <si>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</si>
  <si>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</si>
  <si>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</si>
  <si>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</si>
  <si>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</si>
  <si>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</si>
  <si>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</si>
  <si>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</si>
  <si>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</si>
  <si>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</si>
  <si>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</si>
  <si>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</si>
  <si>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</si>
  <si>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</si>
  <si>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</si>
  <si>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</si>
  <si>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</si>
  <si>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</si>
  <si>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Quality of construction: Good</t>
  </si>
  <si>
    <t>Projected life of the structure: 60 Years After Completion</t>
  </si>
  <si>
    <t xml:space="preserve">Construction details:                                                                  </t>
  </si>
  <si>
    <t>Type of Work</t>
  </si>
  <si>
    <t>% Complition</t>
  </si>
  <si>
    <t>Plinth</t>
  </si>
  <si>
    <t>RCC</t>
  </si>
  <si>
    <t>Brick</t>
  </si>
  <si>
    <t>Plaster</t>
  </si>
  <si>
    <t>Flooring</t>
  </si>
  <si>
    <t>Painting &amp; Wooden Work</t>
  </si>
  <si>
    <t>Finishing</t>
  </si>
  <si>
    <t>% Progress</t>
  </si>
  <si>
    <t xml:space="preserve">% Disbursement </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</si>
  <si>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</si>
  <si>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</si>
  <si>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</si>
  <si>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</si>
  <si>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</si>
  <si>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</si>
  <si>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</si>
  <si>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</si>
  <si>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</si>
  <si>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</si>
  <si>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</si>
  <si>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</si>
  <si>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</si>
  <si>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</si>
  <si>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</si>
  <si>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</si>
  <si>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</si>
  <si>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</si>
  <si>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</si>
  <si>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</si>
  <si>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</si>
  <si>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</si>
  <si>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</si>
  <si>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</si>
  <si>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</si>
  <si>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Particulars</t>
  </si>
  <si>
    <t>plinth</t>
  </si>
  <si>
    <t>slab</t>
  </si>
  <si>
    <t>rcc</t>
  </si>
  <si>
    <t>Bricks</t>
  </si>
  <si>
    <t>Wood &amp; painting</t>
  </si>
  <si>
    <t>Progress</t>
  </si>
  <si>
    <t xml:space="preserve">Bricks </t>
  </si>
  <si>
    <t xml:space="preserve">Recommended </t>
  </si>
  <si>
    <t>plaster</t>
  </si>
  <si>
    <t>Recommended</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</si>
  <si>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</si>
  <si>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</si>
  <si>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</si>
  <si>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</si>
  <si>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</si>
  <si>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</si>
  <si>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</si>
  <si>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</si>
  <si>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</si>
  <si>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</si>
  <si>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</si>
  <si>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</si>
  <si>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</si>
  <si>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</si>
  <si>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</si>
  <si>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</si>
  <si>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</si>
  <si>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</si>
  <si>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</si>
  <si>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</si>
  <si>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</si>
  <si>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</si>
  <si>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</si>
  <si>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</si>
  <si>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</si>
  <si>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</si>
  <si>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</si>
  <si>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Upper Floor</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</si>
  <si>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</si>
  <si>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</si>
  <si>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</si>
  <si>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</si>
  <si>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</si>
  <si>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</si>
  <si>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</si>
  <si>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</si>
  <si>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</si>
  <si>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</si>
  <si>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NA
Approved upto :</t>
  </si>
  <si>
    <t>Recommended rate of the flat Per Sq. Ft. ( on Saleable area)</t>
  </si>
  <si>
    <t>Flat/Shop No.</t>
  </si>
  <si>
    <t>Accessibility to the Project from the City: (Proximity to civic amenities like school, hospital, market, etc.)</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</si>
  <si>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</si>
  <si>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</si>
  <si>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</si>
  <si>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</si>
  <si>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</si>
  <si>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</si>
  <si>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</si>
  <si>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</si>
  <si>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</si>
  <si>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</si>
  <si>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</si>
  <si>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</si>
  <si>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</si>
  <si>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</si>
  <si>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</si>
  <si>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</si>
  <si>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</si>
  <si>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</si>
  <si>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Thane - G + 25</t>
  </si>
  <si>
    <t>600000/-</t>
  </si>
  <si>
    <t>Inspected By :</t>
  </si>
  <si>
    <t>Report Prepared By :</t>
  </si>
  <si>
    <t>No. of Units</t>
  </si>
  <si>
    <t>Authorized Signatory
Name &amp; Seal of the agency</t>
  </si>
  <si>
    <t>Date</t>
  </si>
  <si>
    <t>RERA Name &amp; No.</t>
  </si>
  <si>
    <t>Checked By</t>
  </si>
  <si>
    <t>13/03/2020.</t>
  </si>
  <si>
    <t>Axis Sanpada</t>
  </si>
  <si>
    <t>Orchid Enclave</t>
  </si>
  <si>
    <t xml:space="preserve">P52000024194
</t>
  </si>
  <si>
    <t>78/3 &amp; 79/1</t>
  </si>
  <si>
    <t>Raigad</t>
  </si>
  <si>
    <t>Building No.1</t>
  </si>
  <si>
    <t>Ground Floor for Parking</t>
  </si>
  <si>
    <t>1BHK</t>
  </si>
  <si>
    <t>Building No.2</t>
  </si>
  <si>
    <t>A Wing</t>
  </si>
  <si>
    <t>2BHK</t>
  </si>
  <si>
    <t>B Wing</t>
  </si>
  <si>
    <t xml:space="preserve">Material laying at Site: Bricks, Cement &amp; Steel etc. </t>
  </si>
  <si>
    <t xml:space="preserve">Wheather the construction is as per approved Building plan : Under Construction </t>
  </si>
  <si>
    <t>1. On Site, we meet Mr. Mahesh Bhise - Sales Manager (9370916155).</t>
  </si>
  <si>
    <t>As per his information rate is 4500/- sq.ft</t>
  </si>
  <si>
    <t>Open Plot</t>
  </si>
  <si>
    <t>Shiddheshwar Shiv Mandir</t>
  </si>
  <si>
    <t>Internal Road</t>
  </si>
  <si>
    <t>Survey No</t>
  </si>
  <si>
    <t xml:space="preserve">Residential </t>
  </si>
  <si>
    <t>Building No.1 
Building No.2 (A &amp; B wing)</t>
  </si>
  <si>
    <t>Taloje Majkur</t>
  </si>
  <si>
    <t>Given rate as per market inquire as well as cost sheet.</t>
  </si>
  <si>
    <t>Taloja Panchanand</t>
  </si>
  <si>
    <t>Stage of construction - Building No.1: Excavation work are in process…</t>
  </si>
  <si>
    <t>Pratiksha</t>
  </si>
  <si>
    <t>Market Research Data</t>
  </si>
  <si>
    <t>Source</t>
  </si>
  <si>
    <t>Distance from proposed property</t>
  </si>
  <si>
    <t>Net Carpet</t>
  </si>
  <si>
    <t>Saleable Area</t>
  </si>
  <si>
    <t>Rate on Saleable</t>
  </si>
  <si>
    <t>Market Value</t>
  </si>
  <si>
    <t>99 Acres</t>
  </si>
  <si>
    <t>Average</t>
  </si>
  <si>
    <t xml:space="preserve">Valuation Adopted </t>
  </si>
  <si>
    <t>Stage of construction - Building No.2(A &amp; B Wing): Plinth work completed. Other work are in process….</t>
  </si>
  <si>
    <t>Development charges</t>
  </si>
  <si>
    <t>Club House Charges</t>
  </si>
  <si>
    <t>Electricity Charges</t>
  </si>
  <si>
    <t>Water Charges</t>
  </si>
  <si>
    <t>Society Formation Charges</t>
  </si>
  <si>
    <t>Grill Charges</t>
  </si>
  <si>
    <t>Floors</t>
  </si>
  <si>
    <t>All work Completed. Wait For OC.</t>
  </si>
  <si>
    <t xml:space="preserve">Stage of construction: </t>
  </si>
  <si>
    <t>All work Completed. Provide OC.</t>
  </si>
  <si>
    <t>Slab/Floor</t>
  </si>
  <si>
    <t>Complition %</t>
  </si>
  <si>
    <t>Progress %</t>
  </si>
  <si>
    <t>Disbursement %</t>
  </si>
  <si>
    <t>All work Completed. OC Received.</t>
  </si>
  <si>
    <t>Excavation</t>
  </si>
  <si>
    <t>RCC (Including podiums)</t>
  </si>
  <si>
    <t>Brickwork</t>
  </si>
  <si>
    <t>Brickwork &amp; Internal Plaster</t>
  </si>
  <si>
    <t>Internal Plaster</t>
  </si>
  <si>
    <t>Ext. Plaster &amp; Plumbing</t>
  </si>
  <si>
    <t>External Plaster &amp; Plumbing</t>
  </si>
  <si>
    <t>Flooring &amp; Fitting</t>
  </si>
  <si>
    <t>Painting &amp; Wooden</t>
  </si>
  <si>
    <t>Building Common Amenities</t>
  </si>
  <si>
    <t>Possession</t>
  </si>
  <si>
    <t>Construction details: Blg No.2 (B Wing) = G + 7th Floor</t>
  </si>
  <si>
    <t>Proposed no of Floors</t>
  </si>
  <si>
    <t>1st to 7th, 9th to 11th Floor for Residential</t>
  </si>
  <si>
    <t>8th Floor (Part Refuge Area)</t>
  </si>
  <si>
    <t>Refuge Area</t>
  </si>
  <si>
    <t>Flats = 206</t>
  </si>
  <si>
    <t>2Km from Taloja Panchanand Railway Station</t>
  </si>
  <si>
    <t>3 Wings</t>
  </si>
  <si>
    <t>PMP/NRV/2417/2021</t>
  </si>
  <si>
    <t>PMC/TP/Taloje Majkur/78/3&amp;79/1/21-21/16195/2417/2021</t>
  </si>
  <si>
    <t xml:space="preserve">Building No. 1 = G/St + 11th Floor
Building No. 2 (Wing A &amp; B)  = G/St + 11th Floor </t>
  </si>
  <si>
    <t>Construction details: Building No. 1 = G/St + 11th Floor</t>
  </si>
  <si>
    <t>Builder Saleable Area</t>
  </si>
  <si>
    <t>rate sheet</t>
  </si>
  <si>
    <t xml:space="preserve">MIS </t>
  </si>
  <si>
    <t>dwello</t>
  </si>
  <si>
    <t>MB</t>
  </si>
  <si>
    <t xml:space="preserve">Building No.2 </t>
  </si>
  <si>
    <t>9920255592 / Mr.Gopal - 9920255592.</t>
  </si>
  <si>
    <t>Location Link</t>
  </si>
  <si>
    <t>https://goo.gl/maps/ts9zvAFuMGKiU1Tp6</t>
  </si>
  <si>
    <t>Office No. 1031, Wing J, Akshar Business Park, Plot No. 03 Sector 25, Near APMC Market,
Vashi, Navi Mumbai, Maharashtra 400703 TEL: 022-46090378/79/80                                                                                             E mail : vsjcapf@gmail.com. Web site : www.vsjadon.com</t>
  </si>
  <si>
    <t>Contact Details ( Name &amp; Contact No.)</t>
  </si>
  <si>
    <t>Site Meet Person Contact Details ( Name &amp; Contact No.)</t>
  </si>
  <si>
    <t>19.083875,73.101494</t>
  </si>
  <si>
    <t xml:space="preserve">M/s. Siddhivinayak Associates
</t>
  </si>
  <si>
    <t xml:space="preserve">Valid Up to: Building No. 1 = G/St + 11th Floor
                    Building No. 2 (Wing A &amp; B)  = G/St + 11th Floor </t>
  </si>
  <si>
    <t>Sunil Peravi</t>
  </si>
  <si>
    <t xml:space="preserve">Construction details: Building No. 2 (Wing A)  = G/St + 11th Floor </t>
  </si>
  <si>
    <t xml:space="preserve">Construction details: Building No. 2 (Wing B)  = G/St + 11th Floor </t>
  </si>
  <si>
    <t>Mr. Surendra 9920255592</t>
  </si>
  <si>
    <t>1. Lift &amp; Finishing work is in process.
2. We considered Saleable area as per Builder area sheet.
3. We considered Carpet area as per Approved Plan.
4. We considered Gross carpet area = Net carpet + Enclose balcony + C.B Area.
5. We have considered rate by verifying it from market inquire.
6. Car parking is subjected to authentic documentation.
7. We have updated revised approved floor plan. (dtd. 02/06/2022)</t>
  </si>
  <si>
    <t>Pooja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</si>
</sst>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 #,##0.00_ ;_ * \-#,##0.00_ ;_ * &quot;-&quot;??_ ;_ @_ "/>
    <numFmt numFmtId="164" formatCode="_(* #,##0.00_);_(* \(#,##0.00\);_(* &quot;-&quot;??_);_(@_)"/>
    <numFmt numFmtId="165" formatCode="0.0"/>
    <numFmt numFmtId="166" formatCode="0.000"/>
    <numFmt numFmtId="167" formatCode="_(* #,##0_);_(* \(#,##0\);_(* &quot;-&quot;??_);_(@_)"/>
    <numFmt numFmtId="168" formatCode="dd\/mm\/yyyy"/>
    <numFmt numFmtId="169" formatCode="_ * #,##0_ ;_ * \-#,##0_ ;_ * &quot;-&quot;??_ ;_ @_ "/>
  </numFmts>
  <fonts count="24"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1"/>
      <color rgb="FF000000"/>
      <name val="Calibri"/>
      <family val="2"/>
    </font>
    <font>
      <b/>
      <sz val="11.5"/>
      <color indexed="8"/>
      <name val="Times New Roman"/>
      <family val="1"/>
    </font>
    <font>
      <sz val="12"/>
      <name val="Times New Roman"/>
      <family val="1"/>
    </font>
    <font>
      <b/>
      <sz val="12"/>
      <name val="Times New Roman"/>
      <family val="1"/>
    </font>
    <font>
      <b/>
      <sz val="11"/>
      <color rgb="FF000000"/>
      <name val="Times New Roman"/>
      <family val="1"/>
    </font>
    <font>
      <sz val="11"/>
      <color rgb="FF000000"/>
      <name val="Times New Roman"/>
      <family val="1"/>
    </font>
    <font>
      <b/>
      <sz val="11"/>
      <color theme="1"/>
      <name val="Times New Roman"/>
      <family val="1"/>
    </font>
    <font>
      <sz val="11"/>
      <name val="Times New Roman"/>
      <family val="1"/>
    </font>
    <font>
      <sz val="11"/>
      <color rgb="FFFF0000"/>
      <name val="Calibri"/>
      <family val="2"/>
      <scheme val="minor"/>
    </font>
    <font>
      <sz val="11"/>
      <color rgb="FFFF0000"/>
      <name val="Calibri"/>
      <family val="2"/>
    </font>
    <font>
      <u/>
      <sz val="11"/>
      <color theme="10"/>
      <name val="Calibri"/>
      <family val="2"/>
    </font>
  </fonts>
  <fills count="3">
    <fill>
      <patternFill patternType="none"/>
    </fill>
    <fill>
      <patternFill patternType="gray125"/>
    </fill>
    <fill>
      <patternFill patternType="solid">
        <fgColor rgb="FFFFFF00"/>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0">
    <xf numFmtId="0" fontId="0" fillId="0" borderId="0"/>
    <xf numFmtId="0" fontId="4" fillId="0" borderId="0"/>
    <xf numFmtId="0" fontId="7" fillId="0" borderId="0"/>
    <xf numFmtId="0" fontId="3" fillId="0" borderId="0"/>
    <xf numFmtId="9" fontId="13" fillId="0" borderId="0" applyFont="0" applyFill="0" applyBorder="0" applyAlignment="0" applyProtection="0"/>
    <xf numFmtId="0" fontId="7" fillId="0" borderId="0"/>
    <xf numFmtId="0" fontId="2" fillId="0" borderId="0"/>
    <xf numFmtId="164" fontId="7" fillId="0" borderId="0" applyFont="0" applyFill="0" applyBorder="0" applyAlignment="0" applyProtection="0"/>
    <xf numFmtId="43" fontId="13" fillId="0" borderId="0" applyFont="0" applyFill="0" applyBorder="0" applyAlignment="0" applyProtection="0"/>
    <xf numFmtId="0" fontId="23" fillId="0" borderId="0" applyNumberFormat="0" applyFill="0" applyBorder="0" applyAlignment="0" applyProtection="0"/>
  </cellStyleXfs>
  <cellXfs count="269">
    <xf numFmtId="0" fontId="0" fillId="0" borderId="0" xfId="0"/>
    <xf numFmtId="1" fontId="10" fillId="0" borderId="4" xfId="1" applyNumberFormat="1" applyFont="1" applyFill="1" applyBorder="1" applyAlignment="1">
      <alignment horizontal="center" vertical="top" wrapText="1"/>
    </xf>
    <xf numFmtId="1" fontId="8" fillId="0" borderId="4" xfId="1" applyNumberFormat="1" applyFont="1" applyFill="1" applyBorder="1" applyAlignment="1">
      <alignment horizontal="center" vertical="center" wrapText="1"/>
    </xf>
    <xf numFmtId="0" fontId="0" fillId="2" borderId="4" xfId="0" applyFill="1" applyBorder="1"/>
    <xf numFmtId="0" fontId="0" fillId="0" borderId="9" xfId="0" applyBorder="1" applyAlignment="1"/>
    <xf numFmtId="0" fontId="11" fillId="0" borderId="4" xfId="0" applyFont="1" applyBorder="1"/>
    <xf numFmtId="0" fontId="11" fillId="0" borderId="4" xfId="0" applyFont="1" applyBorder="1" applyAlignment="1">
      <alignment horizontal="center"/>
    </xf>
    <xf numFmtId="0" fontId="0" fillId="0" borderId="4" xfId="0" applyBorder="1"/>
    <xf numFmtId="1" fontId="5" fillId="0" borderId="4" xfId="1" applyNumberFormat="1" applyFont="1" applyFill="1" applyBorder="1" applyAlignment="1">
      <alignment horizontal="center" vertical="top" wrapText="1"/>
    </xf>
    <xf numFmtId="0" fontId="18" fillId="0" borderId="0" xfId="0" applyFont="1"/>
    <xf numFmtId="0" fontId="18" fillId="0" borderId="4" xfId="0" applyFont="1" applyBorder="1"/>
    <xf numFmtId="0" fontId="19" fillId="0" borderId="4" xfId="0" applyFont="1" applyFill="1" applyBorder="1" applyAlignment="1">
      <alignment horizontal="center"/>
    </xf>
    <xf numFmtId="0" fontId="19" fillId="0" borderId="0" xfId="0" applyFont="1" applyFill="1" applyBorder="1" applyAlignment="1">
      <alignment horizontal="center"/>
    </xf>
    <xf numFmtId="0" fontId="18" fillId="2" borderId="4" xfId="0" applyFont="1" applyFill="1" applyBorder="1"/>
    <xf numFmtId="0" fontId="18" fillId="0" borderId="4" xfId="0" applyFont="1" applyBorder="1" applyAlignment="1">
      <alignment horizontal="center"/>
    </xf>
    <xf numFmtId="0" fontId="18" fillId="2" borderId="4" xfId="0" applyFont="1" applyFill="1" applyBorder="1" applyAlignment="1">
      <alignment horizontal="center"/>
    </xf>
    <xf numFmtId="9" fontId="18" fillId="0" borderId="0" xfId="4" applyFont="1" applyBorder="1"/>
    <xf numFmtId="0" fontId="18" fillId="0" borderId="0" xfId="0" applyFont="1" applyBorder="1"/>
    <xf numFmtId="0" fontId="17" fillId="0" borderId="4" xfId="0" applyFont="1" applyBorder="1" applyAlignment="1">
      <alignment horizontal="center"/>
    </xf>
    <xf numFmtId="0" fontId="18" fillId="0" borderId="0" xfId="0" applyFont="1" applyAlignment="1">
      <alignment wrapText="1"/>
    </xf>
    <xf numFmtId="0" fontId="18" fillId="0" borderId="13" xfId="0" applyFont="1" applyBorder="1"/>
    <xf numFmtId="0" fontId="18" fillId="0" borderId="4" xfId="0" applyFont="1" applyBorder="1" applyAlignment="1">
      <alignment wrapText="1"/>
    </xf>
    <xf numFmtId="9" fontId="18" fillId="0" borderId="4" xfId="4" applyFont="1" applyBorder="1"/>
    <xf numFmtId="0" fontId="18" fillId="0" borderId="0" xfId="0" applyFont="1" applyFill="1" applyBorder="1"/>
    <xf numFmtId="9" fontId="18" fillId="0" borderId="0" xfId="0" applyNumberFormat="1" applyFont="1"/>
    <xf numFmtId="0" fontId="18" fillId="0" borderId="0" xfId="0" applyFont="1" applyBorder="1" applyAlignment="1">
      <alignment horizontal="right"/>
    </xf>
    <xf numFmtId="0" fontId="17" fillId="0" borderId="0" xfId="0" applyFont="1"/>
    <xf numFmtId="0" fontId="18" fillId="0" borderId="4" xfId="0" applyFont="1" applyBorder="1" applyAlignment="1">
      <alignment horizontal="center"/>
    </xf>
    <xf numFmtId="0" fontId="18" fillId="2" borderId="4" xfId="0" applyFont="1" applyFill="1" applyBorder="1" applyAlignment="1">
      <alignment horizontal="center"/>
    </xf>
    <xf numFmtId="0" fontId="17" fillId="0" borderId="4" xfId="0" applyFont="1" applyBorder="1" applyAlignment="1">
      <alignment horizontal="center"/>
    </xf>
    <xf numFmtId="14" fontId="18" fillId="0" borderId="0" xfId="0" applyNumberFormat="1" applyFont="1"/>
    <xf numFmtId="0" fontId="7" fillId="0" borderId="0" xfId="5" applyFont="1"/>
    <xf numFmtId="0" fontId="7" fillId="0" borderId="0" xfId="5"/>
    <xf numFmtId="0" fontId="2" fillId="0" borderId="0" xfId="6"/>
    <xf numFmtId="0" fontId="11" fillId="0" borderId="4" xfId="6" applyFont="1" applyBorder="1" applyAlignment="1">
      <alignment horizontal="center" vertical="top" wrapText="1"/>
    </xf>
    <xf numFmtId="0" fontId="2" fillId="0" borderId="4" xfId="6" applyBorder="1" applyAlignment="1">
      <alignment horizontal="center" vertical="center"/>
    </xf>
    <xf numFmtId="0" fontId="2" fillId="0" borderId="4" xfId="6" applyBorder="1" applyAlignment="1">
      <alignment horizontal="left" vertical="center"/>
    </xf>
    <xf numFmtId="1" fontId="2" fillId="0" borderId="4" xfId="6" applyNumberFormat="1" applyBorder="1" applyAlignment="1">
      <alignment horizontal="center" vertical="center"/>
    </xf>
    <xf numFmtId="167" fontId="2" fillId="0" borderId="4" xfId="7" applyNumberFormat="1" applyFont="1" applyBorder="1" applyAlignment="1">
      <alignment horizontal="right" vertical="center"/>
    </xf>
    <xf numFmtId="0" fontId="11" fillId="0" borderId="4" xfId="6" applyFont="1" applyBorder="1" applyAlignment="1">
      <alignment horizontal="center" vertical="center"/>
    </xf>
    <xf numFmtId="1" fontId="21" fillId="0" borderId="4" xfId="6" applyNumberFormat="1" applyFont="1" applyBorder="1" applyAlignment="1">
      <alignment horizontal="center" vertical="center"/>
    </xf>
    <xf numFmtId="0" fontId="2" fillId="0" borderId="4" xfId="6" applyFont="1" applyBorder="1" applyAlignment="1">
      <alignment horizontal="center" vertical="center"/>
    </xf>
    <xf numFmtId="0" fontId="7" fillId="0" borderId="4" xfId="5" applyFont="1" applyBorder="1" applyAlignment="1">
      <alignment horizontal="center" vertical="center"/>
    </xf>
    <xf numFmtId="0" fontId="22" fillId="0" borderId="0" xfId="5" applyFont="1"/>
    <xf numFmtId="0" fontId="1" fillId="0" borderId="4" xfId="6" applyFont="1" applyBorder="1" applyAlignment="1">
      <alignment horizontal="center" vertical="center"/>
    </xf>
    <xf numFmtId="0" fontId="9" fillId="0" borderId="17" xfId="1" applyFont="1" applyFill="1" applyBorder="1" applyProtection="1">
      <protection hidden="1"/>
    </xf>
    <xf numFmtId="0" fontId="9" fillId="0" borderId="0" xfId="1" applyFont="1" applyFill="1" applyBorder="1" applyProtection="1">
      <protection hidden="1"/>
    </xf>
    <xf numFmtId="0" fontId="18" fillId="0" borderId="0" xfId="0" applyFont="1" applyFill="1" applyBorder="1" applyProtection="1">
      <protection hidden="1"/>
    </xf>
    <xf numFmtId="0" fontId="15" fillId="0" borderId="4" xfId="1" applyFont="1" applyFill="1" applyBorder="1" applyAlignment="1" applyProtection="1">
      <alignment horizontal="center" vertical="top" wrapText="1"/>
      <protection locked="0"/>
    </xf>
    <xf numFmtId="0" fontId="9" fillId="0" borderId="4" xfId="1" applyFont="1" applyFill="1" applyBorder="1" applyAlignment="1" applyProtection="1">
      <alignment horizontal="center" vertical="top" wrapText="1"/>
      <protection locked="0"/>
    </xf>
    <xf numFmtId="0" fontId="15" fillId="0" borderId="4" xfId="1" applyFont="1" applyFill="1" applyBorder="1" applyAlignment="1" applyProtection="1">
      <alignment horizontal="center" vertical="top"/>
      <protection locked="0"/>
    </xf>
    <xf numFmtId="0" fontId="8" fillId="0" borderId="4" xfId="1" applyFont="1" applyFill="1" applyBorder="1" applyAlignment="1">
      <alignment horizontal="left" vertical="top"/>
    </xf>
    <xf numFmtId="1" fontId="8" fillId="0" borderId="0" xfId="1" applyNumberFormat="1" applyFont="1" applyFill="1" applyBorder="1" applyAlignment="1">
      <alignment horizontal="center" vertical="center" wrapText="1"/>
    </xf>
    <xf numFmtId="1" fontId="8" fillId="0" borderId="4" xfId="0" applyNumberFormat="1" applyFont="1" applyFill="1" applyBorder="1" applyAlignment="1">
      <alignment horizontal="center" vertical="center" wrapText="1"/>
    </xf>
    <xf numFmtId="0" fontId="9" fillId="0" borderId="0" xfId="1" applyFont="1" applyFill="1"/>
    <xf numFmtId="0" fontId="8" fillId="0" borderId="4" xfId="1" applyFont="1" applyFill="1" applyBorder="1" applyAlignment="1">
      <alignment vertical="top"/>
    </xf>
    <xf numFmtId="0" fontId="9" fillId="0" borderId="18" xfId="1" applyFont="1" applyFill="1" applyBorder="1" applyProtection="1">
      <protection hidden="1"/>
    </xf>
    <xf numFmtId="0" fontId="0" fillId="0" borderId="0" xfId="0" applyFill="1"/>
    <xf numFmtId="0" fontId="9" fillId="0" borderId="21" xfId="1" applyFont="1" applyFill="1" applyBorder="1" applyProtection="1">
      <protection hidden="1"/>
    </xf>
    <xf numFmtId="0" fontId="9" fillId="0" borderId="0" xfId="1" applyFont="1" applyFill="1" applyBorder="1"/>
    <xf numFmtId="0" fontId="9" fillId="0" borderId="21" xfId="1" applyFont="1" applyFill="1" applyBorder="1"/>
    <xf numFmtId="0" fontId="15" fillId="0" borderId="4" xfId="1" applyFont="1" applyFill="1" applyBorder="1" applyAlignment="1" applyProtection="1">
      <alignment horizontal="center" wrapText="1"/>
      <protection locked="0"/>
    </xf>
    <xf numFmtId="1" fontId="15" fillId="0" borderId="4" xfId="1" applyNumberFormat="1" applyFont="1" applyFill="1" applyBorder="1" applyAlignment="1" applyProtection="1">
      <alignment horizontal="center" wrapText="1"/>
      <protection locked="0"/>
    </xf>
    <xf numFmtId="9" fontId="18" fillId="0" borderId="0" xfId="0" applyNumberFormat="1" applyFont="1" applyFill="1" applyBorder="1" applyProtection="1">
      <protection hidden="1"/>
    </xf>
    <xf numFmtId="0" fontId="18" fillId="0" borderId="21" xfId="0" applyNumberFormat="1" applyFont="1" applyFill="1" applyBorder="1" applyProtection="1">
      <protection hidden="1"/>
    </xf>
    <xf numFmtId="0" fontId="15" fillId="0" borderId="24" xfId="1" applyFont="1" applyFill="1" applyBorder="1" applyAlignment="1" applyProtection="1">
      <alignment horizontal="center" wrapText="1"/>
      <protection locked="0"/>
    </xf>
    <xf numFmtId="0" fontId="0" fillId="0" borderId="26" xfId="0" applyFill="1" applyBorder="1"/>
    <xf numFmtId="0" fontId="0" fillId="0" borderId="27" xfId="0" applyFill="1" applyBorder="1"/>
    <xf numFmtId="0" fontId="8" fillId="0" borderId="0" xfId="2" applyFont="1" applyFill="1"/>
    <xf numFmtId="0" fontId="9" fillId="0" borderId="0" xfId="0" applyFont="1" applyFill="1" applyAlignment="1">
      <alignment horizontal="center" vertical="center"/>
    </xf>
    <xf numFmtId="0" fontId="12" fillId="0" borderId="4" xfId="0" applyFont="1" applyFill="1" applyBorder="1" applyAlignment="1">
      <alignment horizontal="center" vertical="center"/>
    </xf>
    <xf numFmtId="1" fontId="9" fillId="0" borderId="4" xfId="0" applyNumberFormat="1" applyFont="1" applyFill="1" applyBorder="1" applyAlignment="1">
      <alignment horizontal="center" vertical="center"/>
    </xf>
    <xf numFmtId="1" fontId="12" fillId="0" borderId="4" xfId="0" applyNumberFormat="1" applyFont="1" applyFill="1" applyBorder="1" applyAlignment="1">
      <alignment horizontal="center" vertical="center"/>
    </xf>
    <xf numFmtId="0" fontId="9" fillId="0" borderId="0" xfId="1" applyFont="1" applyFill="1" applyAlignment="1">
      <alignment horizontal="center" vertical="center"/>
    </xf>
    <xf numFmtId="1" fontId="9" fillId="0" borderId="0" xfId="1" applyNumberFormat="1" applyFont="1" applyFill="1" applyAlignment="1">
      <alignment horizontal="center" vertical="center"/>
    </xf>
    <xf numFmtId="0" fontId="9" fillId="0" borderId="0" xfId="0" applyFont="1" applyFill="1"/>
    <xf numFmtId="0" fontId="10" fillId="0" borderId="0" xfId="1" applyFont="1" applyFill="1" applyBorder="1" applyAlignment="1">
      <alignment vertical="top"/>
    </xf>
    <xf numFmtId="0" fontId="10" fillId="0" borderId="0" xfId="1" applyFont="1" applyFill="1" applyBorder="1" applyAlignment="1">
      <alignment vertical="top" wrapText="1"/>
    </xf>
    <xf numFmtId="0" fontId="12" fillId="0" borderId="0" xfId="1" applyFont="1" applyFill="1"/>
    <xf numFmtId="1" fontId="8" fillId="0" borderId="0" xfId="1" applyNumberFormat="1" applyFont="1" applyFill="1" applyBorder="1" applyAlignment="1">
      <alignment horizontal="center" vertical="center" wrapText="1"/>
    </xf>
    <xf numFmtId="0" fontId="15" fillId="0" borderId="4" xfId="1" applyFont="1" applyFill="1" applyBorder="1" applyAlignment="1" applyProtection="1">
      <alignment horizontal="center" vertical="top" wrapText="1"/>
      <protection locked="0"/>
    </xf>
    <xf numFmtId="0" fontId="15" fillId="0" borderId="4" xfId="1" applyFont="1" applyFill="1" applyBorder="1" applyAlignment="1" applyProtection="1">
      <alignment horizontal="center" vertical="top"/>
      <protection locked="0"/>
    </xf>
    <xf numFmtId="1" fontId="8" fillId="0" borderId="0" xfId="1" applyNumberFormat="1" applyFont="1" applyFill="1" applyBorder="1" applyAlignment="1">
      <alignment horizontal="center" vertical="center" wrapText="1"/>
    </xf>
    <xf numFmtId="0" fontId="15" fillId="0" borderId="19" xfId="1" applyFont="1" applyFill="1" applyBorder="1" applyAlignment="1" applyProtection="1">
      <alignment horizontal="center" vertical="top" wrapText="1"/>
      <protection locked="0"/>
    </xf>
    <xf numFmtId="0" fontId="15" fillId="0" borderId="4" xfId="1" applyFont="1" applyFill="1" applyBorder="1" applyAlignment="1" applyProtection="1">
      <alignment horizontal="center" vertical="top" wrapText="1"/>
      <protection locked="0"/>
    </xf>
    <xf numFmtId="9" fontId="15" fillId="0" borderId="4" xfId="1" applyNumberFormat="1" applyFont="1" applyFill="1" applyBorder="1" applyAlignment="1" applyProtection="1">
      <alignment horizontal="center" vertical="center" wrapText="1"/>
      <protection hidden="1"/>
    </xf>
    <xf numFmtId="9" fontId="15" fillId="0" borderId="24" xfId="1" applyNumberFormat="1" applyFont="1" applyFill="1" applyBorder="1" applyAlignment="1" applyProtection="1">
      <alignment horizontal="center" vertical="center" wrapText="1"/>
      <protection hidden="1"/>
    </xf>
    <xf numFmtId="9" fontId="15" fillId="0" borderId="20" xfId="1" applyNumberFormat="1" applyFont="1" applyFill="1" applyBorder="1" applyAlignment="1" applyProtection="1">
      <alignment horizontal="center" vertical="center" wrapText="1"/>
      <protection hidden="1"/>
    </xf>
    <xf numFmtId="9" fontId="15" fillId="0" borderId="25" xfId="1" applyNumberFormat="1" applyFont="1" applyFill="1" applyBorder="1" applyAlignment="1" applyProtection="1">
      <alignment horizontal="center" vertical="center" wrapText="1"/>
      <protection hidden="1"/>
    </xf>
    <xf numFmtId="0" fontId="15" fillId="0" borderId="23" xfId="1" applyFont="1" applyFill="1" applyBorder="1" applyAlignment="1" applyProtection="1">
      <alignment horizontal="center" vertical="top" wrapText="1"/>
      <protection locked="0"/>
    </xf>
    <xf numFmtId="0" fontId="15" fillId="0" borderId="24" xfId="1" applyFont="1" applyFill="1" applyBorder="1" applyAlignment="1" applyProtection="1">
      <alignment horizontal="center" vertical="top" wrapText="1"/>
      <protection locked="0"/>
    </xf>
    <xf numFmtId="0" fontId="16" fillId="0" borderId="14" xfId="1" applyFont="1" applyFill="1" applyBorder="1" applyAlignment="1" applyProtection="1">
      <alignment horizontal="left" vertical="top" wrapText="1"/>
      <protection locked="0"/>
    </xf>
    <xf numFmtId="0" fontId="16" fillId="0" borderId="15" xfId="1" applyFont="1" applyFill="1" applyBorder="1" applyAlignment="1" applyProtection="1">
      <alignment horizontal="left" vertical="top" wrapText="1"/>
      <protection locked="0"/>
    </xf>
    <xf numFmtId="0" fontId="16" fillId="0" borderId="16" xfId="1" applyFont="1" applyFill="1" applyBorder="1" applyAlignment="1" applyProtection="1">
      <alignment horizontal="left" vertical="top" wrapText="1"/>
      <protection locked="0"/>
    </xf>
    <xf numFmtId="0" fontId="15" fillId="0" borderId="19" xfId="1" applyFont="1" applyFill="1" applyBorder="1" applyAlignment="1" applyProtection="1">
      <alignment horizontal="center" vertical="top"/>
      <protection locked="0"/>
    </xf>
    <xf numFmtId="0" fontId="15" fillId="0" borderId="4" xfId="1" applyFont="1" applyFill="1" applyBorder="1" applyAlignment="1" applyProtection="1">
      <alignment horizontal="center" vertical="top"/>
      <protection locked="0"/>
    </xf>
    <xf numFmtId="0" fontId="15" fillId="0" borderId="20" xfId="1" applyFont="1" applyFill="1" applyBorder="1" applyAlignment="1" applyProtection="1">
      <alignment horizontal="center" vertical="top"/>
      <protection locked="0"/>
    </xf>
    <xf numFmtId="0" fontId="16" fillId="0" borderId="19" xfId="1" applyFont="1" applyFill="1" applyBorder="1" applyAlignment="1" applyProtection="1">
      <alignment horizontal="left" vertical="top"/>
      <protection locked="0"/>
    </xf>
    <xf numFmtId="0" fontId="16" fillId="0" borderId="4" xfId="1" applyFont="1" applyFill="1" applyBorder="1" applyAlignment="1" applyProtection="1">
      <alignment horizontal="left" vertical="top"/>
      <protection locked="0"/>
    </xf>
    <xf numFmtId="0" fontId="16" fillId="0" borderId="1" xfId="1" applyFont="1" applyFill="1" applyBorder="1" applyAlignment="1" applyProtection="1">
      <alignment horizontal="left" vertical="top" wrapText="1"/>
      <protection locked="0"/>
    </xf>
    <xf numFmtId="0" fontId="16" fillId="0" borderId="2" xfId="1" applyFont="1" applyFill="1" applyBorder="1" applyAlignment="1" applyProtection="1">
      <alignment horizontal="left" vertical="top" wrapText="1"/>
      <protection locked="0"/>
    </xf>
    <xf numFmtId="0" fontId="16" fillId="0" borderId="22" xfId="1" applyFont="1" applyFill="1" applyBorder="1" applyAlignment="1" applyProtection="1">
      <alignment horizontal="left" vertical="top" wrapText="1"/>
      <protection locked="0"/>
    </xf>
    <xf numFmtId="0" fontId="15" fillId="0" borderId="20" xfId="1" applyFont="1" applyFill="1" applyBorder="1" applyAlignment="1" applyProtection="1">
      <alignment horizontal="center" vertical="top" wrapText="1"/>
      <protection locked="0"/>
    </xf>
    <xf numFmtId="9" fontId="15" fillId="0" borderId="1" xfId="1" applyNumberFormat="1" applyFont="1" applyFill="1" applyBorder="1" applyAlignment="1">
      <alignment horizontal="center" vertical="top" wrapText="1"/>
    </xf>
    <xf numFmtId="9" fontId="15" fillId="0" borderId="3" xfId="1" applyNumberFormat="1" applyFont="1" applyFill="1" applyBorder="1" applyAlignment="1">
      <alignment horizontal="center" vertical="top" wrapText="1"/>
    </xf>
    <xf numFmtId="0" fontId="16" fillId="0" borderId="1" xfId="1" applyFont="1" applyFill="1" applyBorder="1" applyAlignment="1">
      <alignment horizontal="left" vertical="top" wrapText="1"/>
    </xf>
    <xf numFmtId="0" fontId="16" fillId="0" borderId="2" xfId="1" applyFont="1" applyFill="1" applyBorder="1" applyAlignment="1">
      <alignment horizontal="left" vertical="top" wrapText="1"/>
    </xf>
    <xf numFmtId="0" fontId="16" fillId="0" borderId="3" xfId="1" applyFont="1" applyFill="1" applyBorder="1" applyAlignment="1">
      <alignment horizontal="left" vertical="top" wrapText="1"/>
    </xf>
    <xf numFmtId="0" fontId="9" fillId="0" borderId="19" xfId="1" applyFont="1" applyFill="1" applyBorder="1" applyAlignment="1" applyProtection="1">
      <alignment horizontal="center" vertical="top" wrapText="1"/>
      <protection locked="0"/>
    </xf>
    <xf numFmtId="0" fontId="9" fillId="0" borderId="4" xfId="1" applyFont="1" applyFill="1" applyBorder="1" applyAlignment="1" applyProtection="1">
      <alignment horizontal="center" vertical="top" wrapText="1"/>
      <protection locked="0"/>
    </xf>
    <xf numFmtId="0" fontId="9" fillId="0" borderId="20" xfId="1" applyFont="1" applyFill="1" applyBorder="1" applyAlignment="1" applyProtection="1">
      <alignment horizontal="center" vertical="top" wrapText="1"/>
      <protection locked="0"/>
    </xf>
    <xf numFmtId="9" fontId="9" fillId="0" borderId="4" xfId="1" applyNumberFormat="1" applyFont="1" applyFill="1" applyBorder="1" applyAlignment="1" applyProtection="1">
      <alignment horizontal="center" vertical="center" wrapText="1"/>
      <protection hidden="1"/>
    </xf>
    <xf numFmtId="9" fontId="9" fillId="0" borderId="24" xfId="1" applyNumberFormat="1" applyFont="1" applyFill="1" applyBorder="1" applyAlignment="1" applyProtection="1">
      <alignment horizontal="center" vertical="center" wrapText="1"/>
      <protection hidden="1"/>
    </xf>
    <xf numFmtId="9" fontId="9" fillId="0" borderId="20" xfId="1" applyNumberFormat="1" applyFont="1" applyFill="1" applyBorder="1" applyAlignment="1" applyProtection="1">
      <alignment horizontal="center" vertical="center" wrapText="1"/>
      <protection hidden="1"/>
    </xf>
    <xf numFmtId="9" fontId="9" fillId="0" borderId="25" xfId="1" applyNumberFormat="1" applyFont="1" applyFill="1" applyBorder="1" applyAlignment="1" applyProtection="1">
      <alignment horizontal="center" vertical="center" wrapText="1"/>
      <protection hidden="1"/>
    </xf>
    <xf numFmtId="0" fontId="10" fillId="0" borderId="1" xfId="1" applyFont="1" applyFill="1" applyBorder="1" applyAlignment="1">
      <alignment horizontal="left" vertical="top"/>
    </xf>
    <xf numFmtId="0" fontId="10" fillId="0" borderId="2" xfId="1" applyFont="1" applyFill="1" applyBorder="1" applyAlignment="1">
      <alignment horizontal="left" vertical="top"/>
    </xf>
    <xf numFmtId="0" fontId="10" fillId="0" borderId="3" xfId="1" applyFont="1" applyFill="1" applyBorder="1" applyAlignment="1">
      <alignment horizontal="left" vertical="top"/>
    </xf>
    <xf numFmtId="0" fontId="8" fillId="0" borderId="1" xfId="1" applyFont="1" applyFill="1" applyBorder="1" applyAlignment="1">
      <alignment horizontal="left" vertical="top" wrapText="1"/>
    </xf>
    <xf numFmtId="0" fontId="8" fillId="0" borderId="2" xfId="1" applyFont="1" applyFill="1" applyBorder="1" applyAlignment="1">
      <alignment horizontal="left" vertical="top" wrapText="1"/>
    </xf>
    <xf numFmtId="0" fontId="8" fillId="0" borderId="3" xfId="1" applyFont="1" applyFill="1" applyBorder="1" applyAlignment="1">
      <alignment horizontal="left" vertical="top" wrapText="1"/>
    </xf>
    <xf numFmtId="0" fontId="8" fillId="0" borderId="2" xfId="1" applyFont="1" applyFill="1" applyBorder="1" applyAlignment="1">
      <alignment horizontal="left" vertical="top"/>
    </xf>
    <xf numFmtId="0" fontId="8" fillId="0" borderId="3" xfId="1" applyFont="1" applyFill="1" applyBorder="1" applyAlignment="1">
      <alignment horizontal="left" vertical="top"/>
    </xf>
    <xf numFmtId="0" fontId="8" fillId="0" borderId="4" xfId="1" applyFont="1" applyFill="1" applyBorder="1" applyAlignment="1">
      <alignment horizontal="left" vertical="top"/>
    </xf>
    <xf numFmtId="14" fontId="8" fillId="0" borderId="4" xfId="1" applyNumberFormat="1" applyFont="1" applyFill="1" applyBorder="1" applyAlignment="1">
      <alignment horizontal="center" vertical="top"/>
    </xf>
    <xf numFmtId="0" fontId="8" fillId="0" borderId="4" xfId="1" applyFont="1" applyFill="1" applyBorder="1" applyAlignment="1">
      <alignment horizontal="center" vertical="top"/>
    </xf>
    <xf numFmtId="0" fontId="8" fillId="0" borderId="1" xfId="1" applyFont="1" applyFill="1" applyBorder="1" applyAlignment="1">
      <alignment horizontal="left" vertical="top"/>
    </xf>
    <xf numFmtId="0" fontId="9" fillId="0" borderId="3" xfId="1" applyFont="1" applyFill="1" applyBorder="1" applyAlignment="1">
      <alignment horizontal="left"/>
    </xf>
    <xf numFmtId="14" fontId="15" fillId="0" borderId="1" xfId="1" applyNumberFormat="1" applyFont="1" applyFill="1" applyBorder="1" applyAlignment="1">
      <alignment horizontal="left" vertical="top"/>
    </xf>
    <xf numFmtId="0" fontId="15" fillId="0" borderId="2" xfId="1" applyFont="1" applyFill="1" applyBorder="1" applyAlignment="1">
      <alignment horizontal="left" vertical="top"/>
    </xf>
    <xf numFmtId="0" fontId="15" fillId="0" borderId="3" xfId="1" applyFont="1" applyFill="1" applyBorder="1" applyAlignment="1">
      <alignment horizontal="left" vertical="top"/>
    </xf>
    <xf numFmtId="14" fontId="8" fillId="0" borderId="1" xfId="1" applyNumberFormat="1" applyFont="1" applyFill="1" applyBorder="1" applyAlignment="1">
      <alignment horizontal="left" vertical="top" wrapText="1"/>
    </xf>
    <xf numFmtId="14" fontId="8" fillId="0" borderId="2" xfId="1" applyNumberFormat="1" applyFont="1" applyFill="1" applyBorder="1" applyAlignment="1">
      <alignment horizontal="left" vertical="top" wrapText="1"/>
    </xf>
    <xf numFmtId="14" fontId="8" fillId="0" borderId="3" xfId="1" applyNumberFormat="1" applyFont="1" applyFill="1" applyBorder="1" applyAlignment="1">
      <alignment horizontal="left" vertical="top" wrapText="1"/>
    </xf>
    <xf numFmtId="0" fontId="15" fillId="0" borderId="1" xfId="1" applyFont="1" applyFill="1" applyBorder="1" applyAlignment="1">
      <alignment horizontal="left" vertical="top"/>
    </xf>
    <xf numFmtId="0" fontId="9" fillId="0" borderId="1" xfId="1" applyFont="1" applyFill="1" applyBorder="1" applyAlignment="1" applyProtection="1">
      <alignment horizontal="left" vertical="center" wrapText="1"/>
      <protection locked="0"/>
    </xf>
    <xf numFmtId="0" fontId="9" fillId="0" borderId="2" xfId="1" applyFont="1" applyFill="1" applyBorder="1" applyAlignment="1" applyProtection="1">
      <alignment horizontal="left" vertical="center" wrapText="1"/>
      <protection locked="0"/>
    </xf>
    <xf numFmtId="0" fontId="9" fillId="0" borderId="3" xfId="1" applyFont="1" applyFill="1" applyBorder="1" applyAlignment="1" applyProtection="1">
      <alignment horizontal="left" vertical="center" wrapText="1"/>
      <protection locked="0"/>
    </xf>
    <xf numFmtId="0" fontId="15" fillId="0" borderId="1" xfId="1" applyFont="1" applyFill="1" applyBorder="1" applyAlignment="1">
      <alignment horizontal="left" vertical="top" wrapText="1"/>
    </xf>
    <xf numFmtId="0" fontId="15" fillId="0" borderId="2" xfId="1" applyFont="1" applyFill="1" applyBorder="1" applyAlignment="1">
      <alignment horizontal="left" vertical="top" wrapText="1"/>
    </xf>
    <xf numFmtId="0" fontId="15" fillId="0" borderId="3" xfId="1" applyFont="1" applyFill="1" applyBorder="1" applyAlignment="1">
      <alignment horizontal="left" vertical="top" wrapText="1"/>
    </xf>
    <xf numFmtId="0" fontId="8" fillId="0" borderId="5" xfId="1" applyFont="1" applyFill="1" applyBorder="1" applyAlignment="1">
      <alignment horizontal="left" vertical="top" wrapText="1"/>
    </xf>
    <xf numFmtId="0" fontId="8" fillId="0" borderId="7" xfId="1" applyFont="1" applyFill="1" applyBorder="1" applyAlignment="1">
      <alignment horizontal="left" vertical="top" wrapText="1"/>
    </xf>
    <xf numFmtId="0" fontId="8" fillId="0" borderId="4" xfId="1" applyFont="1" applyFill="1" applyBorder="1" applyAlignment="1">
      <alignment horizontal="left" vertical="top" wrapText="1"/>
    </xf>
    <xf numFmtId="0" fontId="9" fillId="0" borderId="1" xfId="1" applyFont="1" applyFill="1" applyBorder="1" applyAlignment="1">
      <alignment horizontal="center" vertical="top"/>
    </xf>
    <xf numFmtId="0" fontId="9" fillId="0" borderId="3" xfId="1" applyFont="1" applyFill="1" applyBorder="1" applyAlignment="1">
      <alignment horizontal="center" vertical="top"/>
    </xf>
    <xf numFmtId="14" fontId="8" fillId="0" borderId="1" xfId="1" applyNumberFormat="1" applyFont="1" applyFill="1" applyBorder="1" applyAlignment="1">
      <alignment horizontal="left" vertical="top"/>
    </xf>
    <xf numFmtId="14" fontId="8" fillId="0" borderId="2" xfId="1" applyNumberFormat="1" applyFont="1" applyFill="1" applyBorder="1" applyAlignment="1">
      <alignment horizontal="left" vertical="top"/>
    </xf>
    <xf numFmtId="14" fontId="8" fillId="0" borderId="3" xfId="1" applyNumberFormat="1" applyFont="1" applyFill="1" applyBorder="1" applyAlignment="1">
      <alignment horizontal="left" vertical="top"/>
    </xf>
    <xf numFmtId="0" fontId="14" fillId="0" borderId="1" xfId="1" applyFont="1" applyFill="1" applyBorder="1" applyAlignment="1">
      <alignment horizontal="center" vertical="top" wrapText="1"/>
    </xf>
    <xf numFmtId="0" fontId="14" fillId="0" borderId="2" xfId="1" applyFont="1" applyFill="1" applyBorder="1" applyAlignment="1">
      <alignment horizontal="center" vertical="top" wrapText="1"/>
    </xf>
    <xf numFmtId="0" fontId="14" fillId="0" borderId="3" xfId="1" applyFont="1" applyFill="1" applyBorder="1" applyAlignment="1">
      <alignment horizontal="center" vertical="top" wrapText="1"/>
    </xf>
    <xf numFmtId="0" fontId="10" fillId="0" borderId="1" xfId="1" applyFont="1" applyFill="1" applyBorder="1" applyAlignment="1">
      <alignment horizontal="center" vertical="top"/>
    </xf>
    <xf numFmtId="0" fontId="10" fillId="0" borderId="2" xfId="1" applyFont="1" applyFill="1" applyBorder="1" applyAlignment="1">
      <alignment horizontal="center" vertical="top"/>
    </xf>
    <xf numFmtId="0" fontId="10" fillId="0" borderId="3" xfId="1" applyFont="1" applyFill="1" applyBorder="1" applyAlignment="1">
      <alignment horizontal="center" vertical="top"/>
    </xf>
    <xf numFmtId="168" fontId="15" fillId="0" borderId="1" xfId="1" applyNumberFormat="1" applyFont="1" applyFill="1" applyBorder="1" applyAlignment="1" applyProtection="1">
      <alignment horizontal="left" vertical="top"/>
      <protection locked="0"/>
    </xf>
    <xf numFmtId="168" fontId="15" fillId="0" borderId="2" xfId="1" applyNumberFormat="1" applyFont="1" applyFill="1" applyBorder="1" applyAlignment="1" applyProtection="1">
      <alignment horizontal="left" vertical="top"/>
      <protection locked="0"/>
    </xf>
    <xf numFmtId="168" fontId="15" fillId="0" borderId="3" xfId="1" applyNumberFormat="1" applyFont="1" applyFill="1" applyBorder="1" applyAlignment="1" applyProtection="1">
      <alignment horizontal="left" vertical="top"/>
      <protection locked="0"/>
    </xf>
    <xf numFmtId="0" fontId="15" fillId="0" borderId="4" xfId="1" applyFont="1" applyFill="1" applyBorder="1" applyAlignment="1">
      <alignment horizontal="left" vertical="top"/>
    </xf>
    <xf numFmtId="0" fontId="8" fillId="0" borderId="6" xfId="1" applyFont="1" applyFill="1" applyBorder="1" applyAlignment="1">
      <alignment horizontal="left" vertical="top" wrapText="1"/>
    </xf>
    <xf numFmtId="0" fontId="8" fillId="0" borderId="8" xfId="1" applyFont="1" applyFill="1" applyBorder="1" applyAlignment="1">
      <alignment horizontal="left" vertical="top" wrapText="1"/>
    </xf>
    <xf numFmtId="0" fontId="8" fillId="0" borderId="9" xfId="1" applyFont="1" applyFill="1" applyBorder="1" applyAlignment="1">
      <alignment horizontal="left" vertical="top" wrapText="1"/>
    </xf>
    <xf numFmtId="0" fontId="8" fillId="0" borderId="10" xfId="1" applyFont="1" applyFill="1" applyBorder="1" applyAlignment="1">
      <alignment horizontal="left" vertical="top" wrapText="1"/>
    </xf>
    <xf numFmtId="0" fontId="8" fillId="0" borderId="5" xfId="1" applyFont="1" applyFill="1" applyBorder="1" applyAlignment="1">
      <alignment horizontal="left" vertical="top"/>
    </xf>
    <xf numFmtId="0" fontId="8" fillId="0" borderId="6" xfId="1" applyFont="1" applyFill="1" applyBorder="1" applyAlignment="1">
      <alignment horizontal="left" vertical="top"/>
    </xf>
    <xf numFmtId="0" fontId="8" fillId="0" borderId="7" xfId="1" applyFont="1" applyFill="1" applyBorder="1" applyAlignment="1">
      <alignment horizontal="left" vertical="top"/>
    </xf>
    <xf numFmtId="0" fontId="8" fillId="0" borderId="8" xfId="1" applyFont="1" applyFill="1" applyBorder="1" applyAlignment="1">
      <alignment horizontal="left" vertical="top"/>
    </xf>
    <xf numFmtId="0" fontId="8" fillId="0" borderId="9" xfId="1" applyFont="1" applyFill="1" applyBorder="1" applyAlignment="1">
      <alignment horizontal="left" vertical="top"/>
    </xf>
    <xf numFmtId="0" fontId="8" fillId="0" borderId="10" xfId="1" applyFont="1" applyFill="1" applyBorder="1" applyAlignment="1">
      <alignment horizontal="left" vertical="top"/>
    </xf>
    <xf numFmtId="0" fontId="15" fillId="0" borderId="4" xfId="1" applyFont="1" applyFill="1" applyBorder="1" applyAlignment="1">
      <alignment horizontal="left"/>
    </xf>
    <xf numFmtId="0" fontId="8" fillId="0" borderId="1" xfId="1" applyFont="1" applyFill="1" applyBorder="1" applyAlignment="1">
      <alignment horizontal="center" vertical="top"/>
    </xf>
    <xf numFmtId="0" fontId="8" fillId="0" borderId="3" xfId="1" applyFont="1" applyFill="1" applyBorder="1" applyAlignment="1">
      <alignment horizontal="center" vertical="top"/>
    </xf>
    <xf numFmtId="0" fontId="15" fillId="0" borderId="1" xfId="1" applyFont="1" applyFill="1" applyBorder="1" applyAlignment="1" applyProtection="1">
      <alignment horizontal="left" vertical="center" wrapText="1"/>
      <protection locked="0"/>
    </xf>
    <xf numFmtId="0" fontId="15" fillId="0" borderId="2" xfId="1" applyFont="1" applyFill="1" applyBorder="1" applyAlignment="1" applyProtection="1">
      <alignment horizontal="left" vertical="center" wrapText="1"/>
      <protection locked="0"/>
    </xf>
    <xf numFmtId="0" fontId="15" fillId="0" borderId="3" xfId="1" applyFont="1" applyFill="1" applyBorder="1" applyAlignment="1" applyProtection="1">
      <alignment horizontal="left" vertical="center" wrapText="1"/>
      <protection locked="0"/>
    </xf>
    <xf numFmtId="0" fontId="8" fillId="0" borderId="1" xfId="1" applyFont="1" applyFill="1" applyBorder="1" applyAlignment="1">
      <alignment horizontal="center" vertical="top" wrapText="1"/>
    </xf>
    <xf numFmtId="0" fontId="8" fillId="0" borderId="3" xfId="1" applyFont="1" applyFill="1" applyBorder="1" applyAlignment="1">
      <alignment horizontal="center" vertical="top" wrapText="1"/>
    </xf>
    <xf numFmtId="0" fontId="23" fillId="0" borderId="1" xfId="9" applyFill="1" applyBorder="1" applyAlignment="1">
      <alignment horizontal="left" vertical="top"/>
    </xf>
    <xf numFmtId="0" fontId="15" fillId="0" borderId="1" xfId="1" applyFont="1" applyFill="1" applyBorder="1" applyAlignment="1">
      <alignment horizontal="center" vertical="top" wrapText="1"/>
    </xf>
    <xf numFmtId="0" fontId="15" fillId="0" borderId="2" xfId="1" applyFont="1" applyFill="1" applyBorder="1" applyAlignment="1">
      <alignment horizontal="center" vertical="top" wrapText="1"/>
    </xf>
    <xf numFmtId="0" fontId="15" fillId="0" borderId="3" xfId="1" applyFont="1" applyFill="1" applyBorder="1" applyAlignment="1">
      <alignment horizontal="center" vertical="top" wrapText="1"/>
    </xf>
    <xf numFmtId="0" fontId="10" fillId="0" borderId="1" xfId="1" applyFont="1" applyFill="1" applyBorder="1" applyAlignment="1">
      <alignment vertical="top"/>
    </xf>
    <xf numFmtId="0" fontId="10" fillId="0" borderId="2" xfId="1" applyFont="1" applyFill="1" applyBorder="1" applyAlignment="1">
      <alignment vertical="top"/>
    </xf>
    <xf numFmtId="0" fontId="10" fillId="0" borderId="3" xfId="1" applyFont="1" applyFill="1" applyBorder="1" applyAlignment="1">
      <alignment vertical="top"/>
    </xf>
    <xf numFmtId="0" fontId="15" fillId="0" borderId="5" xfId="1" applyFont="1" applyFill="1" applyBorder="1" applyAlignment="1">
      <alignment horizontal="center" vertical="top" wrapText="1"/>
    </xf>
    <xf numFmtId="0" fontId="15" fillId="0" borderId="7" xfId="1" applyFont="1" applyFill="1" applyBorder="1" applyAlignment="1">
      <alignment horizontal="center" vertical="top" wrapText="1"/>
    </xf>
    <xf numFmtId="0" fontId="15" fillId="0" borderId="11" xfId="1" applyFont="1" applyFill="1" applyBorder="1" applyAlignment="1">
      <alignment horizontal="center" vertical="top" wrapText="1"/>
    </xf>
    <xf numFmtId="0" fontId="15" fillId="0" borderId="12" xfId="1" applyFont="1" applyFill="1" applyBorder="1" applyAlignment="1">
      <alignment horizontal="center" vertical="top" wrapText="1"/>
    </xf>
    <xf numFmtId="0" fontId="15" fillId="0" borderId="8" xfId="1" applyFont="1" applyFill="1" applyBorder="1" applyAlignment="1">
      <alignment horizontal="center" vertical="top" wrapText="1"/>
    </xf>
    <xf numFmtId="0" fontId="15" fillId="0" borderId="10" xfId="1" applyFont="1" applyFill="1" applyBorder="1" applyAlignment="1">
      <alignment horizontal="center" vertical="top" wrapText="1"/>
    </xf>
    <xf numFmtId="0" fontId="15" fillId="0" borderId="6" xfId="1" applyFont="1" applyFill="1" applyBorder="1" applyAlignment="1">
      <alignment horizontal="center" vertical="top" wrapText="1"/>
    </xf>
    <xf numFmtId="0" fontId="15" fillId="0" borderId="0" xfId="1" applyFont="1" applyFill="1" applyBorder="1" applyAlignment="1">
      <alignment horizontal="center" vertical="top" wrapText="1"/>
    </xf>
    <xf numFmtId="0" fontId="15" fillId="0" borderId="9" xfId="1" applyFont="1" applyFill="1" applyBorder="1" applyAlignment="1">
      <alignment horizontal="center" vertical="top" wrapText="1"/>
    </xf>
    <xf numFmtId="169" fontId="8" fillId="0" borderId="1" xfId="8" applyNumberFormat="1" applyFont="1" applyFill="1" applyBorder="1" applyAlignment="1">
      <alignment horizontal="left" vertical="top"/>
    </xf>
    <xf numFmtId="169" fontId="8" fillId="0" borderId="2" xfId="8" applyNumberFormat="1" applyFont="1" applyFill="1" applyBorder="1" applyAlignment="1">
      <alignment horizontal="left" vertical="top"/>
    </xf>
    <xf numFmtId="169" fontId="8" fillId="0" borderId="3" xfId="8" applyNumberFormat="1" applyFont="1" applyFill="1" applyBorder="1" applyAlignment="1">
      <alignment horizontal="left" vertical="top"/>
    </xf>
    <xf numFmtId="0" fontId="15" fillId="0" borderId="1" xfId="1" applyFont="1" applyFill="1" applyBorder="1" applyAlignment="1">
      <alignment horizontal="center"/>
    </xf>
    <xf numFmtId="0" fontId="15" fillId="0" borderId="2" xfId="1" applyFont="1" applyFill="1" applyBorder="1" applyAlignment="1">
      <alignment horizontal="center"/>
    </xf>
    <xf numFmtId="0" fontId="15" fillId="0" borderId="3" xfId="1" applyFont="1" applyFill="1" applyBorder="1" applyAlignment="1">
      <alignment horizontal="center"/>
    </xf>
    <xf numFmtId="9" fontId="15" fillId="0" borderId="1" xfId="1" applyNumberFormat="1" applyFont="1" applyFill="1" applyBorder="1" applyAlignment="1">
      <alignment horizontal="center"/>
    </xf>
    <xf numFmtId="0" fontId="15" fillId="0" borderId="3" xfId="1" applyNumberFormat="1" applyFont="1" applyFill="1" applyBorder="1" applyAlignment="1">
      <alignment horizontal="center"/>
    </xf>
    <xf numFmtId="0" fontId="15" fillId="0" borderId="1" xfId="1" applyNumberFormat="1" applyFont="1" applyFill="1" applyBorder="1" applyAlignment="1">
      <alignment horizontal="center"/>
    </xf>
    <xf numFmtId="0" fontId="15" fillId="0" borderId="2" xfId="1" applyNumberFormat="1" applyFont="1" applyFill="1" applyBorder="1" applyAlignment="1">
      <alignment horizontal="center"/>
    </xf>
    <xf numFmtId="9" fontId="15" fillId="0" borderId="3" xfId="1" applyNumberFormat="1" applyFont="1" applyFill="1" applyBorder="1" applyAlignment="1">
      <alignment horizontal="center"/>
    </xf>
    <xf numFmtId="1" fontId="8" fillId="0" borderId="1" xfId="1" applyNumberFormat="1" applyFont="1" applyFill="1" applyBorder="1" applyAlignment="1">
      <alignment horizontal="center" vertical="center" wrapText="1"/>
    </xf>
    <xf numFmtId="1" fontId="8" fillId="0" borderId="3" xfId="1" applyNumberFormat="1" applyFont="1" applyFill="1" applyBorder="1" applyAlignment="1">
      <alignment horizontal="center" vertical="center" wrapText="1"/>
    </xf>
    <xf numFmtId="1" fontId="9" fillId="0" borderId="1" xfId="0" applyNumberFormat="1" applyFont="1" applyFill="1" applyBorder="1" applyAlignment="1">
      <alignment horizontal="center" vertical="top" wrapText="1"/>
    </xf>
    <xf numFmtId="1" fontId="9" fillId="0" borderId="2" xfId="0" applyNumberFormat="1" applyFont="1" applyFill="1" applyBorder="1" applyAlignment="1">
      <alignment horizontal="center" vertical="top" wrapText="1"/>
    </xf>
    <xf numFmtId="1" fontId="9" fillId="0" borderId="3" xfId="0" applyNumberFormat="1" applyFont="1" applyFill="1" applyBorder="1" applyAlignment="1">
      <alignment horizontal="center" vertical="top" wrapText="1"/>
    </xf>
    <xf numFmtId="1" fontId="8" fillId="0" borderId="4" xfId="0" applyNumberFormat="1" applyFont="1" applyFill="1" applyBorder="1" applyAlignment="1">
      <alignment horizontal="center" vertical="center" wrapText="1"/>
    </xf>
    <xf numFmtId="1" fontId="10" fillId="0" borderId="1" xfId="1" applyNumberFormat="1" applyFont="1" applyFill="1" applyBorder="1" applyAlignment="1">
      <alignment horizontal="center" vertical="center" wrapText="1"/>
    </xf>
    <xf numFmtId="1" fontId="10" fillId="0" borderId="2" xfId="1" applyNumberFormat="1" applyFont="1" applyFill="1" applyBorder="1" applyAlignment="1">
      <alignment horizontal="center" vertical="center" wrapText="1"/>
    </xf>
    <xf numFmtId="1" fontId="10" fillId="0" borderId="3" xfId="1" applyNumberFormat="1" applyFont="1" applyFill="1" applyBorder="1" applyAlignment="1">
      <alignment horizontal="center" vertical="center" wrapText="1"/>
    </xf>
    <xf numFmtId="1" fontId="10" fillId="0" borderId="1" xfId="0" applyNumberFormat="1" applyFont="1" applyFill="1" applyBorder="1" applyAlignment="1">
      <alignment horizontal="center" vertical="center" wrapText="1"/>
    </xf>
    <xf numFmtId="1" fontId="10" fillId="0" borderId="2" xfId="0" applyNumberFormat="1" applyFont="1" applyFill="1" applyBorder="1" applyAlignment="1">
      <alignment horizontal="center" vertical="center" wrapText="1"/>
    </xf>
    <xf numFmtId="1" fontId="10" fillId="0" borderId="3" xfId="0" applyNumberFormat="1" applyFont="1" applyFill="1" applyBorder="1" applyAlignment="1">
      <alignment horizontal="center" vertical="center" wrapText="1"/>
    </xf>
    <xf numFmtId="1" fontId="8" fillId="0" borderId="1" xfId="0" applyNumberFormat="1" applyFont="1" applyFill="1" applyBorder="1" applyAlignment="1">
      <alignment horizontal="center" vertical="center" wrapText="1"/>
    </xf>
    <xf numFmtId="1" fontId="8" fillId="0" borderId="3" xfId="0" applyNumberFormat="1" applyFont="1" applyFill="1" applyBorder="1" applyAlignment="1">
      <alignment horizontal="center" vertical="center" wrapText="1"/>
    </xf>
    <xf numFmtId="1" fontId="10" fillId="0" borderId="1" xfId="0" applyNumberFormat="1" applyFont="1" applyFill="1" applyBorder="1" applyAlignment="1">
      <alignment horizontal="center" vertical="top" wrapText="1"/>
    </xf>
    <xf numFmtId="1" fontId="10" fillId="0" borderId="3" xfId="0" applyNumberFormat="1" applyFont="1" applyFill="1" applyBorder="1" applyAlignment="1">
      <alignment horizontal="center" vertical="top" wrapText="1"/>
    </xf>
    <xf numFmtId="0" fontId="12" fillId="0" borderId="1" xfId="0" applyFont="1" applyFill="1" applyBorder="1" applyAlignment="1">
      <alignment horizontal="center" vertical="top" wrapText="1"/>
    </xf>
    <xf numFmtId="0" fontId="12" fillId="0" borderId="2" xfId="0" applyFont="1" applyFill="1" applyBorder="1" applyAlignment="1">
      <alignment horizontal="center" vertical="top" wrapText="1"/>
    </xf>
    <xf numFmtId="0" fontId="12" fillId="0" borderId="3" xfId="0" applyFont="1" applyFill="1" applyBorder="1" applyAlignment="1">
      <alignment horizontal="center" vertical="top" wrapText="1"/>
    </xf>
    <xf numFmtId="1" fontId="10" fillId="0" borderId="2" xfId="0" applyNumberFormat="1" applyFont="1" applyFill="1" applyBorder="1" applyAlignment="1">
      <alignment horizontal="center" vertical="top" wrapText="1"/>
    </xf>
    <xf numFmtId="0" fontId="20" fillId="0" borderId="4" xfId="1" applyFont="1" applyFill="1" applyBorder="1" applyAlignment="1">
      <alignment horizontal="center" vertical="top" wrapText="1"/>
    </xf>
    <xf numFmtId="0" fontId="6" fillId="0" borderId="4" xfId="1" applyFont="1" applyFill="1" applyBorder="1" applyAlignment="1">
      <alignment horizontal="center" vertical="top" wrapText="1"/>
    </xf>
    <xf numFmtId="0" fontId="8" fillId="0" borderId="1" xfId="1" applyFont="1" applyFill="1" applyBorder="1" applyAlignment="1">
      <alignment vertical="top"/>
    </xf>
    <xf numFmtId="0" fontId="8" fillId="0" borderId="2" xfId="1" applyFont="1" applyFill="1" applyBorder="1" applyAlignment="1">
      <alignment vertical="top"/>
    </xf>
    <xf numFmtId="0" fontId="8" fillId="0" borderId="3" xfId="1" applyFont="1" applyFill="1" applyBorder="1" applyAlignment="1">
      <alignment vertical="top"/>
    </xf>
    <xf numFmtId="1" fontId="8" fillId="0" borderId="11" xfId="1" applyNumberFormat="1" applyFont="1" applyFill="1" applyBorder="1" applyAlignment="1">
      <alignment horizontal="center" vertical="center" wrapText="1"/>
    </xf>
    <xf numFmtId="1" fontId="8" fillId="0" borderId="0" xfId="1" applyNumberFormat="1" applyFont="1" applyFill="1" applyBorder="1" applyAlignment="1">
      <alignment horizontal="center" vertical="center" wrapText="1"/>
    </xf>
    <xf numFmtId="1" fontId="8" fillId="0" borderId="12" xfId="1" applyNumberFormat="1" applyFont="1" applyFill="1" applyBorder="1" applyAlignment="1">
      <alignment horizontal="center" vertical="center" wrapText="1"/>
    </xf>
    <xf numFmtId="1" fontId="8" fillId="0" borderId="8" xfId="1" applyNumberFormat="1" applyFont="1" applyFill="1" applyBorder="1" applyAlignment="1">
      <alignment horizontal="center" vertical="center" wrapText="1"/>
    </xf>
    <xf numFmtId="1" fontId="8" fillId="0" borderId="9" xfId="1" applyNumberFormat="1" applyFont="1" applyFill="1" applyBorder="1" applyAlignment="1">
      <alignment horizontal="center" vertical="center" wrapText="1"/>
    </xf>
    <xf numFmtId="1" fontId="8" fillId="0" borderId="10" xfId="1" applyNumberFormat="1" applyFont="1" applyFill="1" applyBorder="1" applyAlignment="1">
      <alignment horizontal="center" vertical="center" wrapText="1"/>
    </xf>
    <xf numFmtId="0" fontId="10" fillId="0" borderId="4" xfId="1" applyFont="1" applyFill="1" applyBorder="1" applyAlignment="1">
      <alignment horizontal="center" vertical="top" wrapText="1"/>
    </xf>
    <xf numFmtId="1" fontId="10" fillId="0" borderId="4" xfId="0" applyNumberFormat="1" applyFont="1" applyFill="1" applyBorder="1" applyAlignment="1">
      <alignment horizontal="left" vertical="top" wrapText="1"/>
    </xf>
    <xf numFmtId="0" fontId="16" fillId="0" borderId="4" xfId="2" applyFont="1" applyFill="1" applyBorder="1" applyAlignment="1">
      <alignment horizontal="left" vertical="top" wrapText="1"/>
    </xf>
    <xf numFmtId="1" fontId="8" fillId="0" borderId="5" xfId="1" applyNumberFormat="1" applyFont="1" applyFill="1" applyBorder="1" applyAlignment="1">
      <alignment horizontal="center" vertical="center" wrapText="1"/>
    </xf>
    <xf numFmtId="1" fontId="8" fillId="0" borderId="6" xfId="1" applyNumberFormat="1" applyFont="1" applyFill="1" applyBorder="1" applyAlignment="1">
      <alignment horizontal="center" vertical="center" wrapText="1"/>
    </xf>
    <xf numFmtId="1" fontId="8" fillId="0" borderId="7" xfId="1" applyNumberFormat="1" applyFont="1" applyFill="1" applyBorder="1" applyAlignment="1">
      <alignment horizontal="center" vertical="center" wrapText="1"/>
    </xf>
    <xf numFmtId="1" fontId="8" fillId="0" borderId="2" xfId="1" applyNumberFormat="1" applyFont="1" applyFill="1" applyBorder="1" applyAlignment="1">
      <alignment horizontal="center" vertical="center" wrapText="1"/>
    </xf>
    <xf numFmtId="1" fontId="16" fillId="0" borderId="1" xfId="0" applyNumberFormat="1" applyFont="1" applyFill="1" applyBorder="1" applyAlignment="1">
      <alignment horizontal="center" vertical="top" wrapText="1"/>
    </xf>
    <xf numFmtId="1" fontId="16" fillId="0" borderId="2" xfId="0" applyNumberFormat="1" applyFont="1" applyFill="1" applyBorder="1" applyAlignment="1">
      <alignment horizontal="center" vertical="top" wrapText="1"/>
    </xf>
    <xf numFmtId="1" fontId="16" fillId="0" borderId="3" xfId="0" applyNumberFormat="1" applyFont="1" applyFill="1" applyBorder="1" applyAlignment="1">
      <alignment horizontal="center" vertical="top" wrapText="1"/>
    </xf>
    <xf numFmtId="1" fontId="12" fillId="0" borderId="1" xfId="0" applyNumberFormat="1" applyFont="1" applyFill="1" applyBorder="1" applyAlignment="1">
      <alignment horizontal="center" vertical="top" wrapText="1"/>
    </xf>
    <xf numFmtId="1" fontId="12" fillId="0" borderId="2" xfId="0" applyNumberFormat="1" applyFont="1" applyFill="1" applyBorder="1" applyAlignment="1">
      <alignment horizontal="center" vertical="top" wrapText="1"/>
    </xf>
    <xf numFmtId="1" fontId="12" fillId="0" borderId="3" xfId="0" applyNumberFormat="1" applyFont="1" applyFill="1" applyBorder="1" applyAlignment="1">
      <alignment horizontal="center" vertical="top" wrapText="1"/>
    </xf>
    <xf numFmtId="1" fontId="10" fillId="0" borderId="1" xfId="1" applyNumberFormat="1" applyFont="1" applyFill="1" applyBorder="1" applyAlignment="1">
      <alignment horizontal="center" vertical="top" wrapText="1"/>
    </xf>
    <xf numFmtId="1" fontId="10" fillId="0" borderId="2" xfId="1" applyNumberFormat="1" applyFont="1" applyFill="1" applyBorder="1" applyAlignment="1">
      <alignment horizontal="center" vertical="top" wrapText="1"/>
    </xf>
    <xf numFmtId="1" fontId="10" fillId="0" borderId="3" xfId="1" applyNumberFormat="1" applyFont="1" applyFill="1" applyBorder="1" applyAlignment="1">
      <alignment horizontal="center" vertical="top" wrapText="1"/>
    </xf>
    <xf numFmtId="0" fontId="9" fillId="0" borderId="23" xfId="1" applyFont="1" applyFill="1" applyBorder="1" applyAlignment="1" applyProtection="1">
      <alignment horizontal="center" vertical="top" wrapText="1"/>
      <protection locked="0"/>
    </xf>
    <xf numFmtId="0" fontId="9" fillId="0" borderId="24" xfId="1" applyFont="1" applyFill="1" applyBorder="1" applyAlignment="1" applyProtection="1">
      <alignment horizontal="center" vertical="top" wrapText="1"/>
      <protection locked="0"/>
    </xf>
    <xf numFmtId="169" fontId="10" fillId="0" borderId="1" xfId="8" applyNumberFormat="1" applyFont="1" applyFill="1" applyBorder="1" applyAlignment="1">
      <alignment horizontal="left" vertical="top"/>
    </xf>
    <xf numFmtId="169" fontId="10" fillId="0" borderId="2" xfId="8" applyNumberFormat="1" applyFont="1" applyFill="1" applyBorder="1" applyAlignment="1">
      <alignment horizontal="left" vertical="top"/>
    </xf>
    <xf numFmtId="169" fontId="10" fillId="0" borderId="3" xfId="8" applyNumberFormat="1" applyFont="1" applyFill="1" applyBorder="1" applyAlignment="1">
      <alignment horizontal="left" vertical="top"/>
    </xf>
    <xf numFmtId="0" fontId="16" fillId="0" borderId="1" xfId="1" applyFont="1" applyFill="1" applyBorder="1" applyAlignment="1">
      <alignment horizontal="left" vertical="top"/>
    </xf>
    <xf numFmtId="0" fontId="16" fillId="0" borderId="3" xfId="1" applyFont="1" applyFill="1" applyBorder="1" applyAlignment="1">
      <alignment horizontal="left" vertical="top"/>
    </xf>
    <xf numFmtId="0" fontId="11" fillId="0" borderId="4" xfId="6" applyFont="1" applyBorder="1" applyAlignment="1">
      <alignment horizontal="left"/>
    </xf>
    <xf numFmtId="0" fontId="18" fillId="0" borderId="4" xfId="0" applyFont="1" applyBorder="1" applyAlignment="1">
      <alignment horizontal="center"/>
    </xf>
    <xf numFmtId="0" fontId="18" fillId="0" borderId="4" xfId="0" applyFont="1" applyBorder="1" applyAlignment="1">
      <alignment horizontal="left"/>
    </xf>
    <xf numFmtId="0" fontId="18" fillId="2" borderId="4" xfId="0" applyFont="1" applyFill="1" applyBorder="1" applyAlignment="1">
      <alignment horizontal="center"/>
    </xf>
    <xf numFmtId="0" fontId="17" fillId="0" borderId="4" xfId="0" applyFont="1" applyBorder="1" applyAlignment="1">
      <alignment horizontal="center"/>
    </xf>
    <xf numFmtId="0" fontId="0" fillId="2" borderId="4" xfId="0" applyFill="1" applyBorder="1" applyAlignment="1">
      <alignment horizontal="center" wrapText="1"/>
    </xf>
    <xf numFmtId="0" fontId="11" fillId="0" borderId="4" xfId="0" applyFont="1" applyBorder="1" applyAlignment="1">
      <alignment horizontal="center"/>
    </xf>
    <xf numFmtId="0" fontId="10" fillId="0" borderId="4" xfId="1" applyFont="1" applyFill="1" applyBorder="1" applyAlignment="1">
      <alignment horizontal="left" vertical="top"/>
    </xf>
    <xf numFmtId="165" fontId="8" fillId="0" borderId="4" xfId="1" applyNumberFormat="1" applyFont="1" applyFill="1" applyBorder="1" applyAlignment="1">
      <alignment horizontal="left" vertical="top" wrapText="1"/>
    </xf>
    <xf numFmtId="165" fontId="8" fillId="0" borderId="4" xfId="1" applyNumberFormat="1" applyFont="1" applyFill="1" applyBorder="1" applyAlignment="1">
      <alignment horizontal="left" vertical="top"/>
    </xf>
    <xf numFmtId="166" fontId="8" fillId="0" borderId="4" xfId="1" applyNumberFormat="1" applyFont="1" applyFill="1" applyBorder="1" applyAlignment="1">
      <alignment horizontal="left" vertical="top"/>
    </xf>
  </cellXfs>
  <cellStyles count="10">
    <cellStyle name="Comma" xfId="8" builtinId="3"/>
    <cellStyle name="Comma 2" xfId="7"/>
    <cellStyle name="Excel Built-in Normal" xfId="2"/>
    <cellStyle name="Excel Built-in Normal 2" xfId="5"/>
    <cellStyle name="Hyperlink" xfId="9" builtinId="8"/>
    <cellStyle name="Normal" xfId="0" builtinId="0"/>
    <cellStyle name="Normal 2" xfId="3"/>
    <cellStyle name="Normal 3" xfId="1"/>
    <cellStyle name="Normal 4" xfId="6"/>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jpeg"/><Relationship Id="rId21" Type="http://schemas.openxmlformats.org/officeDocument/2006/relationships/image" Target="../media/image21.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30.png"/><Relationship Id="rId1" Type="http://schemas.openxmlformats.org/officeDocument/2006/relationships/image" Target="../media/image29.png"/><Relationship Id="rId6" Type="http://schemas.openxmlformats.org/officeDocument/2006/relationships/image" Target="../media/image34.png"/><Relationship Id="rId5" Type="http://schemas.openxmlformats.org/officeDocument/2006/relationships/image" Target="../media/image33.png"/><Relationship Id="rId4" Type="http://schemas.openxmlformats.org/officeDocument/2006/relationships/image" Target="../media/image3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6.jpeg"/><Relationship Id="rId1" Type="http://schemas.openxmlformats.org/officeDocument/2006/relationships/image" Target="../media/image35.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9.jpg"/><Relationship Id="rId2" Type="http://schemas.openxmlformats.org/officeDocument/2006/relationships/image" Target="../media/image38.jpg"/><Relationship Id="rId1" Type="http://schemas.openxmlformats.org/officeDocument/2006/relationships/image" Target="../media/image37.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7.png"/></Relationships>
</file>

<file path=xl/drawings/drawing1.xml><?xml version="1.0" encoding="utf-8"?>
<xdr:wsDr xmlns:xdr="http://schemas.openxmlformats.org/drawingml/2006/spreadsheetDrawing" xmlns:a="http://schemas.openxmlformats.org/drawingml/2006/main">
  <xdr:twoCellAnchor editAs="oneCell">
    <xdr:from>
      <xdr:col>1</xdr:col>
      <xdr:colOff>536365</xdr:colOff>
      <xdr:row>278</xdr:row>
      <xdr:rowOff>187572</xdr:rowOff>
    </xdr:from>
    <xdr:to>
      <xdr:col>7</xdr:col>
      <xdr:colOff>158247</xdr:colOff>
      <xdr:row>292</xdr:row>
      <xdr:rowOff>111767</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159820" y="49682936"/>
          <a:ext cx="3726291" cy="2712422"/>
        </a:xfrm>
        <a:prstGeom prst="rect">
          <a:avLst/>
        </a:prstGeom>
        <a:ln>
          <a:solidFill>
            <a:schemeClr val="tx1"/>
          </a:solidFill>
        </a:ln>
      </xdr:spPr>
    </xdr:pic>
    <xdr:clientData/>
  </xdr:twoCellAnchor>
  <xdr:twoCellAnchor editAs="oneCell">
    <xdr:from>
      <xdr:col>1</xdr:col>
      <xdr:colOff>530955</xdr:colOff>
      <xdr:row>265</xdr:row>
      <xdr:rowOff>3565</xdr:rowOff>
    </xdr:from>
    <xdr:to>
      <xdr:col>7</xdr:col>
      <xdr:colOff>160243</xdr:colOff>
      <xdr:row>278</xdr:row>
      <xdr:rowOff>124372</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154410" y="46909860"/>
          <a:ext cx="3733697" cy="2709875"/>
        </a:xfrm>
        <a:prstGeom prst="rect">
          <a:avLst/>
        </a:prstGeom>
        <a:ln>
          <a:solidFill>
            <a:schemeClr val="tx1"/>
          </a:solidFill>
        </a:ln>
      </xdr:spPr>
    </xdr:pic>
    <xdr:clientData/>
  </xdr:twoCellAnchor>
  <xdr:twoCellAnchor>
    <xdr:from>
      <xdr:col>10</xdr:col>
      <xdr:colOff>195543</xdr:colOff>
      <xdr:row>220</xdr:row>
      <xdr:rowOff>140071</xdr:rowOff>
    </xdr:from>
    <xdr:to>
      <xdr:col>20</xdr:col>
      <xdr:colOff>583488</xdr:colOff>
      <xdr:row>262</xdr:row>
      <xdr:rowOff>38167</xdr:rowOff>
    </xdr:to>
    <xdr:grpSp>
      <xdr:nvGrpSpPr>
        <xdr:cNvPr id="5" name="Group 4"/>
        <xdr:cNvGrpSpPr/>
      </xdr:nvGrpSpPr>
      <xdr:grpSpPr>
        <a:xfrm>
          <a:off x="7593293" y="42342171"/>
          <a:ext cx="6591895" cy="8165796"/>
          <a:chOff x="71718" y="42983521"/>
          <a:chExt cx="6293445" cy="7098996"/>
        </a:xfrm>
      </xdr:grpSpPr>
      <xdr:pic>
        <xdr:nvPicPr>
          <xdr:cNvPr id="42" name="Picture 41" descr="https://vsjcllp.vsjadon.com/upload/insp-217632-1525.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3185833" y="47939326"/>
            <a:ext cx="1621675" cy="214319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5" name="Picture 44" descr="https://vsjcllp.vsjadon.com/upload/insp-217632-849.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3490632" y="45703470"/>
            <a:ext cx="2874531" cy="214151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6" name="Picture 45" descr="https://vsjcllp.vsjadon.com/upload/insp-217632-851.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1783976" y="45704872"/>
            <a:ext cx="1619434" cy="214151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7" name="Picture 46" descr="https://vsjcllp.vsjadon.com/upload/insp-217632-862.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71718" y="45702071"/>
            <a:ext cx="1622795" cy="214151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8" name="Picture 47" descr="https://vsjcllp.vsjadon.com/upload/insp-217632-871.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140633" y="42983521"/>
            <a:ext cx="1987923" cy="262549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8" name="Picture 57" descr="https://vsjcllp.vsjadon.com/upload/insp-217632-931.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1467970" y="47936524"/>
            <a:ext cx="1617193" cy="214151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60" name="TextBox 59"/>
          <xdr:cNvSpPr txBox="1"/>
        </xdr:nvSpPr>
        <xdr:spPr>
          <a:xfrm>
            <a:off x="1472452" y="42994727"/>
            <a:ext cx="616323" cy="31208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lang="en-IN" sz="1400" b="1" cap="none" spc="0">
                <a:ln w="0"/>
                <a:solidFill>
                  <a:sysClr val="windowText" lastClr="000000"/>
                </a:solidFill>
                <a:effectLst>
                  <a:outerShdw blurRad="38100" dist="25400" dir="5400000" algn="ctr" rotWithShape="0">
                    <a:srgbClr val="6E747A">
                      <a:alpha val="43000"/>
                    </a:srgbClr>
                  </a:outerShdw>
                </a:effectLst>
              </a:rPr>
              <a:t>Bldg 1</a:t>
            </a:r>
          </a:p>
        </xdr:txBody>
      </xdr:sp>
      <xdr:grpSp>
        <xdr:nvGrpSpPr>
          <xdr:cNvPr id="3" name="Group 2"/>
          <xdr:cNvGrpSpPr/>
        </xdr:nvGrpSpPr>
        <xdr:grpSpPr>
          <a:xfrm>
            <a:off x="2214280" y="42996968"/>
            <a:ext cx="1980640" cy="2625493"/>
            <a:chOff x="2209798" y="43100062"/>
            <a:chExt cx="1983441" cy="2647345"/>
          </a:xfrm>
        </xdr:grpSpPr>
        <xdr:pic>
          <xdr:nvPicPr>
            <xdr:cNvPr id="44" name="Picture 43" descr="https://vsjcllp.vsjadon.com/upload/insp-217632-845.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2209798" y="43100062"/>
              <a:ext cx="1983441" cy="264734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61" name="TextBox 60"/>
            <xdr:cNvSpPr txBox="1"/>
          </xdr:nvSpPr>
          <xdr:spPr>
            <a:xfrm>
              <a:off x="3496236" y="43100062"/>
              <a:ext cx="683557" cy="31376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lang="en-IN" sz="1400" b="1" cap="none" spc="0">
                  <a:ln w="0"/>
                  <a:solidFill>
                    <a:sysClr val="windowText" lastClr="000000"/>
                  </a:solidFill>
                  <a:effectLst>
                    <a:outerShdw blurRad="38100" dist="25400" dir="5400000" algn="ctr" rotWithShape="0">
                      <a:srgbClr val="6E747A">
                        <a:alpha val="43000"/>
                      </a:srgbClr>
                    </a:outerShdw>
                  </a:effectLst>
                </a:rPr>
                <a:t>Bldg 2A</a:t>
              </a:r>
            </a:p>
          </xdr:txBody>
        </xdr:sp>
      </xdr:grpSp>
      <xdr:grpSp>
        <xdr:nvGrpSpPr>
          <xdr:cNvPr id="4" name="Group 3"/>
          <xdr:cNvGrpSpPr/>
        </xdr:nvGrpSpPr>
        <xdr:grpSpPr>
          <a:xfrm>
            <a:off x="4315944" y="42983522"/>
            <a:ext cx="1984561" cy="2625493"/>
            <a:chOff x="4314263" y="43086616"/>
            <a:chExt cx="1983441" cy="2647345"/>
          </a:xfrm>
        </xdr:grpSpPr>
        <xdr:pic>
          <xdr:nvPicPr>
            <xdr:cNvPr id="59" name="Picture 58" descr="https://vsjcllp.vsjadon.com/upload/insp-217632-847.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4314263" y="43086616"/>
              <a:ext cx="1983441" cy="264734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62" name="TextBox 61"/>
            <xdr:cNvSpPr txBox="1"/>
          </xdr:nvSpPr>
          <xdr:spPr>
            <a:xfrm>
              <a:off x="4314263" y="43086616"/>
              <a:ext cx="750796" cy="31376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lang="en-IN" sz="1400" b="1" cap="none" spc="0">
                  <a:ln w="0"/>
                  <a:solidFill>
                    <a:sysClr val="windowText" lastClr="000000"/>
                  </a:solidFill>
                  <a:effectLst>
                    <a:outerShdw blurRad="38100" dist="25400" dir="5400000" algn="ctr" rotWithShape="0">
                      <a:srgbClr val="6E747A">
                        <a:alpha val="43000"/>
                      </a:srgbClr>
                    </a:outerShdw>
                  </a:effectLst>
                </a:rPr>
                <a:t>Bldg 2B</a:t>
              </a:r>
            </a:p>
          </xdr:txBody>
        </xdr:sp>
      </xdr:grpSp>
    </xdr:grpSp>
    <xdr:clientData/>
  </xdr:twoCellAnchor>
  <xdr:oneCellAnchor>
    <xdr:from>
      <xdr:col>12</xdr:col>
      <xdr:colOff>158750</xdr:colOff>
      <xdr:row>217</xdr:row>
      <xdr:rowOff>19050</xdr:rowOff>
    </xdr:from>
    <xdr:ext cx="738728" cy="264560"/>
    <xdr:sp macro="" textlink="">
      <xdr:nvSpPr>
        <xdr:cNvPr id="2" name="TextBox 1"/>
        <xdr:cNvSpPr txBox="1"/>
      </xdr:nvSpPr>
      <xdr:spPr>
        <a:xfrm>
          <a:off x="8445500" y="41630600"/>
          <a:ext cx="7387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rgbClr val="FFFF00"/>
              </a:solidFill>
              <a:effectLst>
                <a:outerShdw blurRad="38100" dist="25400" dir="5400000" algn="ctr" rotWithShape="0">
                  <a:srgbClr val="6E747A">
                    <a:alpha val="43000"/>
                  </a:srgbClr>
                </a:outerShdw>
              </a:effectLst>
            </a:rPr>
            <a:t>Bldg No.1</a:t>
          </a:r>
        </a:p>
      </xdr:txBody>
    </xdr:sp>
    <xdr:clientData/>
  </xdr:oneCellAnchor>
  <xdr:twoCellAnchor>
    <xdr:from>
      <xdr:col>0</xdr:col>
      <xdr:colOff>374650</xdr:colOff>
      <xdr:row>221</xdr:row>
      <xdr:rowOff>69850</xdr:rowOff>
    </xdr:from>
    <xdr:to>
      <xdr:col>9</xdr:col>
      <xdr:colOff>557700</xdr:colOff>
      <xdr:row>263</xdr:row>
      <xdr:rowOff>91468</xdr:rowOff>
    </xdr:to>
    <xdr:grpSp>
      <xdr:nvGrpSpPr>
        <xdr:cNvPr id="8" name="Group 7"/>
        <xdr:cNvGrpSpPr/>
      </xdr:nvGrpSpPr>
      <xdr:grpSpPr>
        <a:xfrm>
          <a:off x="374650" y="42468800"/>
          <a:ext cx="6615600" cy="8289318"/>
          <a:chOff x="374650" y="42468800"/>
          <a:chExt cx="6615600" cy="8289318"/>
        </a:xfrm>
      </xdr:grpSpPr>
      <xdr:pic>
        <xdr:nvPicPr>
          <xdr:cNvPr id="53" name="Picture 52"/>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4184502" y="48958118"/>
            <a:ext cx="1348594" cy="1800000"/>
          </a:xfrm>
          <a:prstGeom prst="rect">
            <a:avLst/>
          </a:prstGeom>
          <a:ln>
            <a:solidFill>
              <a:schemeClr val="tx1"/>
            </a:solidFill>
          </a:ln>
        </xdr:spPr>
      </xdr:pic>
      <xdr:pic>
        <xdr:nvPicPr>
          <xdr:cNvPr id="54" name="Picture 53"/>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5641656" y="48958118"/>
            <a:ext cx="1348594" cy="1800000"/>
          </a:xfrm>
          <a:prstGeom prst="rect">
            <a:avLst/>
          </a:prstGeom>
          <a:ln>
            <a:solidFill>
              <a:schemeClr val="tx1"/>
            </a:solidFill>
          </a:ln>
        </xdr:spPr>
      </xdr:pic>
      <xdr:pic>
        <xdr:nvPicPr>
          <xdr:cNvPr id="55" name="Picture 54"/>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5435937" y="42468800"/>
            <a:ext cx="1537397" cy="2052000"/>
          </a:xfrm>
          <a:prstGeom prst="rect">
            <a:avLst/>
          </a:prstGeom>
          <a:ln>
            <a:solidFill>
              <a:schemeClr val="tx1"/>
            </a:solidFill>
          </a:ln>
        </xdr:spPr>
      </xdr:pic>
      <xdr:pic>
        <xdr:nvPicPr>
          <xdr:cNvPr id="56" name="Picture 55"/>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420362" y="44631906"/>
            <a:ext cx="1537397" cy="2052000"/>
          </a:xfrm>
          <a:prstGeom prst="rect">
            <a:avLst/>
          </a:prstGeom>
          <a:ln>
            <a:solidFill>
              <a:schemeClr val="tx1"/>
            </a:solidFill>
          </a:ln>
        </xdr:spPr>
      </xdr:pic>
      <xdr:pic>
        <xdr:nvPicPr>
          <xdr:cNvPr id="57" name="Picture 56"/>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2092221" y="44631906"/>
            <a:ext cx="1537397" cy="2052000"/>
          </a:xfrm>
          <a:prstGeom prst="rect">
            <a:avLst/>
          </a:prstGeom>
          <a:ln>
            <a:solidFill>
              <a:schemeClr val="tx1"/>
            </a:solidFill>
          </a:ln>
        </xdr:spPr>
      </xdr:pic>
      <xdr:pic>
        <xdr:nvPicPr>
          <xdr:cNvPr id="63" name="Picture 62"/>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1836691" y="48958118"/>
            <a:ext cx="2239251" cy="1800000"/>
          </a:xfrm>
          <a:prstGeom prst="rect">
            <a:avLst/>
          </a:prstGeom>
          <a:ln>
            <a:solidFill>
              <a:schemeClr val="tx1"/>
            </a:solidFill>
          </a:ln>
        </xdr:spPr>
      </xdr:pic>
      <xdr:pic>
        <xdr:nvPicPr>
          <xdr:cNvPr id="64" name="Picture 63"/>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3764079" y="42468800"/>
            <a:ext cx="1537397" cy="2052000"/>
          </a:xfrm>
          <a:prstGeom prst="rect">
            <a:avLst/>
          </a:prstGeom>
          <a:ln>
            <a:solidFill>
              <a:schemeClr val="tx1"/>
            </a:solidFill>
          </a:ln>
        </xdr:spPr>
      </xdr:pic>
      <xdr:pic>
        <xdr:nvPicPr>
          <xdr:cNvPr id="65" name="Picture 64"/>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3764078" y="46795012"/>
            <a:ext cx="1537397" cy="2052000"/>
          </a:xfrm>
          <a:prstGeom prst="rect">
            <a:avLst/>
          </a:prstGeom>
          <a:ln>
            <a:solidFill>
              <a:schemeClr val="tx1"/>
            </a:solidFill>
          </a:ln>
        </xdr:spPr>
      </xdr:pic>
      <xdr:pic>
        <xdr:nvPicPr>
          <xdr:cNvPr id="66" name="Picture 65"/>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2092221" y="42468800"/>
            <a:ext cx="1537397" cy="2052000"/>
          </a:xfrm>
          <a:prstGeom prst="rect">
            <a:avLst/>
          </a:prstGeom>
          <a:ln>
            <a:solidFill>
              <a:schemeClr val="tx1"/>
            </a:solidFill>
          </a:ln>
        </xdr:spPr>
      </xdr:pic>
      <xdr:pic>
        <xdr:nvPicPr>
          <xdr:cNvPr id="67" name="Picture 66"/>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420363" y="42468800"/>
            <a:ext cx="1537397" cy="2052000"/>
          </a:xfrm>
          <a:prstGeom prst="rect">
            <a:avLst/>
          </a:prstGeom>
          <a:ln>
            <a:solidFill>
              <a:schemeClr val="tx1"/>
            </a:solidFill>
          </a:ln>
        </xdr:spPr>
      </xdr:pic>
      <xdr:pic>
        <xdr:nvPicPr>
          <xdr:cNvPr id="68" name="Picture 67"/>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5435935" y="46795012"/>
            <a:ext cx="1537397" cy="2052000"/>
          </a:xfrm>
          <a:prstGeom prst="rect">
            <a:avLst/>
          </a:prstGeom>
          <a:ln>
            <a:solidFill>
              <a:schemeClr val="tx1"/>
            </a:solidFill>
          </a:ln>
        </xdr:spPr>
      </xdr:pic>
      <xdr:pic>
        <xdr:nvPicPr>
          <xdr:cNvPr id="69" name="Picture 68"/>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5435936" y="44631906"/>
            <a:ext cx="1537397" cy="2052000"/>
          </a:xfrm>
          <a:prstGeom prst="rect">
            <a:avLst/>
          </a:prstGeom>
          <a:ln>
            <a:solidFill>
              <a:schemeClr val="tx1"/>
            </a:solidFill>
          </a:ln>
        </xdr:spPr>
      </xdr:pic>
      <xdr:pic>
        <xdr:nvPicPr>
          <xdr:cNvPr id="70" name="Picture 69"/>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420362" y="46795012"/>
            <a:ext cx="1537397" cy="2052000"/>
          </a:xfrm>
          <a:prstGeom prst="rect">
            <a:avLst/>
          </a:prstGeom>
          <a:ln>
            <a:solidFill>
              <a:schemeClr val="tx1"/>
            </a:solidFill>
          </a:ln>
        </xdr:spPr>
      </xdr:pic>
      <xdr:pic>
        <xdr:nvPicPr>
          <xdr:cNvPr id="71" name="Picture 70"/>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2092220" y="46795012"/>
            <a:ext cx="1537397" cy="2052000"/>
          </a:xfrm>
          <a:prstGeom prst="rect">
            <a:avLst/>
          </a:prstGeom>
          <a:ln>
            <a:solidFill>
              <a:schemeClr val="tx1"/>
            </a:solidFill>
          </a:ln>
        </xdr:spPr>
      </xdr:pic>
      <xdr:pic>
        <xdr:nvPicPr>
          <xdr:cNvPr id="72" name="Picture 71"/>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a:ext>
            </a:extLst>
          </a:blip>
          <a:stretch>
            <a:fillRect/>
          </a:stretch>
        </xdr:blipFill>
        <xdr:spPr>
          <a:xfrm>
            <a:off x="3764079" y="44631906"/>
            <a:ext cx="1537397" cy="2052000"/>
          </a:xfrm>
          <a:prstGeom prst="rect">
            <a:avLst/>
          </a:prstGeom>
          <a:ln>
            <a:solidFill>
              <a:schemeClr val="tx1"/>
            </a:solidFill>
          </a:ln>
        </xdr:spPr>
      </xdr:pic>
      <xdr:pic>
        <xdr:nvPicPr>
          <xdr:cNvPr id="85" name="Picture 84"/>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a:ext>
            </a:extLst>
          </a:blip>
          <a:stretch>
            <a:fillRect/>
          </a:stretch>
        </xdr:blipFill>
        <xdr:spPr>
          <a:xfrm>
            <a:off x="374650" y="48958118"/>
            <a:ext cx="1348594" cy="1800000"/>
          </a:xfrm>
          <a:prstGeom prst="rect">
            <a:avLst/>
          </a:prstGeom>
          <a:ln>
            <a:solidFill>
              <a:schemeClr val="tx1"/>
            </a:solidFill>
          </a:ln>
        </xdr:spPr>
      </xdr:pic>
      <xdr:sp macro="" textlink="">
        <xdr:nvSpPr>
          <xdr:cNvPr id="86" name="TextBox 85"/>
          <xdr:cNvSpPr txBox="1"/>
        </xdr:nvSpPr>
        <xdr:spPr>
          <a:xfrm>
            <a:off x="845813" y="44005500"/>
            <a:ext cx="7387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rgbClr val="FFFF00"/>
                </a:solidFill>
                <a:effectLst>
                  <a:outerShdw blurRad="38100" dist="25400" dir="5400000" algn="ctr" rotWithShape="0">
                    <a:srgbClr val="6E747A">
                      <a:alpha val="43000"/>
                    </a:srgbClr>
                  </a:outerShdw>
                </a:effectLst>
              </a:rPr>
              <a:t>Bldg No.1</a:t>
            </a:r>
          </a:p>
        </xdr:txBody>
      </xdr:sp>
      <xdr:sp macro="" textlink="">
        <xdr:nvSpPr>
          <xdr:cNvPr id="87" name="TextBox 86"/>
          <xdr:cNvSpPr txBox="1"/>
        </xdr:nvSpPr>
        <xdr:spPr>
          <a:xfrm>
            <a:off x="2797071" y="44043600"/>
            <a:ext cx="7387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rgbClr val="FFFF00"/>
                </a:solidFill>
                <a:effectLst>
                  <a:outerShdw blurRad="38100" dist="25400" dir="5400000" algn="ctr" rotWithShape="0">
                    <a:srgbClr val="6E747A">
                      <a:alpha val="43000"/>
                    </a:srgbClr>
                  </a:outerShdw>
                </a:effectLst>
              </a:rPr>
              <a:t>Bldg No.1</a:t>
            </a:r>
          </a:p>
        </xdr:txBody>
      </xdr:sp>
      <xdr:sp macro="" textlink="">
        <xdr:nvSpPr>
          <xdr:cNvPr id="88" name="TextBox 87"/>
          <xdr:cNvSpPr txBox="1"/>
        </xdr:nvSpPr>
        <xdr:spPr>
          <a:xfrm>
            <a:off x="4227629" y="43929300"/>
            <a:ext cx="7387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rgbClr val="FFFF00"/>
                </a:solidFill>
                <a:effectLst>
                  <a:outerShdw blurRad="38100" dist="25400" dir="5400000" algn="ctr" rotWithShape="0">
                    <a:srgbClr val="6E747A">
                      <a:alpha val="43000"/>
                    </a:srgbClr>
                  </a:outerShdw>
                </a:effectLst>
              </a:rPr>
              <a:t>Bldg No.1</a:t>
            </a:r>
          </a:p>
        </xdr:txBody>
      </xdr:sp>
      <xdr:sp macro="" textlink="">
        <xdr:nvSpPr>
          <xdr:cNvPr id="89" name="TextBox 88"/>
          <xdr:cNvSpPr txBox="1"/>
        </xdr:nvSpPr>
        <xdr:spPr>
          <a:xfrm>
            <a:off x="5816937" y="43935650"/>
            <a:ext cx="8203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rgbClr val="FFFF00"/>
                </a:solidFill>
                <a:effectLst>
                  <a:outerShdw blurRad="38100" dist="25400" dir="5400000" algn="ctr" rotWithShape="0">
                    <a:srgbClr val="6E747A">
                      <a:alpha val="43000"/>
                    </a:srgbClr>
                  </a:outerShdw>
                </a:effectLst>
              </a:rPr>
              <a:t>Bldg No.2A</a:t>
            </a:r>
          </a:p>
        </xdr:txBody>
      </xdr:sp>
      <xdr:sp macro="" textlink="">
        <xdr:nvSpPr>
          <xdr:cNvPr id="90" name="TextBox 89"/>
          <xdr:cNvSpPr txBox="1"/>
        </xdr:nvSpPr>
        <xdr:spPr>
          <a:xfrm>
            <a:off x="718812" y="46111456"/>
            <a:ext cx="8203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rgbClr val="FFFF00"/>
                </a:solidFill>
                <a:effectLst>
                  <a:outerShdw blurRad="38100" dist="25400" dir="5400000" algn="ctr" rotWithShape="0">
                    <a:srgbClr val="6E747A">
                      <a:alpha val="43000"/>
                    </a:srgbClr>
                  </a:outerShdw>
                </a:effectLst>
              </a:rPr>
              <a:t>Bldg No.2A</a:t>
            </a:r>
          </a:p>
        </xdr:txBody>
      </xdr:sp>
      <xdr:sp macro="" textlink="">
        <xdr:nvSpPr>
          <xdr:cNvPr id="91" name="TextBox 90"/>
          <xdr:cNvSpPr txBox="1"/>
        </xdr:nvSpPr>
        <xdr:spPr>
          <a:xfrm>
            <a:off x="2454171" y="46136856"/>
            <a:ext cx="8203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rgbClr val="FFFF00"/>
                </a:solidFill>
                <a:effectLst>
                  <a:outerShdw blurRad="38100" dist="25400" dir="5400000" algn="ctr" rotWithShape="0">
                    <a:srgbClr val="6E747A">
                      <a:alpha val="43000"/>
                    </a:srgbClr>
                  </a:outerShdw>
                </a:effectLst>
              </a:rPr>
              <a:t>Bldg No.2B</a:t>
            </a:r>
          </a:p>
        </xdr:txBody>
      </xdr:sp>
      <xdr:sp macro="" textlink="">
        <xdr:nvSpPr>
          <xdr:cNvPr id="92" name="TextBox 91"/>
          <xdr:cNvSpPr txBox="1"/>
        </xdr:nvSpPr>
        <xdr:spPr>
          <a:xfrm>
            <a:off x="3916479" y="46143206"/>
            <a:ext cx="8203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rgbClr val="FFFF00"/>
                </a:solidFill>
                <a:effectLst>
                  <a:outerShdw blurRad="38100" dist="25400" dir="5400000" algn="ctr" rotWithShape="0">
                    <a:srgbClr val="6E747A">
                      <a:alpha val="43000"/>
                    </a:srgbClr>
                  </a:outerShdw>
                </a:effectLst>
              </a:rPr>
              <a:t>Bldg No.2B</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8294</xdr:colOff>
      <xdr:row>9</xdr:row>
      <xdr:rowOff>0</xdr:rowOff>
    </xdr:from>
    <xdr:to>
      <xdr:col>6</xdr:col>
      <xdr:colOff>10619</xdr:colOff>
      <xdr:row>27</xdr:row>
      <xdr:rowOff>171000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89319" y="2667000"/>
          <a:ext cx="6403125" cy="3600000"/>
        </a:xfrm>
        <a:prstGeom prst="rect">
          <a:avLst/>
        </a:prstGeom>
        <a:ln>
          <a:solidFill>
            <a:schemeClr val="tx1"/>
          </a:solidFill>
        </a:ln>
      </xdr:spPr>
    </xdr:pic>
    <xdr:clientData/>
  </xdr:twoCellAnchor>
  <xdr:twoCellAnchor editAs="oneCell">
    <xdr:from>
      <xdr:col>1</xdr:col>
      <xdr:colOff>0</xdr:colOff>
      <xdr:row>28</xdr:row>
      <xdr:rowOff>84953</xdr:rowOff>
    </xdr:from>
    <xdr:to>
      <xdr:col>6</xdr:col>
      <xdr:colOff>2325</xdr:colOff>
      <xdr:row>47</xdr:row>
      <xdr:rowOff>65453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81025" y="6371453"/>
          <a:ext cx="6403125" cy="3600000"/>
        </a:xfrm>
        <a:prstGeom prst="rect">
          <a:avLst/>
        </a:prstGeom>
        <a:ln>
          <a:solidFill>
            <a:schemeClr val="tx1"/>
          </a:solidFill>
        </a:ln>
      </xdr:spPr>
    </xdr:pic>
    <xdr:clientData/>
  </xdr:twoCellAnchor>
  <xdr:twoCellAnchor editAs="oneCell">
    <xdr:from>
      <xdr:col>7</xdr:col>
      <xdr:colOff>74399</xdr:colOff>
      <xdr:row>23</xdr:row>
      <xdr:rowOff>39538</xdr:rowOff>
    </xdr:from>
    <xdr:to>
      <xdr:col>12</xdr:col>
      <xdr:colOff>496799</xdr:colOff>
      <xdr:row>34</xdr:row>
      <xdr:rowOff>104038</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8389724" y="4421038"/>
          <a:ext cx="3841875" cy="2160000"/>
        </a:xfrm>
        <a:prstGeom prst="rect">
          <a:avLst/>
        </a:prstGeom>
        <a:ln>
          <a:solidFill>
            <a:schemeClr val="tx1"/>
          </a:solidFill>
        </a:ln>
      </xdr:spPr>
    </xdr:pic>
    <xdr:clientData/>
  </xdr:twoCellAnchor>
  <xdr:twoCellAnchor editAs="oneCell">
    <xdr:from>
      <xdr:col>13</xdr:col>
      <xdr:colOff>272837</xdr:colOff>
      <xdr:row>23</xdr:row>
      <xdr:rowOff>39538</xdr:rowOff>
    </xdr:from>
    <xdr:to>
      <xdr:col>20</xdr:col>
      <xdr:colOff>47537</xdr:colOff>
      <xdr:row>34</xdr:row>
      <xdr:rowOff>104038</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12588662" y="4421038"/>
          <a:ext cx="3841875" cy="2160000"/>
        </a:xfrm>
        <a:prstGeom prst="rect">
          <a:avLst/>
        </a:prstGeom>
        <a:ln>
          <a:solidFill>
            <a:schemeClr val="tx1"/>
          </a:solidFill>
        </a:ln>
      </xdr:spPr>
    </xdr:pic>
    <xdr:clientData/>
  </xdr:twoCellAnchor>
  <xdr:twoCellAnchor editAs="oneCell">
    <xdr:from>
      <xdr:col>7</xdr:col>
      <xdr:colOff>0</xdr:colOff>
      <xdr:row>10</xdr:row>
      <xdr:rowOff>0</xdr:rowOff>
    </xdr:from>
    <xdr:to>
      <xdr:col>12</xdr:col>
      <xdr:colOff>422400</xdr:colOff>
      <xdr:row>21</xdr:row>
      <xdr:rowOff>64500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8315325" y="1905000"/>
          <a:ext cx="3841875" cy="2160000"/>
        </a:xfrm>
        <a:prstGeom prst="rect">
          <a:avLst/>
        </a:prstGeom>
        <a:ln>
          <a:solidFill>
            <a:schemeClr val="tx1"/>
          </a:solidFill>
        </a:ln>
      </xdr:spPr>
    </xdr:pic>
    <xdr:clientData/>
  </xdr:twoCellAnchor>
  <xdr:twoCellAnchor editAs="oneCell">
    <xdr:from>
      <xdr:col>13</xdr:col>
      <xdr:colOff>272838</xdr:colOff>
      <xdr:row>10</xdr:row>
      <xdr:rowOff>0</xdr:rowOff>
    </xdr:from>
    <xdr:to>
      <xdr:col>20</xdr:col>
      <xdr:colOff>47538</xdr:colOff>
      <xdr:row>21</xdr:row>
      <xdr:rowOff>64500</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2588663" y="1905000"/>
          <a:ext cx="3841875" cy="2160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25</xdr:row>
      <xdr:rowOff>0</xdr:rowOff>
    </xdr:from>
    <xdr:to>
      <xdr:col>7</xdr:col>
      <xdr:colOff>296606</xdr:colOff>
      <xdr:row>36</xdr:row>
      <xdr:rowOff>64500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4048125" y="3048000"/>
          <a:ext cx="1620581" cy="2160000"/>
        </a:xfrm>
        <a:prstGeom prst="rect">
          <a:avLst/>
        </a:prstGeom>
        <a:ln>
          <a:solidFill>
            <a:schemeClr val="tx1"/>
          </a:solidFill>
        </a:ln>
      </xdr:spPr>
    </xdr:pic>
    <xdr:clientData/>
  </xdr:twoCellAnchor>
  <xdr:twoCellAnchor editAs="oneCell">
    <xdr:from>
      <xdr:col>7</xdr:col>
      <xdr:colOff>415045</xdr:colOff>
      <xdr:row>25</xdr:row>
      <xdr:rowOff>6843</xdr:rowOff>
    </xdr:from>
    <xdr:to>
      <xdr:col>9</xdr:col>
      <xdr:colOff>311601</xdr:colOff>
      <xdr:row>36</xdr:row>
      <xdr:rowOff>71343</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5787145" y="3054843"/>
          <a:ext cx="1620581" cy="2160000"/>
        </a:xfrm>
        <a:prstGeom prst="rect">
          <a:avLst/>
        </a:prstGeom>
        <a:ln>
          <a:solidFill>
            <a:schemeClr val="tx1"/>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167640</xdr:colOff>
      <xdr:row>1</xdr:row>
      <xdr:rowOff>53340</xdr:rowOff>
    </xdr:from>
    <xdr:to>
      <xdr:col>32</xdr:col>
      <xdr:colOff>375564</xdr:colOff>
      <xdr:row>39</xdr:row>
      <xdr:rowOff>128626</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7444740" y="228600"/>
          <a:ext cx="13329564" cy="6735166"/>
        </a:xfrm>
        <a:prstGeom prst="rect">
          <a:avLst/>
        </a:prstGeom>
      </xdr:spPr>
    </xdr:pic>
    <xdr:clientData/>
  </xdr:twoCellAnchor>
  <xdr:twoCellAnchor editAs="oneCell">
    <xdr:from>
      <xdr:col>6</xdr:col>
      <xdr:colOff>327713</xdr:colOff>
      <xdr:row>6</xdr:row>
      <xdr:rowOff>0</xdr:rowOff>
    </xdr:from>
    <xdr:to>
      <xdr:col>10</xdr:col>
      <xdr:colOff>529322</xdr:colOff>
      <xdr:row>26</xdr:row>
      <xdr:rowOff>94800</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80613" y="1051560"/>
          <a:ext cx="2700969" cy="3600000"/>
        </a:xfrm>
        <a:prstGeom prst="rect">
          <a:avLst/>
        </a:prstGeom>
      </xdr:spPr>
    </xdr:pic>
    <xdr:clientData/>
  </xdr:twoCellAnchor>
  <xdr:twoCellAnchor editAs="oneCell">
    <xdr:from>
      <xdr:col>2</xdr:col>
      <xdr:colOff>0</xdr:colOff>
      <xdr:row>6</xdr:row>
      <xdr:rowOff>8852</xdr:rowOff>
    </xdr:from>
    <xdr:to>
      <xdr:col>6</xdr:col>
      <xdr:colOff>201609</xdr:colOff>
      <xdr:row>26</xdr:row>
      <xdr:rowOff>103652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53540" y="1060412"/>
          <a:ext cx="2700969" cy="36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ts9zvAFuMGKiU1Tp6"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5"/>
  <sheetViews>
    <sheetView tabSelected="1" view="pageBreakPreview" topLeftCell="A215" zoomScaleNormal="100" zoomScaleSheetLayoutView="100" workbookViewId="0">
      <selection activeCell="A217" sqref="A217:J220"/>
    </sheetView>
  </sheetViews>
  <sheetFormatPr defaultRowHeight="15.5" x14ac:dyDescent="0.35"/>
  <cols>
    <col min="1" max="1" width="9.26953125" style="54" customWidth="1"/>
    <col min="2" max="2" width="11.26953125" style="54" customWidth="1"/>
    <col min="3" max="3" width="14.7265625" style="54" customWidth="1"/>
    <col min="4" max="4" width="7.26953125" style="54" customWidth="1"/>
    <col min="5" max="5" width="7.453125" style="54" customWidth="1"/>
    <col min="6" max="6" width="9.81640625" style="54" customWidth="1"/>
    <col min="7" max="7" width="11" style="54" customWidth="1"/>
    <col min="8" max="8" width="10.54296875" style="54" customWidth="1"/>
    <col min="9" max="9" width="10.7265625" style="54" customWidth="1"/>
    <col min="10" max="10" width="13.81640625" style="54" customWidth="1"/>
    <col min="11" max="11" width="3.54296875" style="54" customWidth="1"/>
    <col min="12" max="13" width="9.1796875" style="54"/>
    <col min="14" max="14" width="11.81640625" style="54" bestFit="1" customWidth="1"/>
    <col min="15" max="256" width="9.1796875" style="54"/>
    <col min="257" max="257" width="8.7265625" style="54" customWidth="1"/>
    <col min="258" max="258" width="9.81640625" style="54" customWidth="1"/>
    <col min="259" max="259" width="14.453125" style="54" customWidth="1"/>
    <col min="260" max="260" width="7.26953125" style="54" customWidth="1"/>
    <col min="261" max="261" width="5.54296875" style="54" customWidth="1"/>
    <col min="262" max="262" width="9" style="54" customWidth="1"/>
    <col min="263" max="264" width="9.81640625" style="54" customWidth="1"/>
    <col min="265" max="265" width="11.1796875" style="54" customWidth="1"/>
    <col min="266" max="266" width="2.81640625" style="54" customWidth="1"/>
    <col min="267" max="267" width="3.54296875" style="54" customWidth="1"/>
    <col min="268" max="512" width="9.1796875" style="54"/>
    <col min="513" max="513" width="8.7265625" style="54" customWidth="1"/>
    <col min="514" max="514" width="9.81640625" style="54" customWidth="1"/>
    <col min="515" max="515" width="14.453125" style="54" customWidth="1"/>
    <col min="516" max="516" width="7.26953125" style="54" customWidth="1"/>
    <col min="517" max="517" width="5.54296875" style="54" customWidth="1"/>
    <col min="518" max="518" width="9" style="54" customWidth="1"/>
    <col min="519" max="520" width="9.81640625" style="54" customWidth="1"/>
    <col min="521" max="521" width="11.1796875" style="54" customWidth="1"/>
    <col min="522" max="522" width="2.81640625" style="54" customWidth="1"/>
    <col min="523" max="523" width="3.54296875" style="54" customWidth="1"/>
    <col min="524" max="768" width="9.1796875" style="54"/>
    <col min="769" max="769" width="8.7265625" style="54" customWidth="1"/>
    <col min="770" max="770" width="9.81640625" style="54" customWidth="1"/>
    <col min="771" max="771" width="14.453125" style="54" customWidth="1"/>
    <col min="772" max="772" width="7.26953125" style="54" customWidth="1"/>
    <col min="773" max="773" width="5.54296875" style="54" customWidth="1"/>
    <col min="774" max="774" width="9" style="54" customWidth="1"/>
    <col min="775" max="776" width="9.81640625" style="54" customWidth="1"/>
    <col min="777" max="777" width="11.1796875" style="54" customWidth="1"/>
    <col min="778" max="778" width="2.81640625" style="54" customWidth="1"/>
    <col min="779" max="779" width="3.54296875" style="54" customWidth="1"/>
    <col min="780" max="1024" width="9.1796875" style="54"/>
    <col min="1025" max="1025" width="8.7265625" style="54" customWidth="1"/>
    <col min="1026" max="1026" width="9.81640625" style="54" customWidth="1"/>
    <col min="1027" max="1027" width="14.453125" style="54" customWidth="1"/>
    <col min="1028" max="1028" width="7.26953125" style="54" customWidth="1"/>
    <col min="1029" max="1029" width="5.54296875" style="54" customWidth="1"/>
    <col min="1030" max="1030" width="9" style="54" customWidth="1"/>
    <col min="1031" max="1032" width="9.81640625" style="54" customWidth="1"/>
    <col min="1033" max="1033" width="11.1796875" style="54" customWidth="1"/>
    <col min="1034" max="1034" width="2.81640625" style="54" customWidth="1"/>
    <col min="1035" max="1035" width="3.54296875" style="54" customWidth="1"/>
    <col min="1036" max="1280" width="9.1796875" style="54"/>
    <col min="1281" max="1281" width="8.7265625" style="54" customWidth="1"/>
    <col min="1282" max="1282" width="9.81640625" style="54" customWidth="1"/>
    <col min="1283" max="1283" width="14.453125" style="54" customWidth="1"/>
    <col min="1284" max="1284" width="7.26953125" style="54" customWidth="1"/>
    <col min="1285" max="1285" width="5.54296875" style="54" customWidth="1"/>
    <col min="1286" max="1286" width="9" style="54" customWidth="1"/>
    <col min="1287" max="1288" width="9.81640625" style="54" customWidth="1"/>
    <col min="1289" max="1289" width="11.1796875" style="54" customWidth="1"/>
    <col min="1290" max="1290" width="2.81640625" style="54" customWidth="1"/>
    <col min="1291" max="1291" width="3.54296875" style="54" customWidth="1"/>
    <col min="1292" max="1536" width="9.1796875" style="54"/>
    <col min="1537" max="1537" width="8.7265625" style="54" customWidth="1"/>
    <col min="1538" max="1538" width="9.81640625" style="54" customWidth="1"/>
    <col min="1539" max="1539" width="14.453125" style="54" customWidth="1"/>
    <col min="1540" max="1540" width="7.26953125" style="54" customWidth="1"/>
    <col min="1541" max="1541" width="5.54296875" style="54" customWidth="1"/>
    <col min="1542" max="1542" width="9" style="54" customWidth="1"/>
    <col min="1543" max="1544" width="9.81640625" style="54" customWidth="1"/>
    <col min="1545" max="1545" width="11.1796875" style="54" customWidth="1"/>
    <col min="1546" max="1546" width="2.81640625" style="54" customWidth="1"/>
    <col min="1547" max="1547" width="3.54296875" style="54" customWidth="1"/>
    <col min="1548" max="1792" width="9.1796875" style="54"/>
    <col min="1793" max="1793" width="8.7265625" style="54" customWidth="1"/>
    <col min="1794" max="1794" width="9.81640625" style="54" customWidth="1"/>
    <col min="1795" max="1795" width="14.453125" style="54" customWidth="1"/>
    <col min="1796" max="1796" width="7.26953125" style="54" customWidth="1"/>
    <col min="1797" max="1797" width="5.54296875" style="54" customWidth="1"/>
    <col min="1798" max="1798" width="9" style="54" customWidth="1"/>
    <col min="1799" max="1800" width="9.81640625" style="54" customWidth="1"/>
    <col min="1801" max="1801" width="11.1796875" style="54" customWidth="1"/>
    <col min="1802" max="1802" width="2.81640625" style="54" customWidth="1"/>
    <col min="1803" max="1803" width="3.54296875" style="54" customWidth="1"/>
    <col min="1804" max="2048" width="9.1796875" style="54"/>
    <col min="2049" max="2049" width="8.7265625" style="54" customWidth="1"/>
    <col min="2050" max="2050" width="9.81640625" style="54" customWidth="1"/>
    <col min="2051" max="2051" width="14.453125" style="54" customWidth="1"/>
    <col min="2052" max="2052" width="7.26953125" style="54" customWidth="1"/>
    <col min="2053" max="2053" width="5.54296875" style="54" customWidth="1"/>
    <col min="2054" max="2054" width="9" style="54" customWidth="1"/>
    <col min="2055" max="2056" width="9.81640625" style="54" customWidth="1"/>
    <col min="2057" max="2057" width="11.1796875" style="54" customWidth="1"/>
    <col min="2058" max="2058" width="2.81640625" style="54" customWidth="1"/>
    <col min="2059" max="2059" width="3.54296875" style="54" customWidth="1"/>
    <col min="2060" max="2304" width="9.1796875" style="54"/>
    <col min="2305" max="2305" width="8.7265625" style="54" customWidth="1"/>
    <col min="2306" max="2306" width="9.81640625" style="54" customWidth="1"/>
    <col min="2307" max="2307" width="14.453125" style="54" customWidth="1"/>
    <col min="2308" max="2308" width="7.26953125" style="54" customWidth="1"/>
    <col min="2309" max="2309" width="5.54296875" style="54" customWidth="1"/>
    <col min="2310" max="2310" width="9" style="54" customWidth="1"/>
    <col min="2311" max="2312" width="9.81640625" style="54" customWidth="1"/>
    <col min="2313" max="2313" width="11.1796875" style="54" customWidth="1"/>
    <col min="2314" max="2314" width="2.81640625" style="54" customWidth="1"/>
    <col min="2315" max="2315" width="3.54296875" style="54" customWidth="1"/>
    <col min="2316" max="2560" width="9.1796875" style="54"/>
    <col min="2561" max="2561" width="8.7265625" style="54" customWidth="1"/>
    <col min="2562" max="2562" width="9.81640625" style="54" customWidth="1"/>
    <col min="2563" max="2563" width="14.453125" style="54" customWidth="1"/>
    <col min="2564" max="2564" width="7.26953125" style="54" customWidth="1"/>
    <col min="2565" max="2565" width="5.54296875" style="54" customWidth="1"/>
    <col min="2566" max="2566" width="9" style="54" customWidth="1"/>
    <col min="2567" max="2568" width="9.81640625" style="54" customWidth="1"/>
    <col min="2569" max="2569" width="11.1796875" style="54" customWidth="1"/>
    <col min="2570" max="2570" width="2.81640625" style="54" customWidth="1"/>
    <col min="2571" max="2571" width="3.54296875" style="54" customWidth="1"/>
    <col min="2572" max="2816" width="9.1796875" style="54"/>
    <col min="2817" max="2817" width="8.7265625" style="54" customWidth="1"/>
    <col min="2818" max="2818" width="9.81640625" style="54" customWidth="1"/>
    <col min="2819" max="2819" width="14.453125" style="54" customWidth="1"/>
    <col min="2820" max="2820" width="7.26953125" style="54" customWidth="1"/>
    <col min="2821" max="2821" width="5.54296875" style="54" customWidth="1"/>
    <col min="2822" max="2822" width="9" style="54" customWidth="1"/>
    <col min="2823" max="2824" width="9.81640625" style="54" customWidth="1"/>
    <col min="2825" max="2825" width="11.1796875" style="54" customWidth="1"/>
    <col min="2826" max="2826" width="2.81640625" style="54" customWidth="1"/>
    <col min="2827" max="2827" width="3.54296875" style="54" customWidth="1"/>
    <col min="2828" max="3072" width="9.1796875" style="54"/>
    <col min="3073" max="3073" width="8.7265625" style="54" customWidth="1"/>
    <col min="3074" max="3074" width="9.81640625" style="54" customWidth="1"/>
    <col min="3075" max="3075" width="14.453125" style="54" customWidth="1"/>
    <col min="3076" max="3076" width="7.26953125" style="54" customWidth="1"/>
    <col min="3077" max="3077" width="5.54296875" style="54" customWidth="1"/>
    <col min="3078" max="3078" width="9" style="54" customWidth="1"/>
    <col min="3079" max="3080" width="9.81640625" style="54" customWidth="1"/>
    <col min="3081" max="3081" width="11.1796875" style="54" customWidth="1"/>
    <col min="3082" max="3082" width="2.81640625" style="54" customWidth="1"/>
    <col min="3083" max="3083" width="3.54296875" style="54" customWidth="1"/>
    <col min="3084" max="3328" width="9.1796875" style="54"/>
    <col min="3329" max="3329" width="8.7265625" style="54" customWidth="1"/>
    <col min="3330" max="3330" width="9.81640625" style="54" customWidth="1"/>
    <col min="3331" max="3331" width="14.453125" style="54" customWidth="1"/>
    <col min="3332" max="3332" width="7.26953125" style="54" customWidth="1"/>
    <col min="3333" max="3333" width="5.54296875" style="54" customWidth="1"/>
    <col min="3334" max="3334" width="9" style="54" customWidth="1"/>
    <col min="3335" max="3336" width="9.81640625" style="54" customWidth="1"/>
    <col min="3337" max="3337" width="11.1796875" style="54" customWidth="1"/>
    <col min="3338" max="3338" width="2.81640625" style="54" customWidth="1"/>
    <col min="3339" max="3339" width="3.54296875" style="54" customWidth="1"/>
    <col min="3340" max="3584" width="9.1796875" style="54"/>
    <col min="3585" max="3585" width="8.7265625" style="54" customWidth="1"/>
    <col min="3586" max="3586" width="9.81640625" style="54" customWidth="1"/>
    <col min="3587" max="3587" width="14.453125" style="54" customWidth="1"/>
    <col min="3588" max="3588" width="7.26953125" style="54" customWidth="1"/>
    <col min="3589" max="3589" width="5.54296875" style="54" customWidth="1"/>
    <col min="3590" max="3590" width="9" style="54" customWidth="1"/>
    <col min="3591" max="3592" width="9.81640625" style="54" customWidth="1"/>
    <col min="3593" max="3593" width="11.1796875" style="54" customWidth="1"/>
    <col min="3594" max="3594" width="2.81640625" style="54" customWidth="1"/>
    <col min="3595" max="3595" width="3.54296875" style="54" customWidth="1"/>
    <col min="3596" max="3840" width="9.1796875" style="54"/>
    <col min="3841" max="3841" width="8.7265625" style="54" customWidth="1"/>
    <col min="3842" max="3842" width="9.81640625" style="54" customWidth="1"/>
    <col min="3843" max="3843" width="14.453125" style="54" customWidth="1"/>
    <col min="3844" max="3844" width="7.26953125" style="54" customWidth="1"/>
    <col min="3845" max="3845" width="5.54296875" style="54" customWidth="1"/>
    <col min="3846" max="3846" width="9" style="54" customWidth="1"/>
    <col min="3847" max="3848" width="9.81640625" style="54" customWidth="1"/>
    <col min="3849" max="3849" width="11.1796875" style="54" customWidth="1"/>
    <col min="3850" max="3850" width="2.81640625" style="54" customWidth="1"/>
    <col min="3851" max="3851" width="3.54296875" style="54" customWidth="1"/>
    <col min="3852" max="4096" width="9.1796875" style="54"/>
    <col min="4097" max="4097" width="8.7265625" style="54" customWidth="1"/>
    <col min="4098" max="4098" width="9.81640625" style="54" customWidth="1"/>
    <col min="4099" max="4099" width="14.453125" style="54" customWidth="1"/>
    <col min="4100" max="4100" width="7.26953125" style="54" customWidth="1"/>
    <col min="4101" max="4101" width="5.54296875" style="54" customWidth="1"/>
    <col min="4102" max="4102" width="9" style="54" customWidth="1"/>
    <col min="4103" max="4104" width="9.81640625" style="54" customWidth="1"/>
    <col min="4105" max="4105" width="11.1796875" style="54" customWidth="1"/>
    <col min="4106" max="4106" width="2.81640625" style="54" customWidth="1"/>
    <col min="4107" max="4107" width="3.54296875" style="54" customWidth="1"/>
    <col min="4108" max="4352" width="9.1796875" style="54"/>
    <col min="4353" max="4353" width="8.7265625" style="54" customWidth="1"/>
    <col min="4354" max="4354" width="9.81640625" style="54" customWidth="1"/>
    <col min="4355" max="4355" width="14.453125" style="54" customWidth="1"/>
    <col min="4356" max="4356" width="7.26953125" style="54" customWidth="1"/>
    <col min="4357" max="4357" width="5.54296875" style="54" customWidth="1"/>
    <col min="4358" max="4358" width="9" style="54" customWidth="1"/>
    <col min="4359" max="4360" width="9.81640625" style="54" customWidth="1"/>
    <col min="4361" max="4361" width="11.1796875" style="54" customWidth="1"/>
    <col min="4362" max="4362" width="2.81640625" style="54" customWidth="1"/>
    <col min="4363" max="4363" width="3.54296875" style="54" customWidth="1"/>
    <col min="4364" max="4608" width="9.1796875" style="54"/>
    <col min="4609" max="4609" width="8.7265625" style="54" customWidth="1"/>
    <col min="4610" max="4610" width="9.81640625" style="54" customWidth="1"/>
    <col min="4611" max="4611" width="14.453125" style="54" customWidth="1"/>
    <col min="4612" max="4612" width="7.26953125" style="54" customWidth="1"/>
    <col min="4613" max="4613" width="5.54296875" style="54" customWidth="1"/>
    <col min="4614" max="4614" width="9" style="54" customWidth="1"/>
    <col min="4615" max="4616" width="9.81640625" style="54" customWidth="1"/>
    <col min="4617" max="4617" width="11.1796875" style="54" customWidth="1"/>
    <col min="4618" max="4618" width="2.81640625" style="54" customWidth="1"/>
    <col min="4619" max="4619" width="3.54296875" style="54" customWidth="1"/>
    <col min="4620" max="4864" width="9.1796875" style="54"/>
    <col min="4865" max="4865" width="8.7265625" style="54" customWidth="1"/>
    <col min="4866" max="4866" width="9.81640625" style="54" customWidth="1"/>
    <col min="4867" max="4867" width="14.453125" style="54" customWidth="1"/>
    <col min="4868" max="4868" width="7.26953125" style="54" customWidth="1"/>
    <col min="4869" max="4869" width="5.54296875" style="54" customWidth="1"/>
    <col min="4870" max="4870" width="9" style="54" customWidth="1"/>
    <col min="4871" max="4872" width="9.81640625" style="54" customWidth="1"/>
    <col min="4873" max="4873" width="11.1796875" style="54" customWidth="1"/>
    <col min="4874" max="4874" width="2.81640625" style="54" customWidth="1"/>
    <col min="4875" max="4875" width="3.54296875" style="54" customWidth="1"/>
    <col min="4876" max="5120" width="9.1796875" style="54"/>
    <col min="5121" max="5121" width="8.7265625" style="54" customWidth="1"/>
    <col min="5122" max="5122" width="9.81640625" style="54" customWidth="1"/>
    <col min="5123" max="5123" width="14.453125" style="54" customWidth="1"/>
    <col min="5124" max="5124" width="7.26953125" style="54" customWidth="1"/>
    <col min="5125" max="5125" width="5.54296875" style="54" customWidth="1"/>
    <col min="5126" max="5126" width="9" style="54" customWidth="1"/>
    <col min="5127" max="5128" width="9.81640625" style="54" customWidth="1"/>
    <col min="5129" max="5129" width="11.1796875" style="54" customWidth="1"/>
    <col min="5130" max="5130" width="2.81640625" style="54" customWidth="1"/>
    <col min="5131" max="5131" width="3.54296875" style="54" customWidth="1"/>
    <col min="5132" max="5376" width="9.1796875" style="54"/>
    <col min="5377" max="5377" width="8.7265625" style="54" customWidth="1"/>
    <col min="5378" max="5378" width="9.81640625" style="54" customWidth="1"/>
    <col min="5379" max="5379" width="14.453125" style="54" customWidth="1"/>
    <col min="5380" max="5380" width="7.26953125" style="54" customWidth="1"/>
    <col min="5381" max="5381" width="5.54296875" style="54" customWidth="1"/>
    <col min="5382" max="5382" width="9" style="54" customWidth="1"/>
    <col min="5383" max="5384" width="9.81640625" style="54" customWidth="1"/>
    <col min="5385" max="5385" width="11.1796875" style="54" customWidth="1"/>
    <col min="5386" max="5386" width="2.81640625" style="54" customWidth="1"/>
    <col min="5387" max="5387" width="3.54296875" style="54" customWidth="1"/>
    <col min="5388" max="5632" width="9.1796875" style="54"/>
    <col min="5633" max="5633" width="8.7265625" style="54" customWidth="1"/>
    <col min="5634" max="5634" width="9.81640625" style="54" customWidth="1"/>
    <col min="5635" max="5635" width="14.453125" style="54" customWidth="1"/>
    <col min="5636" max="5636" width="7.26953125" style="54" customWidth="1"/>
    <col min="5637" max="5637" width="5.54296875" style="54" customWidth="1"/>
    <col min="5638" max="5638" width="9" style="54" customWidth="1"/>
    <col min="5639" max="5640" width="9.81640625" style="54" customWidth="1"/>
    <col min="5641" max="5641" width="11.1796875" style="54" customWidth="1"/>
    <col min="5642" max="5642" width="2.81640625" style="54" customWidth="1"/>
    <col min="5643" max="5643" width="3.54296875" style="54" customWidth="1"/>
    <col min="5644" max="5888" width="9.1796875" style="54"/>
    <col min="5889" max="5889" width="8.7265625" style="54" customWidth="1"/>
    <col min="5890" max="5890" width="9.81640625" style="54" customWidth="1"/>
    <col min="5891" max="5891" width="14.453125" style="54" customWidth="1"/>
    <col min="5892" max="5892" width="7.26953125" style="54" customWidth="1"/>
    <col min="5893" max="5893" width="5.54296875" style="54" customWidth="1"/>
    <col min="5894" max="5894" width="9" style="54" customWidth="1"/>
    <col min="5895" max="5896" width="9.81640625" style="54" customWidth="1"/>
    <col min="5897" max="5897" width="11.1796875" style="54" customWidth="1"/>
    <col min="5898" max="5898" width="2.81640625" style="54" customWidth="1"/>
    <col min="5899" max="5899" width="3.54296875" style="54" customWidth="1"/>
    <col min="5900" max="6144" width="9.1796875" style="54"/>
    <col min="6145" max="6145" width="8.7265625" style="54" customWidth="1"/>
    <col min="6146" max="6146" width="9.81640625" style="54" customWidth="1"/>
    <col min="6147" max="6147" width="14.453125" style="54" customWidth="1"/>
    <col min="6148" max="6148" width="7.26953125" style="54" customWidth="1"/>
    <col min="6149" max="6149" width="5.54296875" style="54" customWidth="1"/>
    <col min="6150" max="6150" width="9" style="54" customWidth="1"/>
    <col min="6151" max="6152" width="9.81640625" style="54" customWidth="1"/>
    <col min="6153" max="6153" width="11.1796875" style="54" customWidth="1"/>
    <col min="6154" max="6154" width="2.81640625" style="54" customWidth="1"/>
    <col min="6155" max="6155" width="3.54296875" style="54" customWidth="1"/>
    <col min="6156" max="6400" width="9.1796875" style="54"/>
    <col min="6401" max="6401" width="8.7265625" style="54" customWidth="1"/>
    <col min="6402" max="6402" width="9.81640625" style="54" customWidth="1"/>
    <col min="6403" max="6403" width="14.453125" style="54" customWidth="1"/>
    <col min="6404" max="6404" width="7.26953125" style="54" customWidth="1"/>
    <col min="6405" max="6405" width="5.54296875" style="54" customWidth="1"/>
    <col min="6406" max="6406" width="9" style="54" customWidth="1"/>
    <col min="6407" max="6408" width="9.81640625" style="54" customWidth="1"/>
    <col min="6409" max="6409" width="11.1796875" style="54" customWidth="1"/>
    <col min="6410" max="6410" width="2.81640625" style="54" customWidth="1"/>
    <col min="6411" max="6411" width="3.54296875" style="54" customWidth="1"/>
    <col min="6412" max="6656" width="9.1796875" style="54"/>
    <col min="6657" max="6657" width="8.7265625" style="54" customWidth="1"/>
    <col min="6658" max="6658" width="9.81640625" style="54" customWidth="1"/>
    <col min="6659" max="6659" width="14.453125" style="54" customWidth="1"/>
    <col min="6660" max="6660" width="7.26953125" style="54" customWidth="1"/>
    <col min="6661" max="6661" width="5.54296875" style="54" customWidth="1"/>
    <col min="6662" max="6662" width="9" style="54" customWidth="1"/>
    <col min="6663" max="6664" width="9.81640625" style="54" customWidth="1"/>
    <col min="6665" max="6665" width="11.1796875" style="54" customWidth="1"/>
    <col min="6666" max="6666" width="2.81640625" style="54" customWidth="1"/>
    <col min="6667" max="6667" width="3.54296875" style="54" customWidth="1"/>
    <col min="6668" max="6912" width="9.1796875" style="54"/>
    <col min="6913" max="6913" width="8.7265625" style="54" customWidth="1"/>
    <col min="6914" max="6914" width="9.81640625" style="54" customWidth="1"/>
    <col min="6915" max="6915" width="14.453125" style="54" customWidth="1"/>
    <col min="6916" max="6916" width="7.26953125" style="54" customWidth="1"/>
    <col min="6917" max="6917" width="5.54296875" style="54" customWidth="1"/>
    <col min="6918" max="6918" width="9" style="54" customWidth="1"/>
    <col min="6919" max="6920" width="9.81640625" style="54" customWidth="1"/>
    <col min="6921" max="6921" width="11.1796875" style="54" customWidth="1"/>
    <col min="6922" max="6922" width="2.81640625" style="54" customWidth="1"/>
    <col min="6923" max="6923" width="3.54296875" style="54" customWidth="1"/>
    <col min="6924" max="7168" width="9.1796875" style="54"/>
    <col min="7169" max="7169" width="8.7265625" style="54" customWidth="1"/>
    <col min="7170" max="7170" width="9.81640625" style="54" customWidth="1"/>
    <col min="7171" max="7171" width="14.453125" style="54" customWidth="1"/>
    <col min="7172" max="7172" width="7.26953125" style="54" customWidth="1"/>
    <col min="7173" max="7173" width="5.54296875" style="54" customWidth="1"/>
    <col min="7174" max="7174" width="9" style="54" customWidth="1"/>
    <col min="7175" max="7176" width="9.81640625" style="54" customWidth="1"/>
    <col min="7177" max="7177" width="11.1796875" style="54" customWidth="1"/>
    <col min="7178" max="7178" width="2.81640625" style="54" customWidth="1"/>
    <col min="7179" max="7179" width="3.54296875" style="54" customWidth="1"/>
    <col min="7180" max="7424" width="9.1796875" style="54"/>
    <col min="7425" max="7425" width="8.7265625" style="54" customWidth="1"/>
    <col min="7426" max="7426" width="9.81640625" style="54" customWidth="1"/>
    <col min="7427" max="7427" width="14.453125" style="54" customWidth="1"/>
    <col min="7428" max="7428" width="7.26953125" style="54" customWidth="1"/>
    <col min="7429" max="7429" width="5.54296875" style="54" customWidth="1"/>
    <col min="7430" max="7430" width="9" style="54" customWidth="1"/>
    <col min="7431" max="7432" width="9.81640625" style="54" customWidth="1"/>
    <col min="7433" max="7433" width="11.1796875" style="54" customWidth="1"/>
    <col min="7434" max="7434" width="2.81640625" style="54" customWidth="1"/>
    <col min="7435" max="7435" width="3.54296875" style="54" customWidth="1"/>
    <col min="7436" max="7680" width="9.1796875" style="54"/>
    <col min="7681" max="7681" width="8.7265625" style="54" customWidth="1"/>
    <col min="7682" max="7682" width="9.81640625" style="54" customWidth="1"/>
    <col min="7683" max="7683" width="14.453125" style="54" customWidth="1"/>
    <col min="7684" max="7684" width="7.26953125" style="54" customWidth="1"/>
    <col min="7685" max="7685" width="5.54296875" style="54" customWidth="1"/>
    <col min="7686" max="7686" width="9" style="54" customWidth="1"/>
    <col min="7687" max="7688" width="9.81640625" style="54" customWidth="1"/>
    <col min="7689" max="7689" width="11.1796875" style="54" customWidth="1"/>
    <col min="7690" max="7690" width="2.81640625" style="54" customWidth="1"/>
    <col min="7691" max="7691" width="3.54296875" style="54" customWidth="1"/>
    <col min="7692" max="7936" width="9.1796875" style="54"/>
    <col min="7937" max="7937" width="8.7265625" style="54" customWidth="1"/>
    <col min="7938" max="7938" width="9.81640625" style="54" customWidth="1"/>
    <col min="7939" max="7939" width="14.453125" style="54" customWidth="1"/>
    <col min="7940" max="7940" width="7.26953125" style="54" customWidth="1"/>
    <col min="7941" max="7941" width="5.54296875" style="54" customWidth="1"/>
    <col min="7942" max="7942" width="9" style="54" customWidth="1"/>
    <col min="7943" max="7944" width="9.81640625" style="54" customWidth="1"/>
    <col min="7945" max="7945" width="11.1796875" style="54" customWidth="1"/>
    <col min="7946" max="7946" width="2.81640625" style="54" customWidth="1"/>
    <col min="7947" max="7947" width="3.54296875" style="54" customWidth="1"/>
    <col min="7948" max="8192" width="9.1796875" style="54"/>
    <col min="8193" max="8193" width="8.7265625" style="54" customWidth="1"/>
    <col min="8194" max="8194" width="9.81640625" style="54" customWidth="1"/>
    <col min="8195" max="8195" width="14.453125" style="54" customWidth="1"/>
    <col min="8196" max="8196" width="7.26953125" style="54" customWidth="1"/>
    <col min="8197" max="8197" width="5.54296875" style="54" customWidth="1"/>
    <col min="8198" max="8198" width="9" style="54" customWidth="1"/>
    <col min="8199" max="8200" width="9.81640625" style="54" customWidth="1"/>
    <col min="8201" max="8201" width="11.1796875" style="54" customWidth="1"/>
    <col min="8202" max="8202" width="2.81640625" style="54" customWidth="1"/>
    <col min="8203" max="8203" width="3.54296875" style="54" customWidth="1"/>
    <col min="8204" max="8448" width="9.1796875" style="54"/>
    <col min="8449" max="8449" width="8.7265625" style="54" customWidth="1"/>
    <col min="8450" max="8450" width="9.81640625" style="54" customWidth="1"/>
    <col min="8451" max="8451" width="14.453125" style="54" customWidth="1"/>
    <col min="8452" max="8452" width="7.26953125" style="54" customWidth="1"/>
    <col min="8453" max="8453" width="5.54296875" style="54" customWidth="1"/>
    <col min="8454" max="8454" width="9" style="54" customWidth="1"/>
    <col min="8455" max="8456" width="9.81640625" style="54" customWidth="1"/>
    <col min="8457" max="8457" width="11.1796875" style="54" customWidth="1"/>
    <col min="8458" max="8458" width="2.81640625" style="54" customWidth="1"/>
    <col min="8459" max="8459" width="3.54296875" style="54" customWidth="1"/>
    <col min="8460" max="8704" width="9.1796875" style="54"/>
    <col min="8705" max="8705" width="8.7265625" style="54" customWidth="1"/>
    <col min="8706" max="8706" width="9.81640625" style="54" customWidth="1"/>
    <col min="8707" max="8707" width="14.453125" style="54" customWidth="1"/>
    <col min="8708" max="8708" width="7.26953125" style="54" customWidth="1"/>
    <col min="8709" max="8709" width="5.54296875" style="54" customWidth="1"/>
    <col min="8710" max="8710" width="9" style="54" customWidth="1"/>
    <col min="8711" max="8712" width="9.81640625" style="54" customWidth="1"/>
    <col min="8713" max="8713" width="11.1796875" style="54" customWidth="1"/>
    <col min="8714" max="8714" width="2.81640625" style="54" customWidth="1"/>
    <col min="8715" max="8715" width="3.54296875" style="54" customWidth="1"/>
    <col min="8716" max="8960" width="9.1796875" style="54"/>
    <col min="8961" max="8961" width="8.7265625" style="54" customWidth="1"/>
    <col min="8962" max="8962" width="9.81640625" style="54" customWidth="1"/>
    <col min="8963" max="8963" width="14.453125" style="54" customWidth="1"/>
    <col min="8964" max="8964" width="7.26953125" style="54" customWidth="1"/>
    <col min="8965" max="8965" width="5.54296875" style="54" customWidth="1"/>
    <col min="8966" max="8966" width="9" style="54" customWidth="1"/>
    <col min="8967" max="8968" width="9.81640625" style="54" customWidth="1"/>
    <col min="8969" max="8969" width="11.1796875" style="54" customWidth="1"/>
    <col min="8970" max="8970" width="2.81640625" style="54" customWidth="1"/>
    <col min="8971" max="8971" width="3.54296875" style="54" customWidth="1"/>
    <col min="8972" max="9216" width="9.1796875" style="54"/>
    <col min="9217" max="9217" width="8.7265625" style="54" customWidth="1"/>
    <col min="9218" max="9218" width="9.81640625" style="54" customWidth="1"/>
    <col min="9219" max="9219" width="14.453125" style="54" customWidth="1"/>
    <col min="9220" max="9220" width="7.26953125" style="54" customWidth="1"/>
    <col min="9221" max="9221" width="5.54296875" style="54" customWidth="1"/>
    <col min="9222" max="9222" width="9" style="54" customWidth="1"/>
    <col min="9223" max="9224" width="9.81640625" style="54" customWidth="1"/>
    <col min="9225" max="9225" width="11.1796875" style="54" customWidth="1"/>
    <col min="9226" max="9226" width="2.81640625" style="54" customWidth="1"/>
    <col min="9227" max="9227" width="3.54296875" style="54" customWidth="1"/>
    <col min="9228" max="9472" width="9.1796875" style="54"/>
    <col min="9473" max="9473" width="8.7265625" style="54" customWidth="1"/>
    <col min="9474" max="9474" width="9.81640625" style="54" customWidth="1"/>
    <col min="9475" max="9475" width="14.453125" style="54" customWidth="1"/>
    <col min="9476" max="9476" width="7.26953125" style="54" customWidth="1"/>
    <col min="9477" max="9477" width="5.54296875" style="54" customWidth="1"/>
    <col min="9478" max="9478" width="9" style="54" customWidth="1"/>
    <col min="9479" max="9480" width="9.81640625" style="54" customWidth="1"/>
    <col min="9481" max="9481" width="11.1796875" style="54" customWidth="1"/>
    <col min="9482" max="9482" width="2.81640625" style="54" customWidth="1"/>
    <col min="9483" max="9483" width="3.54296875" style="54" customWidth="1"/>
    <col min="9484" max="9728" width="9.1796875" style="54"/>
    <col min="9729" max="9729" width="8.7265625" style="54" customWidth="1"/>
    <col min="9730" max="9730" width="9.81640625" style="54" customWidth="1"/>
    <col min="9731" max="9731" width="14.453125" style="54" customWidth="1"/>
    <col min="9732" max="9732" width="7.26953125" style="54" customWidth="1"/>
    <col min="9733" max="9733" width="5.54296875" style="54" customWidth="1"/>
    <col min="9734" max="9734" width="9" style="54" customWidth="1"/>
    <col min="9735" max="9736" width="9.81640625" style="54" customWidth="1"/>
    <col min="9737" max="9737" width="11.1796875" style="54" customWidth="1"/>
    <col min="9738" max="9738" width="2.81640625" style="54" customWidth="1"/>
    <col min="9739" max="9739" width="3.54296875" style="54" customWidth="1"/>
    <col min="9740" max="9984" width="9.1796875" style="54"/>
    <col min="9985" max="9985" width="8.7265625" style="54" customWidth="1"/>
    <col min="9986" max="9986" width="9.81640625" style="54" customWidth="1"/>
    <col min="9987" max="9987" width="14.453125" style="54" customWidth="1"/>
    <col min="9988" max="9988" width="7.26953125" style="54" customWidth="1"/>
    <col min="9989" max="9989" width="5.54296875" style="54" customWidth="1"/>
    <col min="9990" max="9990" width="9" style="54" customWidth="1"/>
    <col min="9991" max="9992" width="9.81640625" style="54" customWidth="1"/>
    <col min="9993" max="9993" width="11.1796875" style="54" customWidth="1"/>
    <col min="9994" max="9994" width="2.81640625" style="54" customWidth="1"/>
    <col min="9995" max="9995" width="3.54296875" style="54" customWidth="1"/>
    <col min="9996" max="10240" width="9.1796875" style="54"/>
    <col min="10241" max="10241" width="8.7265625" style="54" customWidth="1"/>
    <col min="10242" max="10242" width="9.81640625" style="54" customWidth="1"/>
    <col min="10243" max="10243" width="14.453125" style="54" customWidth="1"/>
    <col min="10244" max="10244" width="7.26953125" style="54" customWidth="1"/>
    <col min="10245" max="10245" width="5.54296875" style="54" customWidth="1"/>
    <col min="10246" max="10246" width="9" style="54" customWidth="1"/>
    <col min="10247" max="10248" width="9.81640625" style="54" customWidth="1"/>
    <col min="10249" max="10249" width="11.1796875" style="54" customWidth="1"/>
    <col min="10250" max="10250" width="2.81640625" style="54" customWidth="1"/>
    <col min="10251" max="10251" width="3.54296875" style="54" customWidth="1"/>
    <col min="10252" max="10496" width="9.1796875" style="54"/>
    <col min="10497" max="10497" width="8.7265625" style="54" customWidth="1"/>
    <col min="10498" max="10498" width="9.81640625" style="54" customWidth="1"/>
    <col min="10499" max="10499" width="14.453125" style="54" customWidth="1"/>
    <col min="10500" max="10500" width="7.26953125" style="54" customWidth="1"/>
    <col min="10501" max="10501" width="5.54296875" style="54" customWidth="1"/>
    <col min="10502" max="10502" width="9" style="54" customWidth="1"/>
    <col min="10503" max="10504" width="9.81640625" style="54" customWidth="1"/>
    <col min="10505" max="10505" width="11.1796875" style="54" customWidth="1"/>
    <col min="10506" max="10506" width="2.81640625" style="54" customWidth="1"/>
    <col min="10507" max="10507" width="3.54296875" style="54" customWidth="1"/>
    <col min="10508" max="10752" width="9.1796875" style="54"/>
    <col min="10753" max="10753" width="8.7265625" style="54" customWidth="1"/>
    <col min="10754" max="10754" width="9.81640625" style="54" customWidth="1"/>
    <col min="10755" max="10755" width="14.453125" style="54" customWidth="1"/>
    <col min="10756" max="10756" width="7.26953125" style="54" customWidth="1"/>
    <col min="10757" max="10757" width="5.54296875" style="54" customWidth="1"/>
    <col min="10758" max="10758" width="9" style="54" customWidth="1"/>
    <col min="10759" max="10760" width="9.81640625" style="54" customWidth="1"/>
    <col min="10761" max="10761" width="11.1796875" style="54" customWidth="1"/>
    <col min="10762" max="10762" width="2.81640625" style="54" customWidth="1"/>
    <col min="10763" max="10763" width="3.54296875" style="54" customWidth="1"/>
    <col min="10764" max="11008" width="9.1796875" style="54"/>
    <col min="11009" max="11009" width="8.7265625" style="54" customWidth="1"/>
    <col min="11010" max="11010" width="9.81640625" style="54" customWidth="1"/>
    <col min="11011" max="11011" width="14.453125" style="54" customWidth="1"/>
    <col min="11012" max="11012" width="7.26953125" style="54" customWidth="1"/>
    <col min="11013" max="11013" width="5.54296875" style="54" customWidth="1"/>
    <col min="11014" max="11014" width="9" style="54" customWidth="1"/>
    <col min="11015" max="11016" width="9.81640625" style="54" customWidth="1"/>
    <col min="11017" max="11017" width="11.1796875" style="54" customWidth="1"/>
    <col min="11018" max="11018" width="2.81640625" style="54" customWidth="1"/>
    <col min="11019" max="11019" width="3.54296875" style="54" customWidth="1"/>
    <col min="11020" max="11264" width="9.1796875" style="54"/>
    <col min="11265" max="11265" width="8.7265625" style="54" customWidth="1"/>
    <col min="11266" max="11266" width="9.81640625" style="54" customWidth="1"/>
    <col min="11267" max="11267" width="14.453125" style="54" customWidth="1"/>
    <col min="11268" max="11268" width="7.26953125" style="54" customWidth="1"/>
    <col min="11269" max="11269" width="5.54296875" style="54" customWidth="1"/>
    <col min="11270" max="11270" width="9" style="54" customWidth="1"/>
    <col min="11271" max="11272" width="9.81640625" style="54" customWidth="1"/>
    <col min="11273" max="11273" width="11.1796875" style="54" customWidth="1"/>
    <col min="11274" max="11274" width="2.81640625" style="54" customWidth="1"/>
    <col min="11275" max="11275" width="3.54296875" style="54" customWidth="1"/>
    <col min="11276" max="11520" width="9.1796875" style="54"/>
    <col min="11521" max="11521" width="8.7265625" style="54" customWidth="1"/>
    <col min="11522" max="11522" width="9.81640625" style="54" customWidth="1"/>
    <col min="11523" max="11523" width="14.453125" style="54" customWidth="1"/>
    <col min="11524" max="11524" width="7.26953125" style="54" customWidth="1"/>
    <col min="11525" max="11525" width="5.54296875" style="54" customWidth="1"/>
    <col min="11526" max="11526" width="9" style="54" customWidth="1"/>
    <col min="11527" max="11528" width="9.81640625" style="54" customWidth="1"/>
    <col min="11529" max="11529" width="11.1796875" style="54" customWidth="1"/>
    <col min="11530" max="11530" width="2.81640625" style="54" customWidth="1"/>
    <col min="11531" max="11531" width="3.54296875" style="54" customWidth="1"/>
    <col min="11532" max="11776" width="9.1796875" style="54"/>
    <col min="11777" max="11777" width="8.7265625" style="54" customWidth="1"/>
    <col min="11778" max="11778" width="9.81640625" style="54" customWidth="1"/>
    <col min="11779" max="11779" width="14.453125" style="54" customWidth="1"/>
    <col min="11780" max="11780" width="7.26953125" style="54" customWidth="1"/>
    <col min="11781" max="11781" width="5.54296875" style="54" customWidth="1"/>
    <col min="11782" max="11782" width="9" style="54" customWidth="1"/>
    <col min="11783" max="11784" width="9.81640625" style="54" customWidth="1"/>
    <col min="11785" max="11785" width="11.1796875" style="54" customWidth="1"/>
    <col min="11786" max="11786" width="2.81640625" style="54" customWidth="1"/>
    <col min="11787" max="11787" width="3.54296875" style="54" customWidth="1"/>
    <col min="11788" max="12032" width="9.1796875" style="54"/>
    <col min="12033" max="12033" width="8.7265625" style="54" customWidth="1"/>
    <col min="12034" max="12034" width="9.81640625" style="54" customWidth="1"/>
    <col min="12035" max="12035" width="14.453125" style="54" customWidth="1"/>
    <col min="12036" max="12036" width="7.26953125" style="54" customWidth="1"/>
    <col min="12037" max="12037" width="5.54296875" style="54" customWidth="1"/>
    <col min="12038" max="12038" width="9" style="54" customWidth="1"/>
    <col min="12039" max="12040" width="9.81640625" style="54" customWidth="1"/>
    <col min="12041" max="12041" width="11.1796875" style="54" customWidth="1"/>
    <col min="12042" max="12042" width="2.81640625" style="54" customWidth="1"/>
    <col min="12043" max="12043" width="3.54296875" style="54" customWidth="1"/>
    <col min="12044" max="12288" width="9.1796875" style="54"/>
    <col min="12289" max="12289" width="8.7265625" style="54" customWidth="1"/>
    <col min="12290" max="12290" width="9.81640625" style="54" customWidth="1"/>
    <col min="12291" max="12291" width="14.453125" style="54" customWidth="1"/>
    <col min="12292" max="12292" width="7.26953125" style="54" customWidth="1"/>
    <col min="12293" max="12293" width="5.54296875" style="54" customWidth="1"/>
    <col min="12294" max="12294" width="9" style="54" customWidth="1"/>
    <col min="12295" max="12296" width="9.81640625" style="54" customWidth="1"/>
    <col min="12297" max="12297" width="11.1796875" style="54" customWidth="1"/>
    <col min="12298" max="12298" width="2.81640625" style="54" customWidth="1"/>
    <col min="12299" max="12299" width="3.54296875" style="54" customWidth="1"/>
    <col min="12300" max="12544" width="9.1796875" style="54"/>
    <col min="12545" max="12545" width="8.7265625" style="54" customWidth="1"/>
    <col min="12546" max="12546" width="9.81640625" style="54" customWidth="1"/>
    <col min="12547" max="12547" width="14.453125" style="54" customWidth="1"/>
    <col min="12548" max="12548" width="7.26953125" style="54" customWidth="1"/>
    <col min="12549" max="12549" width="5.54296875" style="54" customWidth="1"/>
    <col min="12550" max="12550" width="9" style="54" customWidth="1"/>
    <col min="12551" max="12552" width="9.81640625" style="54" customWidth="1"/>
    <col min="12553" max="12553" width="11.1796875" style="54" customWidth="1"/>
    <col min="12554" max="12554" width="2.81640625" style="54" customWidth="1"/>
    <col min="12555" max="12555" width="3.54296875" style="54" customWidth="1"/>
    <col min="12556" max="12800" width="9.1796875" style="54"/>
    <col min="12801" max="12801" width="8.7265625" style="54" customWidth="1"/>
    <col min="12802" max="12802" width="9.81640625" style="54" customWidth="1"/>
    <col min="12803" max="12803" width="14.453125" style="54" customWidth="1"/>
    <col min="12804" max="12804" width="7.26953125" style="54" customWidth="1"/>
    <col min="12805" max="12805" width="5.54296875" style="54" customWidth="1"/>
    <col min="12806" max="12806" width="9" style="54" customWidth="1"/>
    <col min="12807" max="12808" width="9.81640625" style="54" customWidth="1"/>
    <col min="12809" max="12809" width="11.1796875" style="54" customWidth="1"/>
    <col min="12810" max="12810" width="2.81640625" style="54" customWidth="1"/>
    <col min="12811" max="12811" width="3.54296875" style="54" customWidth="1"/>
    <col min="12812" max="13056" width="9.1796875" style="54"/>
    <col min="13057" max="13057" width="8.7265625" style="54" customWidth="1"/>
    <col min="13058" max="13058" width="9.81640625" style="54" customWidth="1"/>
    <col min="13059" max="13059" width="14.453125" style="54" customWidth="1"/>
    <col min="13060" max="13060" width="7.26953125" style="54" customWidth="1"/>
    <col min="13061" max="13061" width="5.54296875" style="54" customWidth="1"/>
    <col min="13062" max="13062" width="9" style="54" customWidth="1"/>
    <col min="13063" max="13064" width="9.81640625" style="54" customWidth="1"/>
    <col min="13065" max="13065" width="11.1796875" style="54" customWidth="1"/>
    <col min="13066" max="13066" width="2.81640625" style="54" customWidth="1"/>
    <col min="13067" max="13067" width="3.54296875" style="54" customWidth="1"/>
    <col min="13068" max="13312" width="9.1796875" style="54"/>
    <col min="13313" max="13313" width="8.7265625" style="54" customWidth="1"/>
    <col min="13314" max="13314" width="9.81640625" style="54" customWidth="1"/>
    <col min="13315" max="13315" width="14.453125" style="54" customWidth="1"/>
    <col min="13316" max="13316" width="7.26953125" style="54" customWidth="1"/>
    <col min="13317" max="13317" width="5.54296875" style="54" customWidth="1"/>
    <col min="13318" max="13318" width="9" style="54" customWidth="1"/>
    <col min="13319" max="13320" width="9.81640625" style="54" customWidth="1"/>
    <col min="13321" max="13321" width="11.1796875" style="54" customWidth="1"/>
    <col min="13322" max="13322" width="2.81640625" style="54" customWidth="1"/>
    <col min="13323" max="13323" width="3.54296875" style="54" customWidth="1"/>
    <col min="13324" max="13568" width="9.1796875" style="54"/>
    <col min="13569" max="13569" width="8.7265625" style="54" customWidth="1"/>
    <col min="13570" max="13570" width="9.81640625" style="54" customWidth="1"/>
    <col min="13571" max="13571" width="14.453125" style="54" customWidth="1"/>
    <col min="13572" max="13572" width="7.26953125" style="54" customWidth="1"/>
    <col min="13573" max="13573" width="5.54296875" style="54" customWidth="1"/>
    <col min="13574" max="13574" width="9" style="54" customWidth="1"/>
    <col min="13575" max="13576" width="9.81640625" style="54" customWidth="1"/>
    <col min="13577" max="13577" width="11.1796875" style="54" customWidth="1"/>
    <col min="13578" max="13578" width="2.81640625" style="54" customWidth="1"/>
    <col min="13579" max="13579" width="3.54296875" style="54" customWidth="1"/>
    <col min="13580" max="13824" width="9.1796875" style="54"/>
    <col min="13825" max="13825" width="8.7265625" style="54" customWidth="1"/>
    <col min="13826" max="13826" width="9.81640625" style="54" customWidth="1"/>
    <col min="13827" max="13827" width="14.453125" style="54" customWidth="1"/>
    <col min="13828" max="13828" width="7.26953125" style="54" customWidth="1"/>
    <col min="13829" max="13829" width="5.54296875" style="54" customWidth="1"/>
    <col min="13830" max="13830" width="9" style="54" customWidth="1"/>
    <col min="13831" max="13832" width="9.81640625" style="54" customWidth="1"/>
    <col min="13833" max="13833" width="11.1796875" style="54" customWidth="1"/>
    <col min="13834" max="13834" width="2.81640625" style="54" customWidth="1"/>
    <col min="13835" max="13835" width="3.54296875" style="54" customWidth="1"/>
    <col min="13836" max="14080" width="9.1796875" style="54"/>
    <col min="14081" max="14081" width="8.7265625" style="54" customWidth="1"/>
    <col min="14082" max="14082" width="9.81640625" style="54" customWidth="1"/>
    <col min="14083" max="14083" width="14.453125" style="54" customWidth="1"/>
    <col min="14084" max="14084" width="7.26953125" style="54" customWidth="1"/>
    <col min="14085" max="14085" width="5.54296875" style="54" customWidth="1"/>
    <col min="14086" max="14086" width="9" style="54" customWidth="1"/>
    <col min="14087" max="14088" width="9.81640625" style="54" customWidth="1"/>
    <col min="14089" max="14089" width="11.1796875" style="54" customWidth="1"/>
    <col min="14090" max="14090" width="2.81640625" style="54" customWidth="1"/>
    <col min="14091" max="14091" width="3.54296875" style="54" customWidth="1"/>
    <col min="14092" max="14336" width="9.1796875" style="54"/>
    <col min="14337" max="14337" width="8.7265625" style="54" customWidth="1"/>
    <col min="14338" max="14338" width="9.81640625" style="54" customWidth="1"/>
    <col min="14339" max="14339" width="14.453125" style="54" customWidth="1"/>
    <col min="14340" max="14340" width="7.26953125" style="54" customWidth="1"/>
    <col min="14341" max="14341" width="5.54296875" style="54" customWidth="1"/>
    <col min="14342" max="14342" width="9" style="54" customWidth="1"/>
    <col min="14343" max="14344" width="9.81640625" style="54" customWidth="1"/>
    <col min="14345" max="14345" width="11.1796875" style="54" customWidth="1"/>
    <col min="14346" max="14346" width="2.81640625" style="54" customWidth="1"/>
    <col min="14347" max="14347" width="3.54296875" style="54" customWidth="1"/>
    <col min="14348" max="14592" width="9.1796875" style="54"/>
    <col min="14593" max="14593" width="8.7265625" style="54" customWidth="1"/>
    <col min="14594" max="14594" width="9.81640625" style="54" customWidth="1"/>
    <col min="14595" max="14595" width="14.453125" style="54" customWidth="1"/>
    <col min="14596" max="14596" width="7.26953125" style="54" customWidth="1"/>
    <col min="14597" max="14597" width="5.54296875" style="54" customWidth="1"/>
    <col min="14598" max="14598" width="9" style="54" customWidth="1"/>
    <col min="14599" max="14600" width="9.81640625" style="54" customWidth="1"/>
    <col min="14601" max="14601" width="11.1796875" style="54" customWidth="1"/>
    <col min="14602" max="14602" width="2.81640625" style="54" customWidth="1"/>
    <col min="14603" max="14603" width="3.54296875" style="54" customWidth="1"/>
    <col min="14604" max="14848" width="9.1796875" style="54"/>
    <col min="14849" max="14849" width="8.7265625" style="54" customWidth="1"/>
    <col min="14850" max="14850" width="9.81640625" style="54" customWidth="1"/>
    <col min="14851" max="14851" width="14.453125" style="54" customWidth="1"/>
    <col min="14852" max="14852" width="7.26953125" style="54" customWidth="1"/>
    <col min="14853" max="14853" width="5.54296875" style="54" customWidth="1"/>
    <col min="14854" max="14854" width="9" style="54" customWidth="1"/>
    <col min="14855" max="14856" width="9.81640625" style="54" customWidth="1"/>
    <col min="14857" max="14857" width="11.1796875" style="54" customWidth="1"/>
    <col min="14858" max="14858" width="2.81640625" style="54" customWidth="1"/>
    <col min="14859" max="14859" width="3.54296875" style="54" customWidth="1"/>
    <col min="14860" max="15104" width="9.1796875" style="54"/>
    <col min="15105" max="15105" width="8.7265625" style="54" customWidth="1"/>
    <col min="15106" max="15106" width="9.81640625" style="54" customWidth="1"/>
    <col min="15107" max="15107" width="14.453125" style="54" customWidth="1"/>
    <col min="15108" max="15108" width="7.26953125" style="54" customWidth="1"/>
    <col min="15109" max="15109" width="5.54296875" style="54" customWidth="1"/>
    <col min="15110" max="15110" width="9" style="54" customWidth="1"/>
    <col min="15111" max="15112" width="9.81640625" style="54" customWidth="1"/>
    <col min="15113" max="15113" width="11.1796875" style="54" customWidth="1"/>
    <col min="15114" max="15114" width="2.81640625" style="54" customWidth="1"/>
    <col min="15115" max="15115" width="3.54296875" style="54" customWidth="1"/>
    <col min="15116" max="15360" width="9.1796875" style="54"/>
    <col min="15361" max="15361" width="8.7265625" style="54" customWidth="1"/>
    <col min="15362" max="15362" width="9.81640625" style="54" customWidth="1"/>
    <col min="15363" max="15363" width="14.453125" style="54" customWidth="1"/>
    <col min="15364" max="15364" width="7.26953125" style="54" customWidth="1"/>
    <col min="15365" max="15365" width="5.54296875" style="54" customWidth="1"/>
    <col min="15366" max="15366" width="9" style="54" customWidth="1"/>
    <col min="15367" max="15368" width="9.81640625" style="54" customWidth="1"/>
    <col min="15369" max="15369" width="11.1796875" style="54" customWidth="1"/>
    <col min="15370" max="15370" width="2.81640625" style="54" customWidth="1"/>
    <col min="15371" max="15371" width="3.54296875" style="54" customWidth="1"/>
    <col min="15372" max="15616" width="9.1796875" style="54"/>
    <col min="15617" max="15617" width="8.7265625" style="54" customWidth="1"/>
    <col min="15618" max="15618" width="9.81640625" style="54" customWidth="1"/>
    <col min="15619" max="15619" width="14.453125" style="54" customWidth="1"/>
    <col min="15620" max="15620" width="7.26953125" style="54" customWidth="1"/>
    <col min="15621" max="15621" width="5.54296875" style="54" customWidth="1"/>
    <col min="15622" max="15622" width="9" style="54" customWidth="1"/>
    <col min="15623" max="15624" width="9.81640625" style="54" customWidth="1"/>
    <col min="15625" max="15625" width="11.1796875" style="54" customWidth="1"/>
    <col min="15626" max="15626" width="2.81640625" style="54" customWidth="1"/>
    <col min="15627" max="15627" width="3.54296875" style="54" customWidth="1"/>
    <col min="15628" max="15872" width="9.1796875" style="54"/>
    <col min="15873" max="15873" width="8.7265625" style="54" customWidth="1"/>
    <col min="15874" max="15874" width="9.81640625" style="54" customWidth="1"/>
    <col min="15875" max="15875" width="14.453125" style="54" customWidth="1"/>
    <col min="15876" max="15876" width="7.26953125" style="54" customWidth="1"/>
    <col min="15877" max="15877" width="5.54296875" style="54" customWidth="1"/>
    <col min="15878" max="15878" width="9" style="54" customWidth="1"/>
    <col min="15879" max="15880" width="9.81640625" style="54" customWidth="1"/>
    <col min="15881" max="15881" width="11.1796875" style="54" customWidth="1"/>
    <col min="15882" max="15882" width="2.81640625" style="54" customWidth="1"/>
    <col min="15883" max="15883" width="3.54296875" style="54" customWidth="1"/>
    <col min="15884" max="16128" width="9.1796875" style="54"/>
    <col min="16129" max="16129" width="8.7265625" style="54" customWidth="1"/>
    <col min="16130" max="16130" width="9.81640625" style="54" customWidth="1"/>
    <col min="16131" max="16131" width="14.453125" style="54" customWidth="1"/>
    <col min="16132" max="16132" width="7.26953125" style="54" customWidth="1"/>
    <col min="16133" max="16133" width="5.54296875" style="54" customWidth="1"/>
    <col min="16134" max="16134" width="9" style="54" customWidth="1"/>
    <col min="16135" max="16136" width="9.81640625" style="54" customWidth="1"/>
    <col min="16137" max="16137" width="11.1796875" style="54" customWidth="1"/>
    <col min="16138" max="16138" width="2.81640625" style="54" customWidth="1"/>
    <col min="16139" max="16139" width="3.54296875" style="54" customWidth="1"/>
    <col min="16140" max="16384" width="9.1796875" style="54"/>
  </cols>
  <sheetData>
    <row r="1" spans="1:10" ht="46.5" customHeight="1" x14ac:dyDescent="0.35">
      <c r="A1" s="149" t="s">
        <v>268</v>
      </c>
      <c r="B1" s="150"/>
      <c r="C1" s="150"/>
      <c r="D1" s="150"/>
      <c r="E1" s="150"/>
      <c r="F1" s="150"/>
      <c r="G1" s="150"/>
      <c r="H1" s="150"/>
      <c r="I1" s="150"/>
      <c r="J1" s="151"/>
    </row>
    <row r="2" spans="1:10" ht="16.5" customHeight="1" x14ac:dyDescent="0.35">
      <c r="A2" s="152" t="s">
        <v>0</v>
      </c>
      <c r="B2" s="153"/>
      <c r="C2" s="153"/>
      <c r="D2" s="153"/>
      <c r="E2" s="153"/>
      <c r="F2" s="153"/>
      <c r="G2" s="153"/>
      <c r="H2" s="153"/>
      <c r="I2" s="153"/>
      <c r="J2" s="154"/>
    </row>
    <row r="3" spans="1:10" x14ac:dyDescent="0.35">
      <c r="A3" s="126" t="s">
        <v>1</v>
      </c>
      <c r="B3" s="121"/>
      <c r="C3" s="121"/>
      <c r="D3" s="121"/>
      <c r="E3" s="122"/>
      <c r="F3" s="155" t="str">
        <f ca="1">TEXT(TODAY(),"DD/MM/YYYY")</f>
        <v>05/08/2025</v>
      </c>
      <c r="G3" s="156"/>
      <c r="H3" s="156"/>
      <c r="I3" s="156"/>
      <c r="J3" s="157"/>
    </row>
    <row r="4" spans="1:10" ht="15" customHeight="1" x14ac:dyDescent="0.35">
      <c r="A4" s="126" t="s">
        <v>2</v>
      </c>
      <c r="B4" s="121"/>
      <c r="C4" s="121"/>
      <c r="D4" s="121"/>
      <c r="E4" s="122"/>
      <c r="F4" s="135" t="s">
        <v>183</v>
      </c>
      <c r="G4" s="136"/>
      <c r="H4" s="136"/>
      <c r="I4" s="136"/>
      <c r="J4" s="137"/>
    </row>
    <row r="5" spans="1:10" x14ac:dyDescent="0.35">
      <c r="A5" s="126" t="s">
        <v>3</v>
      </c>
      <c r="B5" s="121"/>
      <c r="C5" s="121"/>
      <c r="D5" s="121"/>
      <c r="E5" s="122"/>
      <c r="F5" s="146">
        <v>45874</v>
      </c>
      <c r="G5" s="147"/>
      <c r="H5" s="147"/>
      <c r="I5" s="147"/>
      <c r="J5" s="148"/>
    </row>
    <row r="6" spans="1:10" ht="16.5" customHeight="1" x14ac:dyDescent="0.35">
      <c r="A6" s="126" t="s">
        <v>4</v>
      </c>
      <c r="B6" s="121"/>
      <c r="C6" s="121"/>
      <c r="D6" s="121"/>
      <c r="E6" s="122"/>
      <c r="F6" s="118" t="s">
        <v>272</v>
      </c>
      <c r="G6" s="119"/>
      <c r="H6" s="119"/>
      <c r="I6" s="119"/>
      <c r="J6" s="120"/>
    </row>
    <row r="7" spans="1:10" ht="15" customHeight="1" x14ac:dyDescent="0.35">
      <c r="A7" s="126" t="s">
        <v>5</v>
      </c>
      <c r="B7" s="121"/>
      <c r="C7" s="121"/>
      <c r="D7" s="121"/>
      <c r="E7" s="122"/>
      <c r="F7" s="118" t="str">
        <f>F6</f>
        <v xml:space="preserve">M/s. Siddhivinayak Associates
</v>
      </c>
      <c r="G7" s="119"/>
      <c r="H7" s="119"/>
      <c r="I7" s="119"/>
      <c r="J7" s="120"/>
    </row>
    <row r="8" spans="1:10" x14ac:dyDescent="0.35">
      <c r="A8" s="126" t="s">
        <v>6</v>
      </c>
      <c r="B8" s="121"/>
      <c r="C8" s="121"/>
      <c r="D8" s="121"/>
      <c r="E8" s="122"/>
      <c r="F8" s="115" t="s">
        <v>184</v>
      </c>
      <c r="G8" s="116"/>
      <c r="H8" s="116"/>
      <c r="I8" s="116"/>
      <c r="J8" s="117"/>
    </row>
    <row r="9" spans="1:10" x14ac:dyDescent="0.35">
      <c r="A9" s="126" t="s">
        <v>269</v>
      </c>
      <c r="B9" s="121"/>
      <c r="C9" s="121"/>
      <c r="D9" s="121"/>
      <c r="E9" s="122"/>
      <c r="F9" s="126" t="s">
        <v>265</v>
      </c>
      <c r="G9" s="121"/>
      <c r="H9" s="121"/>
      <c r="I9" s="121"/>
      <c r="J9" s="122"/>
    </row>
    <row r="10" spans="1:10" x14ac:dyDescent="0.35">
      <c r="A10" s="126" t="s">
        <v>270</v>
      </c>
      <c r="B10" s="121"/>
      <c r="C10" s="121"/>
      <c r="D10" s="121"/>
      <c r="E10" s="122"/>
      <c r="F10" s="126" t="s">
        <v>277</v>
      </c>
      <c r="G10" s="121"/>
      <c r="H10" s="121"/>
      <c r="I10" s="121"/>
      <c r="J10" s="122"/>
    </row>
    <row r="11" spans="1:10" ht="32.25" customHeight="1" x14ac:dyDescent="0.35">
      <c r="A11" s="126" t="s">
        <v>7</v>
      </c>
      <c r="B11" s="121"/>
      <c r="C11" s="121"/>
      <c r="D11" s="121"/>
      <c r="E11" s="122"/>
      <c r="F11" s="138" t="s">
        <v>204</v>
      </c>
      <c r="G11" s="129"/>
      <c r="H11" s="129"/>
      <c r="I11" s="129"/>
      <c r="J11" s="130"/>
    </row>
    <row r="12" spans="1:10" ht="16.5" customHeight="1" x14ac:dyDescent="0.35">
      <c r="A12" s="126" t="s">
        <v>8</v>
      </c>
      <c r="B12" s="121"/>
      <c r="C12" s="121"/>
      <c r="D12" s="121"/>
      <c r="E12" s="122"/>
      <c r="F12" s="138" t="s">
        <v>9</v>
      </c>
      <c r="G12" s="139"/>
      <c r="H12" s="139"/>
      <c r="I12" s="139"/>
      <c r="J12" s="140"/>
    </row>
    <row r="13" spans="1:10" x14ac:dyDescent="0.35">
      <c r="A13" s="126" t="s">
        <v>180</v>
      </c>
      <c r="B13" s="121"/>
      <c r="C13" s="121"/>
      <c r="D13" s="121"/>
      <c r="E13" s="122"/>
      <c r="F13" s="118" t="s">
        <v>185</v>
      </c>
      <c r="G13" s="121"/>
      <c r="H13" s="121"/>
      <c r="I13" s="121"/>
      <c r="J13" s="122"/>
    </row>
    <row r="14" spans="1:10" ht="31.5" customHeight="1" x14ac:dyDescent="0.35">
      <c r="A14" s="143" t="s">
        <v>10</v>
      </c>
      <c r="B14" s="143"/>
      <c r="C14" s="118" t="str">
        <f>CONCATENATE((IF(OR(F8="",F8="NA"),"",F8)),", ",(IF(OR(A15="",A15="NA"),"",A15)),".",(IF(OR(C15="",C15="NA"),"",C15)),", ",(IF(OR(C16="",C16="NA"),"",C16)),", ",(IF(OR(H16="",H16="NA"),"",H16)),", ",(IF(OR(C17="",C17="NA"),"",C17)),", ",(IF(OR(C18="",C18="NA"),"",C18)),", ",(IF(OR(H17="",H17="NA"),"",H17)),", ",(IF(OR(H18="",H18="NA"),"",H18)),".")</f>
        <v>Orchid Enclave, Survey No.78/3 &amp; 79/1, Internal Road, Taloje Majkur, Taloja Panchanand, Panvel, Raigad, 410208.</v>
      </c>
      <c r="D14" s="119"/>
      <c r="E14" s="119"/>
      <c r="F14" s="119"/>
      <c r="G14" s="119"/>
      <c r="H14" s="119"/>
      <c r="I14" s="119"/>
      <c r="J14" s="120"/>
    </row>
    <row r="15" spans="1:10" ht="15.75" customHeight="1" x14ac:dyDescent="0.35">
      <c r="A15" s="118" t="s">
        <v>202</v>
      </c>
      <c r="B15" s="120"/>
      <c r="C15" s="138" t="s">
        <v>186</v>
      </c>
      <c r="D15" s="139"/>
      <c r="E15" s="139"/>
      <c r="F15" s="139"/>
      <c r="G15" s="139"/>
      <c r="H15" s="139"/>
      <c r="I15" s="139"/>
      <c r="J15" s="140"/>
    </row>
    <row r="16" spans="1:10" ht="15.75" customHeight="1" x14ac:dyDescent="0.35">
      <c r="A16" s="118" t="s">
        <v>11</v>
      </c>
      <c r="B16" s="120"/>
      <c r="C16" s="158" t="s">
        <v>201</v>
      </c>
      <c r="D16" s="158"/>
      <c r="E16" s="158"/>
      <c r="F16" s="141" t="s">
        <v>141</v>
      </c>
      <c r="G16" s="142"/>
      <c r="H16" s="138" t="s">
        <v>205</v>
      </c>
      <c r="I16" s="139"/>
      <c r="J16" s="140"/>
    </row>
    <row r="17" spans="1:10" x14ac:dyDescent="0.35">
      <c r="A17" s="123" t="s">
        <v>13</v>
      </c>
      <c r="B17" s="123"/>
      <c r="C17" s="158" t="s">
        <v>207</v>
      </c>
      <c r="D17" s="158"/>
      <c r="E17" s="158"/>
      <c r="F17" s="141" t="s">
        <v>12</v>
      </c>
      <c r="G17" s="142"/>
      <c r="H17" s="169" t="s">
        <v>187</v>
      </c>
      <c r="I17" s="169"/>
      <c r="J17" s="169"/>
    </row>
    <row r="18" spans="1:10" x14ac:dyDescent="0.35">
      <c r="A18" s="123" t="s">
        <v>142</v>
      </c>
      <c r="B18" s="123"/>
      <c r="C18" s="138" t="s">
        <v>162</v>
      </c>
      <c r="D18" s="139"/>
      <c r="E18" s="140"/>
      <c r="F18" s="141" t="s">
        <v>14</v>
      </c>
      <c r="G18" s="142"/>
      <c r="H18" s="138">
        <v>410208</v>
      </c>
      <c r="I18" s="139"/>
      <c r="J18" s="140"/>
    </row>
    <row r="19" spans="1:10" ht="32.25" customHeight="1" x14ac:dyDescent="0.35">
      <c r="A19" s="123" t="s">
        <v>15</v>
      </c>
      <c r="B19" s="123"/>
      <c r="C19" s="123" t="s">
        <v>200</v>
      </c>
      <c r="D19" s="123"/>
      <c r="E19" s="123"/>
      <c r="F19" s="143" t="s">
        <v>16</v>
      </c>
      <c r="G19" s="143"/>
      <c r="H19" s="139" t="s">
        <v>253</v>
      </c>
      <c r="I19" s="139"/>
      <c r="J19" s="140"/>
    </row>
    <row r="20" spans="1:10" ht="15" customHeight="1" x14ac:dyDescent="0.35">
      <c r="A20" s="141" t="s">
        <v>154</v>
      </c>
      <c r="B20" s="159"/>
      <c r="C20" s="159"/>
      <c r="D20" s="159"/>
      <c r="E20" s="142"/>
      <c r="F20" s="163" t="s">
        <v>17</v>
      </c>
      <c r="G20" s="164"/>
      <c r="H20" s="164"/>
      <c r="I20" s="164"/>
      <c r="J20" s="165"/>
    </row>
    <row r="21" spans="1:10" ht="18.75" customHeight="1" x14ac:dyDescent="0.35">
      <c r="A21" s="160"/>
      <c r="B21" s="161"/>
      <c r="C21" s="161"/>
      <c r="D21" s="161"/>
      <c r="E21" s="162"/>
      <c r="F21" s="166"/>
      <c r="G21" s="167"/>
      <c r="H21" s="167"/>
      <c r="I21" s="167"/>
      <c r="J21" s="168"/>
    </row>
    <row r="22" spans="1:10" ht="15" customHeight="1" x14ac:dyDescent="0.35">
      <c r="A22" s="141" t="s">
        <v>18</v>
      </c>
      <c r="B22" s="159"/>
      <c r="C22" s="159"/>
      <c r="D22" s="159"/>
      <c r="E22" s="142"/>
      <c r="F22" s="141" t="s">
        <v>19</v>
      </c>
      <c r="G22" s="159"/>
      <c r="H22" s="159"/>
      <c r="I22" s="159"/>
      <c r="J22" s="142"/>
    </row>
    <row r="23" spans="1:10" x14ac:dyDescent="0.35">
      <c r="A23" s="160"/>
      <c r="B23" s="161"/>
      <c r="C23" s="161"/>
      <c r="D23" s="161"/>
      <c r="E23" s="162"/>
      <c r="F23" s="160"/>
      <c r="G23" s="161"/>
      <c r="H23" s="161"/>
      <c r="I23" s="161"/>
      <c r="J23" s="162"/>
    </row>
    <row r="24" spans="1:10" ht="15" customHeight="1" x14ac:dyDescent="0.35">
      <c r="A24" s="126" t="s">
        <v>20</v>
      </c>
      <c r="B24" s="121"/>
      <c r="C24" s="121"/>
      <c r="D24" s="121"/>
      <c r="E24" s="122"/>
      <c r="F24" s="135" t="s">
        <v>21</v>
      </c>
      <c r="G24" s="136"/>
      <c r="H24" s="136"/>
      <c r="I24" s="136"/>
      <c r="J24" s="137"/>
    </row>
    <row r="25" spans="1:10" x14ac:dyDescent="0.35">
      <c r="A25" s="126" t="s">
        <v>22</v>
      </c>
      <c r="B25" s="121"/>
      <c r="C25" s="121"/>
      <c r="D25" s="121"/>
      <c r="E25" s="122"/>
      <c r="F25" s="135" t="s">
        <v>23</v>
      </c>
      <c r="G25" s="136"/>
      <c r="H25" s="136"/>
      <c r="I25" s="136"/>
      <c r="J25" s="137"/>
    </row>
    <row r="26" spans="1:10" ht="15" customHeight="1" x14ac:dyDescent="0.35">
      <c r="A26" s="126" t="s">
        <v>24</v>
      </c>
      <c r="B26" s="121"/>
      <c r="C26" s="121"/>
      <c r="D26" s="121"/>
      <c r="E26" s="122"/>
      <c r="F26" s="135" t="s">
        <v>25</v>
      </c>
      <c r="G26" s="136"/>
      <c r="H26" s="136"/>
      <c r="I26" s="136"/>
      <c r="J26" s="137"/>
    </row>
    <row r="27" spans="1:10" x14ac:dyDescent="0.35">
      <c r="A27" s="126" t="s">
        <v>26</v>
      </c>
      <c r="B27" s="121"/>
      <c r="C27" s="121"/>
      <c r="D27" s="121"/>
      <c r="E27" s="122"/>
      <c r="F27" s="135" t="s">
        <v>27</v>
      </c>
      <c r="G27" s="136"/>
      <c r="H27" s="136"/>
      <c r="I27" s="136"/>
      <c r="J27" s="137"/>
    </row>
    <row r="28" spans="1:10" x14ac:dyDescent="0.35">
      <c r="A28" s="144" t="s">
        <v>28</v>
      </c>
      <c r="B28" s="145"/>
      <c r="C28" s="144" t="s">
        <v>29</v>
      </c>
      <c r="D28" s="145"/>
      <c r="E28" s="144" t="s">
        <v>30</v>
      </c>
      <c r="F28" s="145"/>
      <c r="G28" s="144" t="s">
        <v>32</v>
      </c>
      <c r="H28" s="145"/>
      <c r="I28" s="144" t="s">
        <v>31</v>
      </c>
      <c r="J28" s="145"/>
    </row>
    <row r="29" spans="1:10" x14ac:dyDescent="0.35">
      <c r="A29" s="170" t="s">
        <v>33</v>
      </c>
      <c r="B29" s="171"/>
      <c r="C29" s="170" t="s">
        <v>34</v>
      </c>
      <c r="D29" s="171"/>
      <c r="E29" s="170" t="s">
        <v>34</v>
      </c>
      <c r="F29" s="171"/>
      <c r="G29" s="170" t="s">
        <v>34</v>
      </c>
      <c r="H29" s="171"/>
      <c r="I29" s="170" t="s">
        <v>34</v>
      </c>
      <c r="J29" s="171"/>
    </row>
    <row r="30" spans="1:10" x14ac:dyDescent="0.35">
      <c r="A30" s="170" t="s">
        <v>35</v>
      </c>
      <c r="B30" s="171"/>
      <c r="C30" s="175" t="s">
        <v>199</v>
      </c>
      <c r="D30" s="176"/>
      <c r="E30" s="175" t="s">
        <v>199</v>
      </c>
      <c r="F30" s="176"/>
      <c r="G30" s="175" t="s">
        <v>199</v>
      </c>
      <c r="H30" s="176"/>
      <c r="I30" s="175" t="s">
        <v>11</v>
      </c>
      <c r="J30" s="176"/>
    </row>
    <row r="31" spans="1:10" x14ac:dyDescent="0.35">
      <c r="A31" s="126" t="s">
        <v>36</v>
      </c>
      <c r="B31" s="121"/>
      <c r="C31" s="121"/>
      <c r="D31" s="121"/>
      <c r="E31" s="121"/>
      <c r="F31" s="121"/>
      <c r="G31" s="121"/>
      <c r="H31" s="121"/>
      <c r="I31" s="121"/>
      <c r="J31" s="122"/>
    </row>
    <row r="32" spans="1:10" x14ac:dyDescent="0.35">
      <c r="A32" s="126" t="s">
        <v>37</v>
      </c>
      <c r="B32" s="121"/>
      <c r="C32" s="121"/>
      <c r="D32" s="121"/>
      <c r="E32" s="121"/>
      <c r="F32" s="121"/>
      <c r="G32" s="121"/>
      <c r="H32" s="121"/>
      <c r="I32" s="121"/>
      <c r="J32" s="122"/>
    </row>
    <row r="33" spans="1:10" x14ac:dyDescent="0.35">
      <c r="A33" s="115" t="s">
        <v>38</v>
      </c>
      <c r="B33" s="117"/>
      <c r="C33" s="126" t="s">
        <v>271</v>
      </c>
      <c r="D33" s="121"/>
      <c r="E33" s="121"/>
      <c r="F33" s="121"/>
      <c r="G33" s="121"/>
      <c r="H33" s="121"/>
      <c r="I33" s="121"/>
      <c r="J33" s="122"/>
    </row>
    <row r="34" spans="1:10" x14ac:dyDescent="0.35">
      <c r="A34" s="115" t="s">
        <v>266</v>
      </c>
      <c r="B34" s="117"/>
      <c r="C34" s="177" t="s">
        <v>267</v>
      </c>
      <c r="D34" s="121"/>
      <c r="E34" s="121"/>
      <c r="F34" s="121"/>
      <c r="G34" s="121"/>
      <c r="H34" s="121"/>
      <c r="I34" s="121"/>
      <c r="J34" s="122"/>
    </row>
    <row r="35" spans="1:10" x14ac:dyDescent="0.35">
      <c r="A35" s="115" t="s">
        <v>39</v>
      </c>
      <c r="B35" s="116"/>
      <c r="C35" s="116"/>
      <c r="D35" s="116"/>
      <c r="E35" s="116"/>
      <c r="F35" s="116"/>
      <c r="G35" s="116"/>
      <c r="H35" s="116"/>
      <c r="I35" s="116"/>
      <c r="J35" s="117"/>
    </row>
    <row r="36" spans="1:10" ht="15" customHeight="1" x14ac:dyDescent="0.35">
      <c r="A36" s="118" t="s">
        <v>40</v>
      </c>
      <c r="B36" s="119"/>
      <c r="C36" s="119"/>
      <c r="D36" s="119"/>
      <c r="E36" s="120"/>
      <c r="F36" s="172" t="s">
        <v>203</v>
      </c>
      <c r="G36" s="173"/>
      <c r="H36" s="173"/>
      <c r="I36" s="173"/>
      <c r="J36" s="174"/>
    </row>
    <row r="37" spans="1:10" ht="15" customHeight="1" x14ac:dyDescent="0.35">
      <c r="A37" s="160" t="s">
        <v>41</v>
      </c>
      <c r="B37" s="161"/>
      <c r="C37" s="161"/>
      <c r="D37" s="161"/>
      <c r="E37" s="161"/>
      <c r="F37" s="118" t="s">
        <v>42</v>
      </c>
      <c r="G37" s="119"/>
      <c r="H37" s="119"/>
      <c r="I37" s="119"/>
      <c r="J37" s="120"/>
    </row>
    <row r="38" spans="1:10" x14ac:dyDescent="0.35">
      <c r="A38" s="265" t="s">
        <v>43</v>
      </c>
      <c r="B38" s="265"/>
      <c r="C38" s="265"/>
      <c r="D38" s="265"/>
      <c r="E38" s="265"/>
      <c r="F38" s="265"/>
      <c r="G38" s="265"/>
      <c r="H38" s="265"/>
      <c r="I38" s="265"/>
      <c r="J38" s="265"/>
    </row>
    <row r="39" spans="1:10" x14ac:dyDescent="0.35">
      <c r="A39" s="123" t="s">
        <v>44</v>
      </c>
      <c r="B39" s="123"/>
      <c r="C39" s="123"/>
      <c r="D39" s="123"/>
      <c r="E39" s="123"/>
      <c r="F39" s="266">
        <v>4769.8549999999996</v>
      </c>
      <c r="G39" s="266"/>
      <c r="H39" s="266"/>
      <c r="I39" s="266"/>
      <c r="J39" s="266"/>
    </row>
    <row r="40" spans="1:10" x14ac:dyDescent="0.35">
      <c r="A40" s="123" t="s">
        <v>45</v>
      </c>
      <c r="B40" s="123"/>
      <c r="C40" s="123"/>
      <c r="D40" s="123"/>
      <c r="E40" s="123"/>
      <c r="F40" s="267">
        <v>1.1000000000000001</v>
      </c>
      <c r="G40" s="267"/>
      <c r="H40" s="267"/>
      <c r="I40" s="267"/>
      <c r="J40" s="267"/>
    </row>
    <row r="41" spans="1:10" x14ac:dyDescent="0.35">
      <c r="A41" s="123" t="s">
        <v>46</v>
      </c>
      <c r="B41" s="123"/>
      <c r="C41" s="123"/>
      <c r="D41" s="123"/>
      <c r="E41" s="123"/>
      <c r="F41" s="267">
        <f>F43/F39-F40</f>
        <v>3.1447496828818089E-7</v>
      </c>
      <c r="G41" s="267"/>
      <c r="H41" s="267"/>
      <c r="I41" s="267"/>
      <c r="J41" s="267"/>
    </row>
    <row r="42" spans="1:10" x14ac:dyDescent="0.35">
      <c r="A42" s="123" t="s">
        <v>47</v>
      </c>
      <c r="B42" s="123"/>
      <c r="C42" s="123"/>
      <c r="D42" s="123"/>
      <c r="E42" s="123"/>
      <c r="F42" s="267">
        <f>F40+F41</f>
        <v>1.1000003144749684</v>
      </c>
      <c r="G42" s="267"/>
      <c r="H42" s="267"/>
      <c r="I42" s="267"/>
      <c r="J42" s="267"/>
    </row>
    <row r="43" spans="1:10" x14ac:dyDescent="0.35">
      <c r="A43" s="123" t="s">
        <v>48</v>
      </c>
      <c r="B43" s="123"/>
      <c r="C43" s="123"/>
      <c r="D43" s="123"/>
      <c r="E43" s="123"/>
      <c r="F43" s="268">
        <v>5246.8419999999996</v>
      </c>
      <c r="G43" s="268"/>
      <c r="H43" s="268"/>
      <c r="I43" s="268"/>
      <c r="J43" s="268"/>
    </row>
    <row r="44" spans="1:10" x14ac:dyDescent="0.35">
      <c r="A44" s="123" t="s">
        <v>49</v>
      </c>
      <c r="B44" s="123"/>
      <c r="C44" s="123"/>
      <c r="D44" s="123"/>
      <c r="E44" s="123"/>
      <c r="F44" s="158" t="s">
        <v>254</v>
      </c>
      <c r="G44" s="158"/>
      <c r="H44" s="158"/>
      <c r="I44" s="158"/>
      <c r="J44" s="158"/>
    </row>
    <row r="45" spans="1:10" x14ac:dyDescent="0.35">
      <c r="A45" s="115" t="s">
        <v>50</v>
      </c>
      <c r="B45" s="116"/>
      <c r="C45" s="116"/>
      <c r="D45" s="116"/>
      <c r="E45" s="116"/>
      <c r="F45" s="116"/>
      <c r="G45" s="116"/>
      <c r="H45" s="116"/>
      <c r="I45" s="116"/>
      <c r="J45" s="117"/>
    </row>
    <row r="46" spans="1:10" x14ac:dyDescent="0.35">
      <c r="A46" s="118" t="s">
        <v>51</v>
      </c>
      <c r="B46" s="120"/>
      <c r="C46" s="118" t="s">
        <v>255</v>
      </c>
      <c r="D46" s="119"/>
      <c r="E46" s="119"/>
      <c r="F46" s="120"/>
      <c r="G46" s="51" t="s">
        <v>52</v>
      </c>
      <c r="H46" s="131">
        <v>44526</v>
      </c>
      <c r="I46" s="119"/>
      <c r="J46" s="120"/>
    </row>
    <row r="47" spans="1:10" x14ac:dyDescent="0.35">
      <c r="A47" s="118" t="s">
        <v>53</v>
      </c>
      <c r="B47" s="120"/>
      <c r="C47" s="118" t="str">
        <f>C46</f>
        <v>PMP/NRV/2417/2021</v>
      </c>
      <c r="D47" s="119"/>
      <c r="E47" s="119"/>
      <c r="F47" s="120"/>
      <c r="G47" s="51" t="s">
        <v>52</v>
      </c>
      <c r="H47" s="131">
        <f>H46</f>
        <v>44526</v>
      </c>
      <c r="I47" s="132"/>
      <c r="J47" s="133"/>
    </row>
    <row r="48" spans="1:10" ht="34.5" customHeight="1" x14ac:dyDescent="0.35">
      <c r="A48" s="141" t="s">
        <v>54</v>
      </c>
      <c r="B48" s="142"/>
      <c r="C48" s="118" t="s">
        <v>256</v>
      </c>
      <c r="D48" s="119"/>
      <c r="E48" s="119"/>
      <c r="F48" s="120"/>
      <c r="G48" s="55" t="s">
        <v>52</v>
      </c>
      <c r="H48" s="146">
        <v>44526</v>
      </c>
      <c r="I48" s="121"/>
      <c r="J48" s="122"/>
    </row>
    <row r="49" spans="1:10" ht="33" customHeight="1" x14ac:dyDescent="0.35">
      <c r="A49" s="160"/>
      <c r="B49" s="162"/>
      <c r="C49" s="118" t="s">
        <v>273</v>
      </c>
      <c r="D49" s="119"/>
      <c r="E49" s="119"/>
      <c r="F49" s="119"/>
      <c r="G49" s="119"/>
      <c r="H49" s="119"/>
      <c r="I49" s="119"/>
      <c r="J49" s="120"/>
    </row>
    <row r="50" spans="1:10" ht="15" customHeight="1" x14ac:dyDescent="0.35">
      <c r="A50" s="118" t="s">
        <v>55</v>
      </c>
      <c r="B50" s="120"/>
      <c r="C50" s="118" t="s">
        <v>151</v>
      </c>
      <c r="D50" s="121"/>
      <c r="E50" s="121"/>
      <c r="F50" s="122" t="s">
        <v>56</v>
      </c>
      <c r="G50" s="51" t="s">
        <v>52</v>
      </c>
      <c r="H50" s="118" t="s">
        <v>34</v>
      </c>
      <c r="I50" s="119" t="s">
        <v>34</v>
      </c>
      <c r="J50" s="120"/>
    </row>
    <row r="51" spans="1:10" x14ac:dyDescent="0.35">
      <c r="A51" s="123" t="s">
        <v>57</v>
      </c>
      <c r="B51" s="123"/>
      <c r="C51" s="123"/>
      <c r="D51" s="124">
        <f>H48</f>
        <v>44526</v>
      </c>
      <c r="E51" s="125"/>
      <c r="F51" s="126" t="s">
        <v>58</v>
      </c>
      <c r="G51" s="127"/>
      <c r="H51" s="128">
        <v>46386</v>
      </c>
      <c r="I51" s="129"/>
      <c r="J51" s="130"/>
    </row>
    <row r="52" spans="1:10" x14ac:dyDescent="0.35">
      <c r="A52" s="181" t="s">
        <v>59</v>
      </c>
      <c r="B52" s="182"/>
      <c r="C52" s="182"/>
      <c r="D52" s="182"/>
      <c r="E52" s="182"/>
      <c r="F52" s="182"/>
      <c r="G52" s="182"/>
      <c r="H52" s="182"/>
      <c r="I52" s="182"/>
      <c r="J52" s="183"/>
    </row>
    <row r="53" spans="1:10" ht="15.75" customHeight="1" x14ac:dyDescent="0.35">
      <c r="A53" s="126" t="s">
        <v>60</v>
      </c>
      <c r="B53" s="121"/>
      <c r="C53" s="122"/>
      <c r="D53" s="170">
        <f>F43</f>
        <v>5246.8419999999996</v>
      </c>
      <c r="E53" s="171"/>
      <c r="F53" s="178" t="s">
        <v>61</v>
      </c>
      <c r="G53" s="180"/>
      <c r="H53" s="178" t="s">
        <v>252</v>
      </c>
      <c r="I53" s="179"/>
      <c r="J53" s="180"/>
    </row>
    <row r="54" spans="1:10" ht="33.75" customHeight="1" x14ac:dyDescent="0.35">
      <c r="A54" s="134" t="s">
        <v>62</v>
      </c>
      <c r="B54" s="129"/>
      <c r="C54" s="138" t="s">
        <v>257</v>
      </c>
      <c r="D54" s="139"/>
      <c r="E54" s="139"/>
      <c r="F54" s="139"/>
      <c r="G54" s="139"/>
      <c r="H54" s="139"/>
      <c r="I54" s="139"/>
      <c r="J54" s="140"/>
    </row>
    <row r="55" spans="1:10" ht="33" customHeight="1" x14ac:dyDescent="0.35">
      <c r="A55" s="134" t="s">
        <v>248</v>
      </c>
      <c r="B55" s="129"/>
      <c r="C55" s="138" t="s">
        <v>257</v>
      </c>
      <c r="D55" s="139"/>
      <c r="E55" s="139"/>
      <c r="F55" s="139"/>
      <c r="G55" s="139"/>
      <c r="H55" s="139"/>
      <c r="I55" s="139"/>
      <c r="J55" s="140"/>
    </row>
    <row r="56" spans="1:10" ht="15.75" customHeight="1" x14ac:dyDescent="0.35">
      <c r="A56" s="126" t="s">
        <v>63</v>
      </c>
      <c r="B56" s="121"/>
      <c r="C56" s="121"/>
      <c r="D56" s="118" t="s">
        <v>64</v>
      </c>
      <c r="E56" s="119"/>
      <c r="F56" s="119"/>
      <c r="G56" s="119"/>
      <c r="H56" s="119"/>
      <c r="I56" s="119"/>
      <c r="J56" s="120"/>
    </row>
    <row r="57" spans="1:10" ht="16" thickBot="1" x14ac:dyDescent="0.4">
      <c r="A57" s="134" t="s">
        <v>195</v>
      </c>
      <c r="B57" s="129"/>
      <c r="C57" s="129"/>
      <c r="D57" s="129"/>
      <c r="E57" s="129"/>
      <c r="F57" s="129"/>
      <c r="G57" s="129"/>
      <c r="H57" s="129"/>
      <c r="I57" s="129"/>
      <c r="J57" s="130"/>
    </row>
    <row r="58" spans="1:10" ht="15" hidden="1" customHeight="1" x14ac:dyDescent="0.35">
      <c r="A58" s="105" t="s">
        <v>65</v>
      </c>
      <c r="B58" s="106"/>
      <c r="C58" s="106"/>
      <c r="D58" s="106"/>
      <c r="E58" s="106"/>
      <c r="F58" s="106"/>
      <c r="G58" s="106"/>
      <c r="H58" s="106"/>
      <c r="I58" s="106"/>
      <c r="J58" s="107"/>
    </row>
    <row r="59" spans="1:10" ht="16.5" hidden="1" customHeight="1" x14ac:dyDescent="0.35">
      <c r="A59" s="105" t="s">
        <v>208</v>
      </c>
      <c r="B59" s="106"/>
      <c r="C59" s="106"/>
      <c r="D59" s="106"/>
      <c r="E59" s="106"/>
      <c r="F59" s="106"/>
      <c r="G59" s="106"/>
      <c r="H59" s="106"/>
      <c r="I59" s="106"/>
      <c r="J59" s="107"/>
    </row>
    <row r="60" spans="1:10" ht="15" hidden="1" customHeight="1" x14ac:dyDescent="0.35">
      <c r="A60" s="184"/>
      <c r="B60" s="185"/>
      <c r="C60" s="178" t="s">
        <v>66</v>
      </c>
      <c r="D60" s="179"/>
      <c r="E60" s="180"/>
      <c r="F60" s="178" t="s">
        <v>67</v>
      </c>
      <c r="G60" s="180"/>
      <c r="H60" s="184"/>
      <c r="I60" s="190"/>
      <c r="J60" s="185"/>
    </row>
    <row r="61" spans="1:10" hidden="1" x14ac:dyDescent="0.35">
      <c r="A61" s="186"/>
      <c r="B61" s="187"/>
      <c r="C61" s="178" t="s">
        <v>68</v>
      </c>
      <c r="D61" s="179"/>
      <c r="E61" s="180"/>
      <c r="F61" s="103">
        <f>'1%'!D6</f>
        <v>0.1</v>
      </c>
      <c r="G61" s="104"/>
      <c r="H61" s="186"/>
      <c r="I61" s="191"/>
      <c r="J61" s="187"/>
    </row>
    <row r="62" spans="1:10" hidden="1" x14ac:dyDescent="0.35">
      <c r="A62" s="186"/>
      <c r="B62" s="187"/>
      <c r="C62" s="178" t="s">
        <v>69</v>
      </c>
      <c r="D62" s="179"/>
      <c r="E62" s="180"/>
      <c r="F62" s="103">
        <f>'1%'!D7</f>
        <v>0</v>
      </c>
      <c r="G62" s="104"/>
      <c r="H62" s="186"/>
      <c r="I62" s="191"/>
      <c r="J62" s="187"/>
    </row>
    <row r="63" spans="1:10" hidden="1" x14ac:dyDescent="0.35">
      <c r="A63" s="186"/>
      <c r="B63" s="187"/>
      <c r="C63" s="178" t="s">
        <v>70</v>
      </c>
      <c r="D63" s="179"/>
      <c r="E63" s="180"/>
      <c r="F63" s="103">
        <f>'1%'!D8</f>
        <v>0</v>
      </c>
      <c r="G63" s="104"/>
      <c r="H63" s="186"/>
      <c r="I63" s="191"/>
      <c r="J63" s="187"/>
    </row>
    <row r="64" spans="1:10" hidden="1" x14ac:dyDescent="0.35">
      <c r="A64" s="186"/>
      <c r="B64" s="187"/>
      <c r="C64" s="178" t="s">
        <v>71</v>
      </c>
      <c r="D64" s="179"/>
      <c r="E64" s="180"/>
      <c r="F64" s="103">
        <f>'1%'!D9</f>
        <v>0</v>
      </c>
      <c r="G64" s="104"/>
      <c r="H64" s="186"/>
      <c r="I64" s="191"/>
      <c r="J64" s="187"/>
    </row>
    <row r="65" spans="1:13" hidden="1" x14ac:dyDescent="0.35">
      <c r="A65" s="186"/>
      <c r="B65" s="187"/>
      <c r="C65" s="178" t="s">
        <v>72</v>
      </c>
      <c r="D65" s="179"/>
      <c r="E65" s="180"/>
      <c r="F65" s="103">
        <f>'1%'!D10</f>
        <v>0</v>
      </c>
      <c r="G65" s="104"/>
      <c r="H65" s="186"/>
      <c r="I65" s="191"/>
      <c r="J65" s="187"/>
    </row>
    <row r="66" spans="1:13" ht="15" hidden="1" customHeight="1" x14ac:dyDescent="0.35">
      <c r="A66" s="186"/>
      <c r="B66" s="187"/>
      <c r="C66" s="178" t="s">
        <v>73</v>
      </c>
      <c r="D66" s="179"/>
      <c r="E66" s="180"/>
      <c r="F66" s="103">
        <f>'1%'!D11</f>
        <v>0</v>
      </c>
      <c r="G66" s="104"/>
      <c r="H66" s="186"/>
      <c r="I66" s="191"/>
      <c r="J66" s="187"/>
    </row>
    <row r="67" spans="1:13" hidden="1" x14ac:dyDescent="0.35">
      <c r="A67" s="188"/>
      <c r="B67" s="189"/>
      <c r="C67" s="178" t="s">
        <v>74</v>
      </c>
      <c r="D67" s="179"/>
      <c r="E67" s="180"/>
      <c r="F67" s="103">
        <f>'1%'!D12</f>
        <v>0</v>
      </c>
      <c r="G67" s="104"/>
      <c r="H67" s="188"/>
      <c r="I67" s="192"/>
      <c r="J67" s="189"/>
    </row>
    <row r="68" spans="1:13" hidden="1" x14ac:dyDescent="0.35">
      <c r="A68" s="196" t="s">
        <v>75</v>
      </c>
      <c r="B68" s="197"/>
      <c r="C68" s="198"/>
      <c r="D68" s="199">
        <f>'1%'!B22</f>
        <v>0.01</v>
      </c>
      <c r="E68" s="200"/>
      <c r="F68" s="201" t="s">
        <v>76</v>
      </c>
      <c r="G68" s="202"/>
      <c r="H68" s="200"/>
      <c r="I68" s="199">
        <v>0.01</v>
      </c>
      <c r="J68" s="203"/>
    </row>
    <row r="69" spans="1:13" ht="30" hidden="1" customHeight="1" x14ac:dyDescent="0.35">
      <c r="A69" s="105" t="s">
        <v>220</v>
      </c>
      <c r="B69" s="106"/>
      <c r="C69" s="106"/>
      <c r="D69" s="106"/>
      <c r="E69" s="106"/>
      <c r="F69" s="106"/>
      <c r="G69" s="106"/>
      <c r="H69" s="106"/>
      <c r="I69" s="106"/>
      <c r="J69" s="107"/>
    </row>
    <row r="70" spans="1:13" ht="15" hidden="1" customHeight="1" x14ac:dyDescent="0.35">
      <c r="A70" s="184"/>
      <c r="B70" s="185"/>
      <c r="C70" s="178" t="s">
        <v>66</v>
      </c>
      <c r="D70" s="179"/>
      <c r="E70" s="180"/>
      <c r="F70" s="178" t="s">
        <v>67</v>
      </c>
      <c r="G70" s="180"/>
      <c r="H70" s="184"/>
      <c r="I70" s="190"/>
      <c r="J70" s="185"/>
    </row>
    <row r="71" spans="1:13" hidden="1" x14ac:dyDescent="0.35">
      <c r="A71" s="186"/>
      <c r="B71" s="187"/>
      <c r="C71" s="178" t="s">
        <v>68</v>
      </c>
      <c r="D71" s="179"/>
      <c r="E71" s="180"/>
      <c r="F71" s="103">
        <f>'2(A&amp;B)% (2)'!D6</f>
        <v>1</v>
      </c>
      <c r="G71" s="104"/>
      <c r="H71" s="186"/>
      <c r="I71" s="191"/>
      <c r="J71" s="187"/>
    </row>
    <row r="72" spans="1:13" hidden="1" x14ac:dyDescent="0.35">
      <c r="A72" s="186"/>
      <c r="B72" s="187"/>
      <c r="C72" s="178" t="s">
        <v>69</v>
      </c>
      <c r="D72" s="179"/>
      <c r="E72" s="180"/>
      <c r="F72" s="103">
        <f>'2(A&amp;B)% (2)'!D7</f>
        <v>6.25E-2</v>
      </c>
      <c r="G72" s="104"/>
      <c r="H72" s="186"/>
      <c r="I72" s="191"/>
      <c r="J72" s="187"/>
    </row>
    <row r="73" spans="1:13" hidden="1" x14ac:dyDescent="0.35">
      <c r="A73" s="186"/>
      <c r="B73" s="187"/>
      <c r="C73" s="178" t="s">
        <v>70</v>
      </c>
      <c r="D73" s="179"/>
      <c r="E73" s="180"/>
      <c r="F73" s="103">
        <f>'2(A&amp;B)% (2)'!D8</f>
        <v>0</v>
      </c>
      <c r="G73" s="104"/>
      <c r="H73" s="186"/>
      <c r="I73" s="191"/>
      <c r="J73" s="187"/>
    </row>
    <row r="74" spans="1:13" hidden="1" x14ac:dyDescent="0.35">
      <c r="A74" s="186"/>
      <c r="B74" s="187"/>
      <c r="C74" s="178" t="s">
        <v>71</v>
      </c>
      <c r="D74" s="179"/>
      <c r="E74" s="180"/>
      <c r="F74" s="103">
        <f>'2(A&amp;B)% (2)'!D9</f>
        <v>0</v>
      </c>
      <c r="G74" s="104"/>
      <c r="H74" s="186"/>
      <c r="I74" s="191"/>
      <c r="J74" s="187"/>
    </row>
    <row r="75" spans="1:13" hidden="1" x14ac:dyDescent="0.35">
      <c r="A75" s="186"/>
      <c r="B75" s="187"/>
      <c r="C75" s="178" t="s">
        <v>72</v>
      </c>
      <c r="D75" s="179"/>
      <c r="E75" s="180"/>
      <c r="F75" s="103">
        <f>'2(A&amp;B)% (2)'!D10</f>
        <v>0</v>
      </c>
      <c r="G75" s="104"/>
      <c r="H75" s="186"/>
      <c r="I75" s="191"/>
      <c r="J75" s="187"/>
    </row>
    <row r="76" spans="1:13" ht="15" hidden="1" customHeight="1" x14ac:dyDescent="0.35">
      <c r="A76" s="186"/>
      <c r="B76" s="187"/>
      <c r="C76" s="178" t="s">
        <v>73</v>
      </c>
      <c r="D76" s="179"/>
      <c r="E76" s="180"/>
      <c r="F76" s="103">
        <f>'2(A&amp;B)% (2)'!D11</f>
        <v>0</v>
      </c>
      <c r="G76" s="104"/>
      <c r="H76" s="186"/>
      <c r="I76" s="191"/>
      <c r="J76" s="187"/>
    </row>
    <row r="77" spans="1:13" hidden="1" x14ac:dyDescent="0.35">
      <c r="A77" s="188"/>
      <c r="B77" s="189"/>
      <c r="C77" s="178" t="s">
        <v>74</v>
      </c>
      <c r="D77" s="179"/>
      <c r="E77" s="180"/>
      <c r="F77" s="103">
        <f>'2(A&amp;B)% (2)'!D12</f>
        <v>0</v>
      </c>
      <c r="G77" s="104"/>
      <c r="H77" s="188"/>
      <c r="I77" s="192"/>
      <c r="J77" s="189"/>
    </row>
    <row r="78" spans="1:13" ht="16" hidden="1" thickBot="1" x14ac:dyDescent="0.4">
      <c r="A78" s="196" t="s">
        <v>75</v>
      </c>
      <c r="B78" s="197"/>
      <c r="C78" s="198"/>
      <c r="D78" s="199">
        <f>'2(A&amp;B)% (2)'!B22</f>
        <v>0.125</v>
      </c>
      <c r="E78" s="200"/>
      <c r="F78" s="201" t="s">
        <v>76</v>
      </c>
      <c r="G78" s="202"/>
      <c r="H78" s="200"/>
      <c r="I78" s="199">
        <f>'2(A&amp;B)% (2)'!C22</f>
        <v>0.31874999999999998</v>
      </c>
      <c r="J78" s="203"/>
    </row>
    <row r="79" spans="1:13" s="57" customFormat="1" ht="15.75" customHeight="1" x14ac:dyDescent="0.35">
      <c r="A79" s="91" t="s">
        <v>258</v>
      </c>
      <c r="B79" s="92"/>
      <c r="C79" s="92"/>
      <c r="D79" s="92"/>
      <c r="E79" s="92"/>
      <c r="F79" s="92"/>
      <c r="G79" s="92"/>
      <c r="H79" s="92"/>
      <c r="I79" s="92"/>
      <c r="J79" s="93"/>
      <c r="K79" s="45" t="str">
        <f>(IF(C83=0,"Work not yet Started.",IF(D83=50%,"Excavation work in process",IF(D83=100%,"Excavation work completed, ","0")))&amp;(IF(C84=0%,"",IF(D84=25%,"Footing work is process",IF(D84=50%,"Footing work Completed",IF(D84=75%,"Plinth work is process",IF(D84=100%,"Plinth work completed","0"))))))&amp;(IF(C85&gt;0,", RCC upto "&amp;C85&amp;" Slab completed",""))&amp;(IF(C86&gt;0,", Brickwork upto "&amp;C86&amp;" Floor completed"," "))&amp;(IF(C87&gt;0,", Internal Plaster upto "&amp;C87&amp;" Floor completed"," "))&amp;(IF(C88&gt;0,", External Plaster upto "&amp;C88&amp;" Floor completed"," "))&amp;(IF(C89&gt;0,", Flooring upto "&amp;C89&amp;" Floor completed"," "))&amp;(IF(C90&gt;0,", Painting upto "&amp;C90&amp;" Floor completed"," "))&amp;(IF(C91&gt;0,", Finishing upto "&amp;C91&amp;" Floor completed"," ")))</f>
        <v xml:space="preserve">Excavation work completed, Plinth work completed, RCC upto 12 Slab completed, Brickwork upto 11 Floor completed, Internal Plaster upto 11 Floor completed, External Plaster upto 11 Floor completed, Flooring upto 10 Floor completed, Painting upto 10 Floor completed </v>
      </c>
      <c r="L79" s="45"/>
      <c r="M79" s="56"/>
    </row>
    <row r="80" spans="1:13" s="57" customFormat="1" x14ac:dyDescent="0.35">
      <c r="A80" s="94" t="s">
        <v>139</v>
      </c>
      <c r="B80" s="95"/>
      <c r="C80" s="50">
        <v>1</v>
      </c>
      <c r="D80" s="95" t="s">
        <v>138</v>
      </c>
      <c r="E80" s="95"/>
      <c r="F80" s="95">
        <v>0</v>
      </c>
      <c r="G80" s="95"/>
      <c r="H80" s="50" t="s">
        <v>227</v>
      </c>
      <c r="I80" s="95">
        <v>11</v>
      </c>
      <c r="J80" s="96"/>
      <c r="K80" s="46" t="s">
        <v>228</v>
      </c>
      <c r="L80" s="46"/>
      <c r="M80" s="58"/>
    </row>
    <row r="81" spans="1:13" s="57" customFormat="1" ht="65.25" customHeight="1" x14ac:dyDescent="0.35">
      <c r="A81" s="97" t="s">
        <v>229</v>
      </c>
      <c r="B81" s="98"/>
      <c r="C81" s="99" t="str">
        <f>K79</f>
        <v xml:space="preserve">Excavation work completed, Plinth work completed, RCC upto 12 Slab completed, Brickwork upto 11 Floor completed, Internal Plaster upto 11 Floor completed, External Plaster upto 11 Floor completed, Flooring upto 10 Floor completed, Painting upto 10 Floor completed </v>
      </c>
      <c r="D81" s="100"/>
      <c r="E81" s="100"/>
      <c r="F81" s="100"/>
      <c r="G81" s="100"/>
      <c r="H81" s="100"/>
      <c r="I81" s="100"/>
      <c r="J81" s="101"/>
      <c r="K81" s="46" t="s">
        <v>230</v>
      </c>
      <c r="L81" s="46"/>
      <c r="M81" s="58"/>
    </row>
    <row r="82" spans="1:13" s="57" customFormat="1" x14ac:dyDescent="0.35">
      <c r="A82" s="108" t="s">
        <v>66</v>
      </c>
      <c r="B82" s="109"/>
      <c r="C82" s="49" t="s">
        <v>231</v>
      </c>
      <c r="D82" s="109" t="s">
        <v>232</v>
      </c>
      <c r="E82" s="109"/>
      <c r="F82" s="109" t="s">
        <v>233</v>
      </c>
      <c r="G82" s="109"/>
      <c r="H82" s="109" t="s">
        <v>234</v>
      </c>
      <c r="I82" s="109"/>
      <c r="J82" s="110"/>
      <c r="K82" s="46" t="s">
        <v>235</v>
      </c>
      <c r="L82" s="59"/>
      <c r="M82" s="60"/>
    </row>
    <row r="83" spans="1:13" s="57" customFormat="1" x14ac:dyDescent="0.35">
      <c r="A83" s="108" t="s">
        <v>236</v>
      </c>
      <c r="B83" s="109"/>
      <c r="C83" s="61">
        <f>11</f>
        <v>11</v>
      </c>
      <c r="D83" s="111">
        <f>((100/I80)*C83)/100</f>
        <v>1.0000000000000002</v>
      </c>
      <c r="E83" s="111"/>
      <c r="F83" s="111">
        <f>(IF(C81=K81,"100%",IF(C81=K82,"100%",(((C84/I80*10)+(40/(C80+F80+I80)*C85)+(7.5/(I80)*C86)+(7.5/(I80)*C87)+(10/I80*C88)+(10/I80*C89)+(5/I80*C90)+(5/I80*C91)+(5/I80*C92))/100))))</f>
        <v>0.88636363636363635</v>
      </c>
      <c r="G83" s="111"/>
      <c r="H83" s="111">
        <f>((((C83/I80)*20)+((C84/I80)*25)+(30/(I80+F80+C80)*C85)+(5/I80*C86)+(5/I80*C87)+(5/I80*C88)+(5/I80*C89)+(0/I80*C90)+(0/I80*C91)+(5/I80*C92))/100)</f>
        <v>0.94545454545454544</v>
      </c>
      <c r="I83" s="111"/>
      <c r="J83" s="113"/>
      <c r="K83" s="46"/>
      <c r="L83" s="59"/>
      <c r="M83" s="60"/>
    </row>
    <row r="84" spans="1:13" s="57" customFormat="1" x14ac:dyDescent="0.35">
      <c r="A84" s="108" t="s">
        <v>68</v>
      </c>
      <c r="B84" s="109"/>
      <c r="C84" s="61">
        <f>M91</f>
        <v>11</v>
      </c>
      <c r="D84" s="111">
        <f>((100/I80)*C84)/100</f>
        <v>1.0000000000000002</v>
      </c>
      <c r="E84" s="111"/>
      <c r="F84" s="111"/>
      <c r="G84" s="111"/>
      <c r="H84" s="111"/>
      <c r="I84" s="111"/>
      <c r="J84" s="113"/>
      <c r="K84" s="59"/>
      <c r="L84" s="59"/>
      <c r="M84" s="60"/>
    </row>
    <row r="85" spans="1:13" s="57" customFormat="1" x14ac:dyDescent="0.35">
      <c r="A85" s="108" t="s">
        <v>237</v>
      </c>
      <c r="B85" s="109"/>
      <c r="C85" s="62">
        <v>12</v>
      </c>
      <c r="D85" s="111">
        <f>((100/(C80+F80+I80))*C85)/100</f>
        <v>1</v>
      </c>
      <c r="E85" s="111"/>
      <c r="F85" s="111"/>
      <c r="G85" s="111"/>
      <c r="H85" s="111"/>
      <c r="I85" s="111"/>
      <c r="J85" s="113"/>
      <c r="K85" s="47" t="s">
        <v>145</v>
      </c>
      <c r="L85" s="63"/>
      <c r="M85" s="64">
        <f>I80*50%</f>
        <v>5.5</v>
      </c>
    </row>
    <row r="86" spans="1:13" s="57" customFormat="1" x14ac:dyDescent="0.35">
      <c r="A86" s="108" t="s">
        <v>238</v>
      </c>
      <c r="B86" s="109" t="s">
        <v>239</v>
      </c>
      <c r="C86" s="61">
        <v>11</v>
      </c>
      <c r="D86" s="111">
        <f>((100/I80)*C86)/100</f>
        <v>1.0000000000000002</v>
      </c>
      <c r="E86" s="111"/>
      <c r="F86" s="111"/>
      <c r="G86" s="111"/>
      <c r="H86" s="111"/>
      <c r="I86" s="111"/>
      <c r="J86" s="113"/>
      <c r="K86" s="47" t="s">
        <v>146</v>
      </c>
      <c r="L86" s="63"/>
      <c r="M86" s="64">
        <f>I80</f>
        <v>11</v>
      </c>
    </row>
    <row r="87" spans="1:13" s="57" customFormat="1" x14ac:dyDescent="0.35">
      <c r="A87" s="108" t="s">
        <v>240</v>
      </c>
      <c r="B87" s="109" t="s">
        <v>239</v>
      </c>
      <c r="C87" s="61">
        <v>11</v>
      </c>
      <c r="D87" s="111">
        <f>((100/I80)*C87)/100</f>
        <v>1.0000000000000002</v>
      </c>
      <c r="E87" s="111"/>
      <c r="F87" s="111"/>
      <c r="G87" s="111"/>
      <c r="H87" s="111"/>
      <c r="I87" s="111"/>
      <c r="J87" s="113"/>
      <c r="K87" s="47"/>
      <c r="L87" s="63"/>
      <c r="M87" s="64"/>
    </row>
    <row r="88" spans="1:13" s="57" customFormat="1" x14ac:dyDescent="0.35">
      <c r="A88" s="108" t="s">
        <v>241</v>
      </c>
      <c r="B88" s="109" t="s">
        <v>242</v>
      </c>
      <c r="C88" s="61">
        <v>11</v>
      </c>
      <c r="D88" s="111">
        <f>((100/(I80))*C88)/100</f>
        <v>1.0000000000000002</v>
      </c>
      <c r="E88" s="111"/>
      <c r="F88" s="111"/>
      <c r="G88" s="111"/>
      <c r="H88" s="111"/>
      <c r="I88" s="111"/>
      <c r="J88" s="113"/>
      <c r="K88" s="47" t="s">
        <v>147</v>
      </c>
      <c r="L88" s="63"/>
      <c r="M88" s="64">
        <f>I80*25%</f>
        <v>2.75</v>
      </c>
    </row>
    <row r="89" spans="1:13" s="57" customFormat="1" x14ac:dyDescent="0.35">
      <c r="A89" s="108" t="s">
        <v>243</v>
      </c>
      <c r="B89" s="109" t="s">
        <v>243</v>
      </c>
      <c r="C89" s="61">
        <v>10</v>
      </c>
      <c r="D89" s="111">
        <f>((100/I80)*C89)/100</f>
        <v>0.90909090909090917</v>
      </c>
      <c r="E89" s="111"/>
      <c r="F89" s="111"/>
      <c r="G89" s="111"/>
      <c r="H89" s="111"/>
      <c r="I89" s="111"/>
      <c r="J89" s="113"/>
      <c r="K89" s="47" t="s">
        <v>148</v>
      </c>
      <c r="L89" s="63"/>
      <c r="M89" s="64">
        <f>I80*50%</f>
        <v>5.5</v>
      </c>
    </row>
    <row r="90" spans="1:13" s="57" customFormat="1" x14ac:dyDescent="0.35">
      <c r="A90" s="108" t="s">
        <v>244</v>
      </c>
      <c r="B90" s="109"/>
      <c r="C90" s="61">
        <v>10</v>
      </c>
      <c r="D90" s="111">
        <f>((100/I80)*C90)/100</f>
        <v>0.90909090909090917</v>
      </c>
      <c r="E90" s="111"/>
      <c r="F90" s="111"/>
      <c r="G90" s="111"/>
      <c r="H90" s="111"/>
      <c r="I90" s="111"/>
      <c r="J90" s="113"/>
      <c r="K90" s="47" t="s">
        <v>149</v>
      </c>
      <c r="L90" s="63"/>
      <c r="M90" s="64">
        <f>I80*75%</f>
        <v>8.25</v>
      </c>
    </row>
    <row r="91" spans="1:13" s="57" customFormat="1" x14ac:dyDescent="0.35">
      <c r="A91" s="108" t="s">
        <v>245</v>
      </c>
      <c r="B91" s="109" t="s">
        <v>245</v>
      </c>
      <c r="C91" s="61">
        <v>0</v>
      </c>
      <c r="D91" s="111">
        <f>((100/(I80))*C91)/100</f>
        <v>0</v>
      </c>
      <c r="E91" s="111"/>
      <c r="F91" s="111"/>
      <c r="G91" s="111"/>
      <c r="H91" s="111"/>
      <c r="I91" s="111"/>
      <c r="J91" s="113"/>
      <c r="K91" s="47" t="s">
        <v>150</v>
      </c>
      <c r="L91" s="63"/>
      <c r="M91" s="64">
        <f>I80</f>
        <v>11</v>
      </c>
    </row>
    <row r="92" spans="1:13" s="57" customFormat="1" ht="16" thickBot="1" x14ac:dyDescent="0.4">
      <c r="A92" s="251" t="s">
        <v>246</v>
      </c>
      <c r="B92" s="252"/>
      <c r="C92" s="65">
        <v>0</v>
      </c>
      <c r="D92" s="112">
        <f>((100/(I80))*C92)/100</f>
        <v>0</v>
      </c>
      <c r="E92" s="112"/>
      <c r="F92" s="112"/>
      <c r="G92" s="112"/>
      <c r="H92" s="112"/>
      <c r="I92" s="112"/>
      <c r="J92" s="114"/>
      <c r="K92" s="66"/>
      <c r="L92" s="66"/>
      <c r="M92" s="67"/>
    </row>
    <row r="93" spans="1:13" s="57" customFormat="1" ht="15.75" customHeight="1" x14ac:dyDescent="0.35">
      <c r="A93" s="91" t="s">
        <v>275</v>
      </c>
      <c r="B93" s="92"/>
      <c r="C93" s="92"/>
      <c r="D93" s="92"/>
      <c r="E93" s="92"/>
      <c r="F93" s="92"/>
      <c r="G93" s="92"/>
      <c r="H93" s="92"/>
      <c r="I93" s="92"/>
      <c r="J93" s="93"/>
      <c r="K93" s="45" t="str">
        <f>(IF(C97=0,"Work not yet Started.",IF(D97=50%,"Excavation work in process",IF(D97=100%,"Excavation work completed, ","0")))&amp;(IF(C98=0%,"",IF(D98=25%,"Footing work is process",IF(D98=50%,"Footing work Completed",IF(D98=75%,"Plinth work is process",IF(D98=100%,"Plinth work completed","0"))))))&amp;(IF(C99&gt;0,", RCC upto "&amp;C99&amp;" Slab completed",""))&amp;(IF(C100&gt;0,", Brickwork upto "&amp;C100&amp;" Floor completed"," "))&amp;(IF(C101&gt;0,", Internal Plaster upto "&amp;C101&amp;" Floor completed"," "))&amp;(IF(C102&gt;0,", External Plaster upto "&amp;C102&amp;" Floor completed"," "))&amp;(IF(C103&gt;0,", Flooring upto "&amp;C103&amp;" Floor completed"," "))&amp;(IF(C104&gt;0,", Painting upto "&amp;C104&amp;" Floor completed"," "))&amp;(IF(C105&gt;0,", Finishing upto "&amp;C105&amp;" Floor completed"," ")))</f>
        <v>Excavation work completed, Plinth work completed, RCC upto 12 Slab completed, Brickwork upto 11 Floor completed, Internal Plaster upto 11 Floor completed, External Plaster upto 11 Floor completed, Flooring upto 11 Floor completed, Painting upto 11 Floor completed, Finishing upto 4 Floor completed</v>
      </c>
      <c r="L93" s="45"/>
      <c r="M93" s="56"/>
    </row>
    <row r="94" spans="1:13" s="57" customFormat="1" x14ac:dyDescent="0.35">
      <c r="A94" s="94" t="s">
        <v>139</v>
      </c>
      <c r="B94" s="95"/>
      <c r="C94" s="81">
        <v>1</v>
      </c>
      <c r="D94" s="95" t="s">
        <v>138</v>
      </c>
      <c r="E94" s="95"/>
      <c r="F94" s="95">
        <v>0</v>
      </c>
      <c r="G94" s="95"/>
      <c r="H94" s="81" t="s">
        <v>227</v>
      </c>
      <c r="I94" s="95">
        <v>11</v>
      </c>
      <c r="J94" s="96"/>
      <c r="K94" s="46" t="s">
        <v>228</v>
      </c>
      <c r="L94" s="46"/>
      <c r="M94" s="58"/>
    </row>
    <row r="95" spans="1:13" s="57" customFormat="1" ht="65.25" customHeight="1" x14ac:dyDescent="0.35">
      <c r="A95" s="97" t="s">
        <v>229</v>
      </c>
      <c r="B95" s="98"/>
      <c r="C95" s="99" t="str">
        <f>K93</f>
        <v>Excavation work completed, Plinth work completed, RCC upto 12 Slab completed, Brickwork upto 11 Floor completed, Internal Plaster upto 11 Floor completed, External Plaster upto 11 Floor completed, Flooring upto 11 Floor completed, Painting upto 11 Floor completed, Finishing upto 4 Floor completed</v>
      </c>
      <c r="D95" s="100"/>
      <c r="E95" s="100"/>
      <c r="F95" s="100"/>
      <c r="G95" s="100"/>
      <c r="H95" s="100"/>
      <c r="I95" s="100"/>
      <c r="J95" s="101"/>
      <c r="K95" s="46" t="s">
        <v>230</v>
      </c>
      <c r="L95" s="46"/>
      <c r="M95" s="58"/>
    </row>
    <row r="96" spans="1:13" s="57" customFormat="1" x14ac:dyDescent="0.35">
      <c r="A96" s="83" t="s">
        <v>66</v>
      </c>
      <c r="B96" s="84"/>
      <c r="C96" s="80" t="s">
        <v>231</v>
      </c>
      <c r="D96" s="84" t="s">
        <v>232</v>
      </c>
      <c r="E96" s="84"/>
      <c r="F96" s="84" t="s">
        <v>233</v>
      </c>
      <c r="G96" s="84"/>
      <c r="H96" s="84" t="s">
        <v>234</v>
      </c>
      <c r="I96" s="84"/>
      <c r="J96" s="102"/>
      <c r="K96" s="46" t="s">
        <v>235</v>
      </c>
      <c r="L96" s="59"/>
      <c r="M96" s="60"/>
    </row>
    <row r="97" spans="1:13" s="57" customFormat="1" x14ac:dyDescent="0.35">
      <c r="A97" s="83" t="s">
        <v>236</v>
      </c>
      <c r="B97" s="84"/>
      <c r="C97" s="61">
        <f>M100</f>
        <v>11</v>
      </c>
      <c r="D97" s="85">
        <f>((100/I94)*C97)/100</f>
        <v>1.0000000000000002</v>
      </c>
      <c r="E97" s="85"/>
      <c r="F97" s="85">
        <f>(IF(C95=K95,"100%",IF(C95=K96,"100%",(((C98/I94*10)+(40/(C94+F94+I94)*C99)+(7.5/(I94)*C100)+(7.5/(I94)*C101)+(10/I94*C102)+(10/I94*C103)+(5/I94*C104)+(5/I94*C105)+(5/I94*C106))/100))))</f>
        <v>0.9181818181818181</v>
      </c>
      <c r="G97" s="85"/>
      <c r="H97" s="85">
        <f>((((C97/I94)*20)+((C98/I94)*25)+(30/(I94+F94+C94)*C99)+(5/I94*C100)+(5/I94*C101)+(5/I94*C102)+(5/I94*C103)+(0/I94*C104)+(0/I94*C105)+(5/I94*C106))/100)</f>
        <v>0.95</v>
      </c>
      <c r="I97" s="85"/>
      <c r="J97" s="87"/>
      <c r="K97" s="46"/>
      <c r="L97" s="59"/>
      <c r="M97" s="60"/>
    </row>
    <row r="98" spans="1:13" s="57" customFormat="1" x14ac:dyDescent="0.35">
      <c r="A98" s="83" t="s">
        <v>68</v>
      </c>
      <c r="B98" s="84"/>
      <c r="C98" s="61">
        <f>M105</f>
        <v>11</v>
      </c>
      <c r="D98" s="85">
        <f>((100/I94)*C98)/100</f>
        <v>1.0000000000000002</v>
      </c>
      <c r="E98" s="85"/>
      <c r="F98" s="85"/>
      <c r="G98" s="85"/>
      <c r="H98" s="85"/>
      <c r="I98" s="85"/>
      <c r="J98" s="87"/>
      <c r="K98" s="59"/>
      <c r="L98" s="59"/>
      <c r="M98" s="60"/>
    </row>
    <row r="99" spans="1:13" s="57" customFormat="1" x14ac:dyDescent="0.35">
      <c r="A99" s="83" t="s">
        <v>237</v>
      </c>
      <c r="B99" s="84"/>
      <c r="C99" s="62">
        <v>12</v>
      </c>
      <c r="D99" s="85">
        <f>((100/(C94+F94+I94))*C99)/100</f>
        <v>1</v>
      </c>
      <c r="E99" s="85"/>
      <c r="F99" s="85"/>
      <c r="G99" s="85"/>
      <c r="H99" s="85"/>
      <c r="I99" s="85"/>
      <c r="J99" s="87"/>
      <c r="K99" s="47" t="s">
        <v>145</v>
      </c>
      <c r="L99" s="63"/>
      <c r="M99" s="64">
        <f>I94*50%</f>
        <v>5.5</v>
      </c>
    </row>
    <row r="100" spans="1:13" s="57" customFormat="1" x14ac:dyDescent="0.35">
      <c r="A100" s="83" t="s">
        <v>238</v>
      </c>
      <c r="B100" s="84" t="s">
        <v>239</v>
      </c>
      <c r="C100" s="61">
        <v>11</v>
      </c>
      <c r="D100" s="85">
        <f>((100/I94)*C100)/100</f>
        <v>1.0000000000000002</v>
      </c>
      <c r="E100" s="85"/>
      <c r="F100" s="85"/>
      <c r="G100" s="85"/>
      <c r="H100" s="85"/>
      <c r="I100" s="85"/>
      <c r="J100" s="87"/>
      <c r="K100" s="47" t="s">
        <v>146</v>
      </c>
      <c r="L100" s="63"/>
      <c r="M100" s="64">
        <f>I94</f>
        <v>11</v>
      </c>
    </row>
    <row r="101" spans="1:13" s="57" customFormat="1" x14ac:dyDescent="0.35">
      <c r="A101" s="83" t="s">
        <v>240</v>
      </c>
      <c r="B101" s="84" t="s">
        <v>239</v>
      </c>
      <c r="C101" s="61">
        <v>11</v>
      </c>
      <c r="D101" s="85">
        <f>((100/I94)*C101)/100</f>
        <v>1.0000000000000002</v>
      </c>
      <c r="E101" s="85"/>
      <c r="F101" s="85"/>
      <c r="G101" s="85"/>
      <c r="H101" s="85"/>
      <c r="I101" s="85"/>
      <c r="J101" s="87"/>
      <c r="K101" s="47"/>
      <c r="L101" s="63"/>
      <c r="M101" s="64"/>
    </row>
    <row r="102" spans="1:13" s="57" customFormat="1" x14ac:dyDescent="0.35">
      <c r="A102" s="83" t="s">
        <v>241</v>
      </c>
      <c r="B102" s="84" t="s">
        <v>242</v>
      </c>
      <c r="C102" s="61">
        <v>11</v>
      </c>
      <c r="D102" s="85">
        <f>((100/(I94))*C102)/100</f>
        <v>1.0000000000000002</v>
      </c>
      <c r="E102" s="85"/>
      <c r="F102" s="85"/>
      <c r="G102" s="85"/>
      <c r="H102" s="85"/>
      <c r="I102" s="85"/>
      <c r="J102" s="87"/>
      <c r="K102" s="47" t="s">
        <v>147</v>
      </c>
      <c r="L102" s="63"/>
      <c r="M102" s="64">
        <f>I94*25%</f>
        <v>2.75</v>
      </c>
    </row>
    <row r="103" spans="1:13" s="57" customFormat="1" x14ac:dyDescent="0.35">
      <c r="A103" s="83" t="s">
        <v>243</v>
      </c>
      <c r="B103" s="84" t="s">
        <v>243</v>
      </c>
      <c r="C103" s="61">
        <v>11</v>
      </c>
      <c r="D103" s="85">
        <f>((100/I94)*C103)/100</f>
        <v>1.0000000000000002</v>
      </c>
      <c r="E103" s="85"/>
      <c r="F103" s="85"/>
      <c r="G103" s="85"/>
      <c r="H103" s="85"/>
      <c r="I103" s="85"/>
      <c r="J103" s="87"/>
      <c r="K103" s="47" t="s">
        <v>148</v>
      </c>
      <c r="L103" s="63"/>
      <c r="M103" s="64">
        <f>I94*50%</f>
        <v>5.5</v>
      </c>
    </row>
    <row r="104" spans="1:13" s="57" customFormat="1" x14ac:dyDescent="0.35">
      <c r="A104" s="83" t="s">
        <v>244</v>
      </c>
      <c r="B104" s="84"/>
      <c r="C104" s="61">
        <v>11</v>
      </c>
      <c r="D104" s="85">
        <f>((100/I94)*C104)/100</f>
        <v>1.0000000000000002</v>
      </c>
      <c r="E104" s="85"/>
      <c r="F104" s="85"/>
      <c r="G104" s="85"/>
      <c r="H104" s="85"/>
      <c r="I104" s="85"/>
      <c r="J104" s="87"/>
      <c r="K104" s="47" t="s">
        <v>149</v>
      </c>
      <c r="L104" s="63"/>
      <c r="M104" s="64">
        <f>I94*75%</f>
        <v>8.25</v>
      </c>
    </row>
    <row r="105" spans="1:13" s="57" customFormat="1" x14ac:dyDescent="0.35">
      <c r="A105" s="83" t="s">
        <v>245</v>
      </c>
      <c r="B105" s="84" t="s">
        <v>245</v>
      </c>
      <c r="C105" s="61">
        <v>4</v>
      </c>
      <c r="D105" s="85">
        <f>((100/(I94))*C105)/100</f>
        <v>0.36363636363636365</v>
      </c>
      <c r="E105" s="85"/>
      <c r="F105" s="85"/>
      <c r="G105" s="85"/>
      <c r="H105" s="85"/>
      <c r="I105" s="85"/>
      <c r="J105" s="87"/>
      <c r="K105" s="47" t="s">
        <v>150</v>
      </c>
      <c r="L105" s="63"/>
      <c r="M105" s="64">
        <f>I94</f>
        <v>11</v>
      </c>
    </row>
    <row r="106" spans="1:13" s="57" customFormat="1" ht="16" thickBot="1" x14ac:dyDescent="0.4">
      <c r="A106" s="89" t="s">
        <v>246</v>
      </c>
      <c r="B106" s="90"/>
      <c r="C106" s="65">
        <v>0</v>
      </c>
      <c r="D106" s="86">
        <f>((100/(I94))*C106)/100</f>
        <v>0</v>
      </c>
      <c r="E106" s="86"/>
      <c r="F106" s="86"/>
      <c r="G106" s="86"/>
      <c r="H106" s="86"/>
      <c r="I106" s="86"/>
      <c r="J106" s="88"/>
      <c r="K106" s="66"/>
      <c r="L106" s="66"/>
      <c r="M106" s="67"/>
    </row>
    <row r="107" spans="1:13" s="57" customFormat="1" ht="15.75" customHeight="1" x14ac:dyDescent="0.35">
      <c r="A107" s="91" t="s">
        <v>276</v>
      </c>
      <c r="B107" s="92"/>
      <c r="C107" s="92"/>
      <c r="D107" s="92"/>
      <c r="E107" s="92"/>
      <c r="F107" s="92"/>
      <c r="G107" s="92"/>
      <c r="H107" s="92"/>
      <c r="I107" s="92"/>
      <c r="J107" s="93"/>
      <c r="K107" s="45" t="str">
        <f>(IF(C111=0,"Work not yet Started.",IF(D111=50%,"Excavation work in process",IF(D111=100%,"Excavation work completed, ","0")))&amp;(IF(C112=0%,"",IF(D112=25%,"Footing work is process",IF(D112=50%,"Footing work Completed",IF(D112=75%,"Plinth work is process",IF(D112=100%,"Plinth work completed","0"))))))&amp;(IF(C113&gt;0,", RCC upto "&amp;C113&amp;" Slab completed",""))&amp;(IF(C114&gt;0,", Brickwork upto "&amp;C114&amp;" Floor completed"," "))&amp;(IF(C115&gt;0,", Internal Plaster upto "&amp;C115&amp;" Floor completed"," "))&amp;(IF(C116&gt;0,", External Plaster upto "&amp;C116&amp;" Floor completed"," "))&amp;(IF(C117&gt;0,", Flooring upto "&amp;C117&amp;" Floor completed"," "))&amp;(IF(C118&gt;0,", Painting upto "&amp;C118&amp;" Floor completed"," "))&amp;(IF(C119&gt;0,", Finishing upto "&amp;C119&amp;" Floor completed"," ")))</f>
        <v>Excavation work completed, Plinth work completed, RCC upto 12 Slab completed, Brickwork upto 11 Floor completed, Internal Plaster upto 11 Floor completed, External Plaster upto 11 Floor completed, Flooring upto 11 Floor completed, Painting upto 11 Floor completed, Finishing upto 2 Floor completed</v>
      </c>
      <c r="L107" s="45"/>
      <c r="M107" s="56"/>
    </row>
    <row r="108" spans="1:13" s="57" customFormat="1" x14ac:dyDescent="0.35">
      <c r="A108" s="94" t="s">
        <v>139</v>
      </c>
      <c r="B108" s="95"/>
      <c r="C108" s="50">
        <v>1</v>
      </c>
      <c r="D108" s="95" t="s">
        <v>138</v>
      </c>
      <c r="E108" s="95"/>
      <c r="F108" s="95">
        <v>0</v>
      </c>
      <c r="G108" s="95"/>
      <c r="H108" s="50" t="s">
        <v>227</v>
      </c>
      <c r="I108" s="95">
        <v>11</v>
      </c>
      <c r="J108" s="96"/>
      <c r="K108" s="46" t="s">
        <v>228</v>
      </c>
      <c r="L108" s="46"/>
      <c r="M108" s="58"/>
    </row>
    <row r="109" spans="1:13" s="57" customFormat="1" ht="65.25" customHeight="1" x14ac:dyDescent="0.35">
      <c r="A109" s="97" t="s">
        <v>229</v>
      </c>
      <c r="B109" s="98"/>
      <c r="C109" s="99" t="str">
        <f>K107</f>
        <v>Excavation work completed, Plinth work completed, RCC upto 12 Slab completed, Brickwork upto 11 Floor completed, Internal Plaster upto 11 Floor completed, External Plaster upto 11 Floor completed, Flooring upto 11 Floor completed, Painting upto 11 Floor completed, Finishing upto 2 Floor completed</v>
      </c>
      <c r="D109" s="100"/>
      <c r="E109" s="100"/>
      <c r="F109" s="100"/>
      <c r="G109" s="100"/>
      <c r="H109" s="100"/>
      <c r="I109" s="100"/>
      <c r="J109" s="101"/>
      <c r="K109" s="46" t="s">
        <v>230</v>
      </c>
      <c r="L109" s="46"/>
      <c r="M109" s="58"/>
    </row>
    <row r="110" spans="1:13" s="57" customFormat="1" x14ac:dyDescent="0.35">
      <c r="A110" s="83" t="s">
        <v>66</v>
      </c>
      <c r="B110" s="84"/>
      <c r="C110" s="48" t="s">
        <v>231</v>
      </c>
      <c r="D110" s="84" t="s">
        <v>232</v>
      </c>
      <c r="E110" s="84"/>
      <c r="F110" s="84" t="s">
        <v>233</v>
      </c>
      <c r="G110" s="84"/>
      <c r="H110" s="84" t="s">
        <v>234</v>
      </c>
      <c r="I110" s="84"/>
      <c r="J110" s="102"/>
      <c r="K110" s="46" t="s">
        <v>235</v>
      </c>
      <c r="L110" s="59"/>
      <c r="M110" s="60"/>
    </row>
    <row r="111" spans="1:13" s="57" customFormat="1" x14ac:dyDescent="0.35">
      <c r="A111" s="83" t="s">
        <v>236</v>
      </c>
      <c r="B111" s="84"/>
      <c r="C111" s="61">
        <f>M114</f>
        <v>11</v>
      </c>
      <c r="D111" s="85">
        <f>((100/I108)*C111)/100</f>
        <v>1.0000000000000002</v>
      </c>
      <c r="E111" s="85"/>
      <c r="F111" s="85">
        <f>(IF(C109=K109,"100%",IF(C109=K110,"100%",(((C112/I108*10)+(40/(C108+F108+I108)*C113)+(7.5/(I108)*C114)+(7.5/(I108)*C115)+(10/I108*C116)+(10/I108*C117)+(5/I108*C118)+(5/I108*C119)+(5/I108*C120))/100))))</f>
        <v>0.90909090909090906</v>
      </c>
      <c r="G111" s="85"/>
      <c r="H111" s="85">
        <f>((((C111/I108)*20)+((C112/I108)*25)+(30/(I108+F108+C108)*C113)+(5/I108*C114)+(5/I108*C115)+(5/I108*C116)+(5/I108*C117)+(0/I108*C118)+(0/I108*C119)+(5/I108*C120))/100)</f>
        <v>0.95</v>
      </c>
      <c r="I111" s="85"/>
      <c r="J111" s="87"/>
      <c r="K111" s="46"/>
      <c r="L111" s="59"/>
      <c r="M111" s="60"/>
    </row>
    <row r="112" spans="1:13" s="57" customFormat="1" x14ac:dyDescent="0.35">
      <c r="A112" s="83" t="s">
        <v>68</v>
      </c>
      <c r="B112" s="84"/>
      <c r="C112" s="61">
        <f>M119</f>
        <v>11</v>
      </c>
      <c r="D112" s="85">
        <f>((100/I108)*C112)/100</f>
        <v>1.0000000000000002</v>
      </c>
      <c r="E112" s="85"/>
      <c r="F112" s="85"/>
      <c r="G112" s="85"/>
      <c r="H112" s="85"/>
      <c r="I112" s="85"/>
      <c r="J112" s="87"/>
      <c r="K112" s="59"/>
      <c r="L112" s="59"/>
      <c r="M112" s="60"/>
    </row>
    <row r="113" spans="1:13" s="57" customFormat="1" x14ac:dyDescent="0.35">
      <c r="A113" s="83" t="s">
        <v>237</v>
      </c>
      <c r="B113" s="84"/>
      <c r="C113" s="62">
        <v>12</v>
      </c>
      <c r="D113" s="85">
        <f>((100/(C108+F108+I108))*C113)/100</f>
        <v>1</v>
      </c>
      <c r="E113" s="85"/>
      <c r="F113" s="85"/>
      <c r="G113" s="85"/>
      <c r="H113" s="85"/>
      <c r="I113" s="85"/>
      <c r="J113" s="87"/>
      <c r="K113" s="47" t="s">
        <v>145</v>
      </c>
      <c r="L113" s="63"/>
      <c r="M113" s="64">
        <f>I108*50%</f>
        <v>5.5</v>
      </c>
    </row>
    <row r="114" spans="1:13" s="57" customFormat="1" x14ac:dyDescent="0.35">
      <c r="A114" s="83" t="s">
        <v>238</v>
      </c>
      <c r="B114" s="84" t="s">
        <v>239</v>
      </c>
      <c r="C114" s="61">
        <v>11</v>
      </c>
      <c r="D114" s="85">
        <f>((100/I108)*C114)/100</f>
        <v>1.0000000000000002</v>
      </c>
      <c r="E114" s="85"/>
      <c r="F114" s="85"/>
      <c r="G114" s="85"/>
      <c r="H114" s="85"/>
      <c r="I114" s="85"/>
      <c r="J114" s="87"/>
      <c r="K114" s="47" t="s">
        <v>146</v>
      </c>
      <c r="L114" s="63"/>
      <c r="M114" s="64">
        <f>I108</f>
        <v>11</v>
      </c>
    </row>
    <row r="115" spans="1:13" s="57" customFormat="1" x14ac:dyDescent="0.35">
      <c r="A115" s="83" t="s">
        <v>240</v>
      </c>
      <c r="B115" s="84" t="s">
        <v>239</v>
      </c>
      <c r="C115" s="61">
        <v>11</v>
      </c>
      <c r="D115" s="85">
        <f>((100/I108)*C115)/100</f>
        <v>1.0000000000000002</v>
      </c>
      <c r="E115" s="85"/>
      <c r="F115" s="85"/>
      <c r="G115" s="85"/>
      <c r="H115" s="85"/>
      <c r="I115" s="85"/>
      <c r="J115" s="87"/>
      <c r="K115" s="47"/>
      <c r="L115" s="63"/>
      <c r="M115" s="64"/>
    </row>
    <row r="116" spans="1:13" s="57" customFormat="1" x14ac:dyDescent="0.35">
      <c r="A116" s="83" t="s">
        <v>241</v>
      </c>
      <c r="B116" s="84" t="s">
        <v>242</v>
      </c>
      <c r="C116" s="61">
        <v>11</v>
      </c>
      <c r="D116" s="85">
        <f>((100/(I108))*C116)/100</f>
        <v>1.0000000000000002</v>
      </c>
      <c r="E116" s="85"/>
      <c r="F116" s="85"/>
      <c r="G116" s="85"/>
      <c r="H116" s="85"/>
      <c r="I116" s="85"/>
      <c r="J116" s="87"/>
      <c r="K116" s="47" t="s">
        <v>147</v>
      </c>
      <c r="L116" s="63"/>
      <c r="M116" s="64">
        <f>I108*25%</f>
        <v>2.75</v>
      </c>
    </row>
    <row r="117" spans="1:13" s="57" customFormat="1" x14ac:dyDescent="0.35">
      <c r="A117" s="83" t="s">
        <v>243</v>
      </c>
      <c r="B117" s="84" t="s">
        <v>243</v>
      </c>
      <c r="C117" s="61">
        <v>11</v>
      </c>
      <c r="D117" s="85">
        <f>((100/I108)*C117)/100</f>
        <v>1.0000000000000002</v>
      </c>
      <c r="E117" s="85"/>
      <c r="F117" s="85"/>
      <c r="G117" s="85"/>
      <c r="H117" s="85"/>
      <c r="I117" s="85"/>
      <c r="J117" s="87"/>
      <c r="K117" s="47" t="s">
        <v>148</v>
      </c>
      <c r="L117" s="63"/>
      <c r="M117" s="64">
        <f>I108*50%</f>
        <v>5.5</v>
      </c>
    </row>
    <row r="118" spans="1:13" s="57" customFormat="1" x14ac:dyDescent="0.35">
      <c r="A118" s="83" t="s">
        <v>244</v>
      </c>
      <c r="B118" s="84"/>
      <c r="C118" s="61">
        <v>11</v>
      </c>
      <c r="D118" s="85">
        <f>((100/I108)*C118)/100</f>
        <v>1.0000000000000002</v>
      </c>
      <c r="E118" s="85"/>
      <c r="F118" s="85"/>
      <c r="G118" s="85"/>
      <c r="H118" s="85"/>
      <c r="I118" s="85"/>
      <c r="J118" s="87"/>
      <c r="K118" s="47" t="s">
        <v>149</v>
      </c>
      <c r="L118" s="63"/>
      <c r="M118" s="64">
        <f>I108*75%</f>
        <v>8.25</v>
      </c>
    </row>
    <row r="119" spans="1:13" s="57" customFormat="1" x14ac:dyDescent="0.35">
      <c r="A119" s="83" t="s">
        <v>245</v>
      </c>
      <c r="B119" s="84" t="s">
        <v>245</v>
      </c>
      <c r="C119" s="61">
        <v>2</v>
      </c>
      <c r="D119" s="85">
        <f>((100/(I108))*C119)/100</f>
        <v>0.18181818181818182</v>
      </c>
      <c r="E119" s="85"/>
      <c r="F119" s="85"/>
      <c r="G119" s="85"/>
      <c r="H119" s="85"/>
      <c r="I119" s="85"/>
      <c r="J119" s="87"/>
      <c r="K119" s="47" t="s">
        <v>150</v>
      </c>
      <c r="L119" s="63"/>
      <c r="M119" s="64">
        <f>I108</f>
        <v>11</v>
      </c>
    </row>
    <row r="120" spans="1:13" s="57" customFormat="1" ht="16" thickBot="1" x14ac:dyDescent="0.4">
      <c r="A120" s="89" t="s">
        <v>246</v>
      </c>
      <c r="B120" s="90"/>
      <c r="C120" s="65">
        <v>0</v>
      </c>
      <c r="D120" s="86">
        <f>((100/(I108))*C120)/100</f>
        <v>0</v>
      </c>
      <c r="E120" s="86"/>
      <c r="F120" s="86"/>
      <c r="G120" s="86"/>
      <c r="H120" s="86"/>
      <c r="I120" s="86"/>
      <c r="J120" s="88"/>
      <c r="K120" s="66"/>
      <c r="L120" s="66"/>
      <c r="M120" s="67"/>
    </row>
    <row r="121" spans="1:13" s="57" customFormat="1" ht="15.75" hidden="1" customHeight="1" x14ac:dyDescent="0.35">
      <c r="A121" s="91" t="s">
        <v>247</v>
      </c>
      <c r="B121" s="92"/>
      <c r="C121" s="92"/>
      <c r="D121" s="92"/>
      <c r="E121" s="92"/>
      <c r="F121" s="92"/>
      <c r="G121" s="92"/>
      <c r="H121" s="92"/>
      <c r="I121" s="92"/>
      <c r="J121" s="93"/>
      <c r="K121" s="45" t="str">
        <f>(IF(C125=0,"Work not yet Started.",IF(D125=50%,"Excavation work in process",IF(D125=100%,"Excavation work completed, ","0")))&amp;(IF(C126=0%,"",IF(D126=25%,"Footing work is process",IF(D126=50%,"Footing work Completed",IF(D126=75%,"Plinth work is process",IF(D126=100%,"Plinth work completed","0"))))))&amp;(IF(C127&gt;0,", RCC upto "&amp;C127&amp;" Slab completed",""))&amp;(IF(C128&gt;0,", Brickwork upto "&amp;C128&amp;" Floor completed"," "))&amp;(IF(C129&gt;0,", Internal Plaster upto "&amp;C129&amp;" Floor completed"," "))&amp;(IF(C130&gt;0,", External Plaster upto "&amp;C130&amp;" Floor completed"," "))&amp;(IF(C131&gt;0,", Flooring upto "&amp;C131&amp;" Floor completed"," "))&amp;(IF(C132&gt;0,", Painting upto "&amp;C132&amp;" Floor completed"," "))&amp;(IF(C133&gt;0,", Finishing upto "&amp;C133&amp;" Floor completed"," ")))</f>
        <v xml:space="preserve">Excavation work completed, Plinth work completed, RCC upto 1 Slab completed      </v>
      </c>
      <c r="L121" s="45"/>
      <c r="M121" s="56"/>
    </row>
    <row r="122" spans="1:13" s="57" customFormat="1" hidden="1" x14ac:dyDescent="0.35">
      <c r="A122" s="94" t="s">
        <v>139</v>
      </c>
      <c r="B122" s="95"/>
      <c r="C122" s="50">
        <v>1</v>
      </c>
      <c r="D122" s="95" t="s">
        <v>138</v>
      </c>
      <c r="E122" s="95"/>
      <c r="F122" s="95">
        <v>0</v>
      </c>
      <c r="G122" s="95"/>
      <c r="H122" s="50" t="s">
        <v>227</v>
      </c>
      <c r="I122" s="95">
        <v>7</v>
      </c>
      <c r="J122" s="96"/>
      <c r="K122" s="46" t="s">
        <v>228</v>
      </c>
      <c r="L122" s="46"/>
      <c r="M122" s="58"/>
    </row>
    <row r="123" spans="1:13" s="57" customFormat="1" ht="32.25" hidden="1" customHeight="1" x14ac:dyDescent="0.35">
      <c r="A123" s="97" t="s">
        <v>229</v>
      </c>
      <c r="B123" s="98"/>
      <c r="C123" s="99" t="str">
        <f>K121</f>
        <v xml:space="preserve">Excavation work completed, Plinth work completed, RCC upto 1 Slab completed      </v>
      </c>
      <c r="D123" s="100"/>
      <c r="E123" s="100"/>
      <c r="F123" s="100"/>
      <c r="G123" s="100"/>
      <c r="H123" s="100"/>
      <c r="I123" s="100"/>
      <c r="J123" s="101"/>
      <c r="K123" s="46" t="s">
        <v>230</v>
      </c>
      <c r="L123" s="46"/>
      <c r="M123" s="58"/>
    </row>
    <row r="124" spans="1:13" s="57" customFormat="1" hidden="1" x14ac:dyDescent="0.35">
      <c r="A124" s="83" t="s">
        <v>66</v>
      </c>
      <c r="B124" s="84"/>
      <c r="C124" s="48" t="s">
        <v>231</v>
      </c>
      <c r="D124" s="84" t="s">
        <v>232</v>
      </c>
      <c r="E124" s="84"/>
      <c r="F124" s="84" t="s">
        <v>233</v>
      </c>
      <c r="G124" s="84"/>
      <c r="H124" s="84" t="s">
        <v>234</v>
      </c>
      <c r="I124" s="84"/>
      <c r="J124" s="102"/>
      <c r="K124" s="46" t="s">
        <v>235</v>
      </c>
      <c r="L124" s="59"/>
      <c r="M124" s="60"/>
    </row>
    <row r="125" spans="1:13" s="57" customFormat="1" hidden="1" x14ac:dyDescent="0.35">
      <c r="A125" s="83" t="s">
        <v>236</v>
      </c>
      <c r="B125" s="84"/>
      <c r="C125" s="61">
        <f>M128</f>
        <v>7</v>
      </c>
      <c r="D125" s="85">
        <f>((100/I122)*C125)/100</f>
        <v>1</v>
      </c>
      <c r="E125" s="85"/>
      <c r="F125" s="85">
        <f>(IF(C123=K123,"100%",IF(C123=K124,"100%",(((C126/I122*10)+(40/(C122+F122+I122)*C127)+(7.5/(I122)*C128)+(7.5/(I122)*C129)+(10/I122*C130)+(10/I122*C131)+(5/I122*C132)+(5/I122*C133)+(5/I122*C134))/100))))</f>
        <v>0.15</v>
      </c>
      <c r="G125" s="85"/>
      <c r="H125" s="85">
        <f>((((C125/I122)*20)+((C126/I122)*25)+(30/(I122+F122+C122)*C127)+(5/I122*C128)+(5/I122*C129)+(5/I122*C130)+(5/I122*C131)+(0/I122*C132)+(0/I122*C133)+(5/I122*C134))/100)</f>
        <v>0.48749999999999999</v>
      </c>
      <c r="I125" s="85"/>
      <c r="J125" s="87"/>
      <c r="K125" s="46"/>
      <c r="L125" s="59"/>
      <c r="M125" s="60"/>
    </row>
    <row r="126" spans="1:13" s="57" customFormat="1" hidden="1" x14ac:dyDescent="0.35">
      <c r="A126" s="83" t="s">
        <v>68</v>
      </c>
      <c r="B126" s="84"/>
      <c r="C126" s="61">
        <f>M133</f>
        <v>7</v>
      </c>
      <c r="D126" s="85">
        <f>((100/I122)*C126)/100</f>
        <v>1</v>
      </c>
      <c r="E126" s="85"/>
      <c r="F126" s="85"/>
      <c r="G126" s="85"/>
      <c r="H126" s="85"/>
      <c r="I126" s="85"/>
      <c r="J126" s="87"/>
      <c r="K126" s="59"/>
      <c r="L126" s="59"/>
      <c r="M126" s="60"/>
    </row>
    <row r="127" spans="1:13" s="57" customFormat="1" hidden="1" x14ac:dyDescent="0.35">
      <c r="A127" s="83" t="s">
        <v>237</v>
      </c>
      <c r="B127" s="84"/>
      <c r="C127" s="62">
        <v>1</v>
      </c>
      <c r="D127" s="85">
        <f>((100/(C122+F122+I122))*C127)/100</f>
        <v>0.125</v>
      </c>
      <c r="E127" s="85"/>
      <c r="F127" s="85"/>
      <c r="G127" s="85"/>
      <c r="H127" s="85"/>
      <c r="I127" s="85"/>
      <c r="J127" s="87"/>
      <c r="K127" s="47" t="s">
        <v>145</v>
      </c>
      <c r="L127" s="63"/>
      <c r="M127" s="64">
        <f>I122*50%</f>
        <v>3.5</v>
      </c>
    </row>
    <row r="128" spans="1:13" s="57" customFormat="1" hidden="1" x14ac:dyDescent="0.35">
      <c r="A128" s="83" t="s">
        <v>238</v>
      </c>
      <c r="B128" s="84" t="s">
        <v>239</v>
      </c>
      <c r="C128" s="61">
        <v>0</v>
      </c>
      <c r="D128" s="85">
        <f>((100/I122)*C128)/100</f>
        <v>0</v>
      </c>
      <c r="E128" s="85"/>
      <c r="F128" s="85"/>
      <c r="G128" s="85"/>
      <c r="H128" s="85"/>
      <c r="I128" s="85"/>
      <c r="J128" s="87"/>
      <c r="K128" s="47" t="s">
        <v>146</v>
      </c>
      <c r="L128" s="63"/>
      <c r="M128" s="64">
        <f>I122</f>
        <v>7</v>
      </c>
    </row>
    <row r="129" spans="1:13" s="57" customFormat="1" hidden="1" x14ac:dyDescent="0.35">
      <c r="A129" s="83" t="s">
        <v>240</v>
      </c>
      <c r="B129" s="84" t="s">
        <v>239</v>
      </c>
      <c r="C129" s="61">
        <v>0</v>
      </c>
      <c r="D129" s="85">
        <f>((100/I122)*C129)/100</f>
        <v>0</v>
      </c>
      <c r="E129" s="85"/>
      <c r="F129" s="85"/>
      <c r="G129" s="85"/>
      <c r="H129" s="85"/>
      <c r="I129" s="85"/>
      <c r="J129" s="87"/>
      <c r="K129" s="47"/>
      <c r="L129" s="63"/>
      <c r="M129" s="64"/>
    </row>
    <row r="130" spans="1:13" s="57" customFormat="1" hidden="1" x14ac:dyDescent="0.35">
      <c r="A130" s="83" t="s">
        <v>241</v>
      </c>
      <c r="B130" s="84" t="s">
        <v>242</v>
      </c>
      <c r="C130" s="61">
        <v>0</v>
      </c>
      <c r="D130" s="85">
        <f>((100/(I122))*C130)/100</f>
        <v>0</v>
      </c>
      <c r="E130" s="85"/>
      <c r="F130" s="85"/>
      <c r="G130" s="85"/>
      <c r="H130" s="85"/>
      <c r="I130" s="85"/>
      <c r="J130" s="87"/>
      <c r="K130" s="47" t="s">
        <v>147</v>
      </c>
      <c r="L130" s="63"/>
      <c r="M130" s="64">
        <f>I122*25%</f>
        <v>1.75</v>
      </c>
    </row>
    <row r="131" spans="1:13" s="57" customFormat="1" hidden="1" x14ac:dyDescent="0.35">
      <c r="A131" s="83" t="s">
        <v>243</v>
      </c>
      <c r="B131" s="84" t="s">
        <v>243</v>
      </c>
      <c r="C131" s="61">
        <v>0</v>
      </c>
      <c r="D131" s="85">
        <f>((100/I122)*C131)/100</f>
        <v>0</v>
      </c>
      <c r="E131" s="85"/>
      <c r="F131" s="85"/>
      <c r="G131" s="85"/>
      <c r="H131" s="85"/>
      <c r="I131" s="85"/>
      <c r="J131" s="87"/>
      <c r="K131" s="47" t="s">
        <v>148</v>
      </c>
      <c r="L131" s="63"/>
      <c r="M131" s="64">
        <f>I122*50%</f>
        <v>3.5</v>
      </c>
    </row>
    <row r="132" spans="1:13" s="57" customFormat="1" hidden="1" x14ac:dyDescent="0.35">
      <c r="A132" s="83" t="s">
        <v>244</v>
      </c>
      <c r="B132" s="84"/>
      <c r="C132" s="61">
        <v>0</v>
      </c>
      <c r="D132" s="85">
        <f>((100/I122)*C132)/100</f>
        <v>0</v>
      </c>
      <c r="E132" s="85"/>
      <c r="F132" s="85"/>
      <c r="G132" s="85"/>
      <c r="H132" s="85"/>
      <c r="I132" s="85"/>
      <c r="J132" s="87"/>
      <c r="K132" s="47" t="s">
        <v>149</v>
      </c>
      <c r="L132" s="63"/>
      <c r="M132" s="64">
        <f>I122*75%</f>
        <v>5.25</v>
      </c>
    </row>
    <row r="133" spans="1:13" s="57" customFormat="1" hidden="1" x14ac:dyDescent="0.35">
      <c r="A133" s="83" t="s">
        <v>245</v>
      </c>
      <c r="B133" s="84" t="s">
        <v>245</v>
      </c>
      <c r="C133" s="61">
        <v>0</v>
      </c>
      <c r="D133" s="85">
        <f>((100/(I122))*C133)/100</f>
        <v>0</v>
      </c>
      <c r="E133" s="85"/>
      <c r="F133" s="85"/>
      <c r="G133" s="85"/>
      <c r="H133" s="85"/>
      <c r="I133" s="85"/>
      <c r="J133" s="87"/>
      <c r="K133" s="47" t="s">
        <v>150</v>
      </c>
      <c r="L133" s="63"/>
      <c r="M133" s="64">
        <f>I122</f>
        <v>7</v>
      </c>
    </row>
    <row r="134" spans="1:13" s="57" customFormat="1" ht="16" hidden="1" thickBot="1" x14ac:dyDescent="0.4">
      <c r="A134" s="89" t="s">
        <v>246</v>
      </c>
      <c r="B134" s="90"/>
      <c r="C134" s="65">
        <v>0</v>
      </c>
      <c r="D134" s="86">
        <f>((100/(I122))*C134)/100</f>
        <v>0</v>
      </c>
      <c r="E134" s="86"/>
      <c r="F134" s="86"/>
      <c r="G134" s="86"/>
      <c r="H134" s="86"/>
      <c r="I134" s="86"/>
      <c r="J134" s="88"/>
      <c r="K134" s="66"/>
      <c r="L134" s="66"/>
      <c r="M134" s="67"/>
    </row>
    <row r="135" spans="1:13" x14ac:dyDescent="0.35">
      <c r="A135" s="134" t="s">
        <v>196</v>
      </c>
      <c r="B135" s="129"/>
      <c r="C135" s="129"/>
      <c r="D135" s="129"/>
      <c r="E135" s="129"/>
      <c r="F135" s="129"/>
      <c r="G135" s="129"/>
      <c r="H135" s="129"/>
      <c r="I135" s="129"/>
      <c r="J135" s="130"/>
    </row>
    <row r="136" spans="1:13" x14ac:dyDescent="0.35">
      <c r="A136" s="126" t="s">
        <v>77</v>
      </c>
      <c r="B136" s="121"/>
      <c r="C136" s="121"/>
      <c r="D136" s="121"/>
      <c r="E136" s="121"/>
      <c r="F136" s="121"/>
      <c r="G136" s="121"/>
      <c r="H136" s="121"/>
      <c r="I136" s="121"/>
      <c r="J136" s="122"/>
    </row>
    <row r="137" spans="1:13" ht="15" customHeight="1" x14ac:dyDescent="0.35">
      <c r="A137" s="256" t="s">
        <v>143</v>
      </c>
      <c r="B137" s="257"/>
      <c r="C137" s="105" t="s">
        <v>144</v>
      </c>
      <c r="D137" s="106"/>
      <c r="E137" s="106"/>
      <c r="F137" s="106"/>
      <c r="G137" s="106"/>
      <c r="H137" s="106"/>
      <c r="I137" s="106"/>
      <c r="J137" s="107"/>
    </row>
    <row r="138" spans="1:13" x14ac:dyDescent="0.35">
      <c r="A138" s="115" t="s">
        <v>78</v>
      </c>
      <c r="B138" s="116"/>
      <c r="C138" s="116"/>
      <c r="D138" s="116"/>
      <c r="E138" s="116"/>
      <c r="F138" s="116"/>
      <c r="G138" s="116"/>
      <c r="H138" s="116"/>
      <c r="I138" s="116"/>
      <c r="J138" s="117"/>
    </row>
    <row r="139" spans="1:13" x14ac:dyDescent="0.35">
      <c r="A139" s="126" t="s">
        <v>152</v>
      </c>
      <c r="B139" s="121"/>
      <c r="C139" s="121"/>
      <c r="D139" s="121"/>
      <c r="E139" s="121"/>
      <c r="F139" s="122"/>
      <c r="G139" s="253">
        <v>4700</v>
      </c>
      <c r="H139" s="254"/>
      <c r="I139" s="254"/>
      <c r="J139" s="255"/>
    </row>
    <row r="140" spans="1:13" x14ac:dyDescent="0.35">
      <c r="A140" s="126" t="s">
        <v>221</v>
      </c>
      <c r="B140" s="121"/>
      <c r="C140" s="121"/>
      <c r="D140" s="121"/>
      <c r="E140" s="121"/>
      <c r="F140" s="122"/>
      <c r="G140" s="193">
        <v>200000</v>
      </c>
      <c r="H140" s="194"/>
      <c r="I140" s="194"/>
      <c r="J140" s="195"/>
    </row>
    <row r="141" spans="1:13" x14ac:dyDescent="0.35">
      <c r="A141" s="126" t="s">
        <v>222</v>
      </c>
      <c r="B141" s="121"/>
      <c r="C141" s="121"/>
      <c r="D141" s="121"/>
      <c r="E141" s="121"/>
      <c r="F141" s="122"/>
      <c r="G141" s="193">
        <v>100000</v>
      </c>
      <c r="H141" s="194"/>
      <c r="I141" s="194"/>
      <c r="J141" s="195"/>
    </row>
    <row r="142" spans="1:13" x14ac:dyDescent="0.35">
      <c r="A142" s="126" t="s">
        <v>223</v>
      </c>
      <c r="B142" s="121"/>
      <c r="C142" s="121"/>
      <c r="D142" s="121"/>
      <c r="E142" s="121"/>
      <c r="F142" s="122"/>
      <c r="G142" s="193">
        <v>50000</v>
      </c>
      <c r="H142" s="194"/>
      <c r="I142" s="194"/>
      <c r="J142" s="195"/>
    </row>
    <row r="143" spans="1:13" x14ac:dyDescent="0.35">
      <c r="A143" s="126" t="s">
        <v>224</v>
      </c>
      <c r="B143" s="121"/>
      <c r="C143" s="121"/>
      <c r="D143" s="121"/>
      <c r="E143" s="121"/>
      <c r="F143" s="122"/>
      <c r="G143" s="193">
        <v>50000</v>
      </c>
      <c r="H143" s="194"/>
      <c r="I143" s="194"/>
      <c r="J143" s="195"/>
    </row>
    <row r="144" spans="1:13" x14ac:dyDescent="0.35">
      <c r="A144" s="126" t="s">
        <v>226</v>
      </c>
      <c r="B144" s="121"/>
      <c r="C144" s="121"/>
      <c r="D144" s="121"/>
      <c r="E144" s="121"/>
      <c r="F144" s="122"/>
      <c r="G144" s="193">
        <v>100000</v>
      </c>
      <c r="H144" s="194"/>
      <c r="I144" s="194"/>
      <c r="J144" s="195"/>
    </row>
    <row r="145" spans="1:18" x14ac:dyDescent="0.35">
      <c r="A145" s="126" t="s">
        <v>225</v>
      </c>
      <c r="B145" s="121"/>
      <c r="C145" s="121"/>
      <c r="D145" s="121"/>
      <c r="E145" s="121"/>
      <c r="F145" s="122"/>
      <c r="G145" s="193">
        <v>50000</v>
      </c>
      <c r="H145" s="194"/>
      <c r="I145" s="194"/>
      <c r="J145" s="195"/>
    </row>
    <row r="146" spans="1:18" x14ac:dyDescent="0.35">
      <c r="A146" s="126" t="s">
        <v>79</v>
      </c>
      <c r="B146" s="121"/>
      <c r="C146" s="121"/>
      <c r="D146" s="121"/>
      <c r="E146" s="121"/>
      <c r="F146" s="122"/>
      <c r="G146" s="193">
        <v>150000</v>
      </c>
      <c r="H146" s="194"/>
      <c r="I146" s="194"/>
      <c r="J146" s="195"/>
    </row>
    <row r="147" spans="1:18" s="68" customFormat="1" ht="14.5" customHeight="1" x14ac:dyDescent="0.35">
      <c r="A147" s="115" t="s">
        <v>80</v>
      </c>
      <c r="B147" s="116"/>
      <c r="C147" s="116"/>
      <c r="D147" s="116"/>
      <c r="E147" s="116"/>
      <c r="F147" s="117"/>
      <c r="G147" s="193">
        <f>G139*0.8</f>
        <v>3760</v>
      </c>
      <c r="H147" s="194"/>
      <c r="I147" s="194"/>
      <c r="J147" s="195"/>
    </row>
    <row r="148" spans="1:18" s="69" customFormat="1" x14ac:dyDescent="0.35">
      <c r="A148" s="213" t="s">
        <v>136</v>
      </c>
      <c r="B148" s="214"/>
      <c r="C148" s="214"/>
      <c r="D148" s="214"/>
      <c r="E148" s="214"/>
      <c r="F148" s="214"/>
      <c r="G148" s="214"/>
      <c r="H148" s="214"/>
      <c r="I148" s="214"/>
      <c r="J148" s="215"/>
      <c r="L148" s="69" t="s">
        <v>260</v>
      </c>
    </row>
    <row r="149" spans="1:18" s="69" customFormat="1" x14ac:dyDescent="0.35">
      <c r="A149" s="218" t="s">
        <v>81</v>
      </c>
      <c r="B149" s="219"/>
      <c r="C149" s="70" t="s">
        <v>177</v>
      </c>
      <c r="D149" s="220" t="s">
        <v>82</v>
      </c>
      <c r="E149" s="221"/>
      <c r="F149" s="222"/>
      <c r="G149" s="218" t="s">
        <v>83</v>
      </c>
      <c r="H149" s="223"/>
      <c r="I149" s="223"/>
      <c r="J149" s="219"/>
      <c r="L149" s="69" t="s">
        <v>261</v>
      </c>
    </row>
    <row r="150" spans="1:18" s="69" customFormat="1" x14ac:dyDescent="0.35">
      <c r="A150" s="216" t="s">
        <v>188</v>
      </c>
      <c r="B150" s="217"/>
      <c r="C150" s="71">
        <f>COUNT(D160:D167)*10+COUNT(D169,D171:D176)</f>
        <v>87</v>
      </c>
      <c r="D150" s="206">
        <f>SUM(D160:D167)*10+SUM(D169,D171:D176)</f>
        <v>36187.330139999998</v>
      </c>
      <c r="E150" s="207"/>
      <c r="F150" s="208"/>
      <c r="G150" s="206">
        <f>SUM(G160:G167)*10+SUM(G169,G171:G176)</f>
        <v>57780.322999999997</v>
      </c>
      <c r="H150" s="207"/>
      <c r="I150" s="207"/>
      <c r="J150" s="208"/>
      <c r="L150" s="69">
        <v>4500</v>
      </c>
    </row>
    <row r="151" spans="1:18" s="69" customFormat="1" ht="15.75" customHeight="1" x14ac:dyDescent="0.35">
      <c r="A151" s="209" t="s">
        <v>264</v>
      </c>
      <c r="B151" s="53" t="s">
        <v>192</v>
      </c>
      <c r="C151" s="71">
        <f>COUNT(D181:D184)*10+COUNT(D186:D188)</f>
        <v>43</v>
      </c>
      <c r="D151" s="206">
        <f>SUM(D181:D184)*10+SUM(D186:D188)</f>
        <v>24600.207060000004</v>
      </c>
      <c r="E151" s="207"/>
      <c r="F151" s="208"/>
      <c r="G151" s="206">
        <f>SUM(G181:G184)*10+SUM(G186:G188)</f>
        <v>39247.879999999997</v>
      </c>
      <c r="H151" s="207"/>
      <c r="I151" s="207"/>
      <c r="J151" s="208"/>
    </row>
    <row r="152" spans="1:18" s="69" customFormat="1" ht="15.75" customHeight="1" x14ac:dyDescent="0.35">
      <c r="A152" s="209"/>
      <c r="B152" s="53" t="s">
        <v>194</v>
      </c>
      <c r="C152" s="71">
        <f>COUNT(D193:D199)*10+COUNT(D201:D206)</f>
        <v>76</v>
      </c>
      <c r="D152" s="206">
        <f>SUM(D193:D199)*10+SUM(D201:D206)</f>
        <v>33962.190677999999</v>
      </c>
      <c r="E152" s="207"/>
      <c r="F152" s="208"/>
      <c r="G152" s="206">
        <f>SUM(G193:G199)*10+SUM(G201:G206)</f>
        <v>53204.657000000007</v>
      </c>
      <c r="H152" s="207"/>
      <c r="I152" s="207"/>
      <c r="J152" s="208"/>
    </row>
    <row r="153" spans="1:18" s="69" customFormat="1" x14ac:dyDescent="0.35">
      <c r="A153" s="213" t="s">
        <v>85</v>
      </c>
      <c r="B153" s="214"/>
      <c r="C153" s="72">
        <f>SUM(C150:C152)</f>
        <v>206</v>
      </c>
      <c r="D153" s="242">
        <f>SUM(D150:D152)</f>
        <v>94749.727878000005</v>
      </c>
      <c r="E153" s="243"/>
      <c r="F153" s="244"/>
      <c r="G153" s="245">
        <f>SUM(G150:G152)</f>
        <v>150232.85999999999</v>
      </c>
      <c r="H153" s="246"/>
      <c r="I153" s="246"/>
      <c r="J153" s="247"/>
    </row>
    <row r="154" spans="1:18" s="68" customFormat="1" x14ac:dyDescent="0.35">
      <c r="A154" s="152" t="s">
        <v>86</v>
      </c>
      <c r="B154" s="153"/>
      <c r="C154" s="153"/>
      <c r="D154" s="153"/>
      <c r="E154" s="153"/>
      <c r="F154" s="153"/>
      <c r="G154" s="153"/>
      <c r="H154" s="153"/>
      <c r="I154" s="153"/>
      <c r="J154" s="154"/>
    </row>
    <row r="155" spans="1:18" x14ac:dyDescent="0.35">
      <c r="A155" s="152" t="s">
        <v>87</v>
      </c>
      <c r="B155" s="153"/>
      <c r="C155" s="153"/>
      <c r="D155" s="153"/>
      <c r="E155" s="153"/>
      <c r="F155" s="153"/>
      <c r="G155" s="153"/>
      <c r="H155" s="153"/>
      <c r="I155" s="153"/>
      <c r="J155" s="154"/>
    </row>
    <row r="156" spans="1:18" ht="45" x14ac:dyDescent="0.35">
      <c r="A156" s="248" t="s">
        <v>153</v>
      </c>
      <c r="B156" s="250"/>
      <c r="C156" s="1" t="s">
        <v>88</v>
      </c>
      <c r="D156" s="248" t="s">
        <v>89</v>
      </c>
      <c r="E156" s="250"/>
      <c r="F156" s="8" t="s">
        <v>90</v>
      </c>
      <c r="G156" s="1" t="s">
        <v>259</v>
      </c>
      <c r="H156" s="248" t="s">
        <v>91</v>
      </c>
      <c r="I156" s="249"/>
      <c r="J156" s="250"/>
    </row>
    <row r="157" spans="1:18" s="73" customFormat="1" ht="16.5" customHeight="1" x14ac:dyDescent="0.35">
      <c r="A157" s="210" t="s">
        <v>188</v>
      </c>
      <c r="B157" s="211"/>
      <c r="C157" s="211"/>
      <c r="D157" s="211"/>
      <c r="E157" s="211"/>
      <c r="F157" s="211"/>
      <c r="G157" s="211"/>
      <c r="H157" s="211"/>
      <c r="I157" s="211"/>
      <c r="J157" s="212"/>
    </row>
    <row r="158" spans="1:18" s="73" customFormat="1" ht="16.5" customHeight="1" x14ac:dyDescent="0.35">
      <c r="A158" s="210" t="s">
        <v>189</v>
      </c>
      <c r="B158" s="211"/>
      <c r="C158" s="211"/>
      <c r="D158" s="211"/>
      <c r="E158" s="211"/>
      <c r="F158" s="211"/>
      <c r="G158" s="211"/>
      <c r="H158" s="211"/>
      <c r="I158" s="211"/>
      <c r="J158" s="212"/>
    </row>
    <row r="159" spans="1:18" s="73" customFormat="1" ht="16.5" customHeight="1" x14ac:dyDescent="0.35">
      <c r="A159" s="210" t="s">
        <v>249</v>
      </c>
      <c r="B159" s="211"/>
      <c r="C159" s="211"/>
      <c r="D159" s="211"/>
      <c r="E159" s="211"/>
      <c r="F159" s="211"/>
      <c r="G159" s="211"/>
      <c r="H159" s="211"/>
      <c r="I159" s="211"/>
      <c r="J159" s="212"/>
    </row>
    <row r="160" spans="1:18" s="73" customFormat="1" ht="15.75" customHeight="1" x14ac:dyDescent="0.35">
      <c r="A160" s="204" t="str">
        <f>R160</f>
        <v>101,..,1101</v>
      </c>
      <c r="B160" s="205"/>
      <c r="C160" s="2" t="s">
        <v>190</v>
      </c>
      <c r="D160" s="204">
        <f>(3.95*2.75+1.5*2.2+2.5*1+2.4*2.75+2.85*1+1.25*0.9+1.9*1.2+2.7*1.75+0.9*1+1.2*1.3)*10.764</f>
        <v>395.06571000000008</v>
      </c>
      <c r="E160" s="205"/>
      <c r="F160" s="2">
        <v>0</v>
      </c>
      <c r="G160" s="2">
        <v>624.80399999999997</v>
      </c>
      <c r="H160" s="238" t="str">
        <f>A159</f>
        <v>1st to 7th, 9th to 11th Floor for Residential</v>
      </c>
      <c r="I160" s="239"/>
      <c r="J160" s="240"/>
      <c r="L160" s="73">
        <f>3600000/G160</f>
        <v>5761.8069026446692</v>
      </c>
      <c r="N160" s="74">
        <f>$G$139*G160+$G$140+$G$141+$G$142+$G$143+$G$144+$G$145</f>
        <v>3486578.8</v>
      </c>
      <c r="O160" s="73">
        <v>101</v>
      </c>
      <c r="P160" s="73">
        <v>1101</v>
      </c>
      <c r="R160" s="73" t="str">
        <f>O160&amp;""&amp;",..,"&amp;""&amp;P160</f>
        <v>101,..,1101</v>
      </c>
    </row>
    <row r="161" spans="1:18" s="73" customFormat="1" x14ac:dyDescent="0.35">
      <c r="A161" s="204" t="str">
        <f t="shared" ref="A161:A167" si="0">R161</f>
        <v>102,..,1102</v>
      </c>
      <c r="B161" s="205"/>
      <c r="C161" s="2" t="s">
        <v>190</v>
      </c>
      <c r="D161" s="204">
        <f>(3.95*2.75+1.5*2.2+2.5*1+2.4*2.75+2.85*1+1.25*0.9+1.9*1.2+2.7*1.75+0.9*1+1.2*1.3)*10.764</f>
        <v>395.06571000000008</v>
      </c>
      <c r="E161" s="205"/>
      <c r="F161" s="2">
        <v>0</v>
      </c>
      <c r="G161" s="2">
        <v>624.80399999999997</v>
      </c>
      <c r="H161" s="229"/>
      <c r="I161" s="230"/>
      <c r="J161" s="231"/>
      <c r="N161" s="74">
        <f t="shared" ref="N161:N176" si="1">$G$139*G161+$G$140+$G$141+$G$142+$G$143+$G$144+$G$145</f>
        <v>3486578.8</v>
      </c>
      <c r="O161" s="73">
        <v>102</v>
      </c>
      <c r="P161" s="73">
        <v>1102</v>
      </c>
      <c r="R161" s="73" t="str">
        <f t="shared" ref="R161:R167" si="2">O161&amp;""&amp;",..,"&amp;""&amp;P161</f>
        <v>102,..,1102</v>
      </c>
    </row>
    <row r="162" spans="1:18" s="73" customFormat="1" x14ac:dyDescent="0.35">
      <c r="A162" s="204" t="str">
        <f t="shared" si="0"/>
        <v>103,..,1103</v>
      </c>
      <c r="B162" s="205"/>
      <c r="C162" s="2" t="s">
        <v>190</v>
      </c>
      <c r="D162" s="204">
        <f>(2.75*3.95+2.85*1.95+2.1*1.6+2.35*1+2.9*1.2+2.75*2.4+1.7*0.6+1.8*1.2+1.2*2+2.1*1)*10.764</f>
        <v>429.37595999999996</v>
      </c>
      <c r="E162" s="205"/>
      <c r="F162" s="2">
        <v>0</v>
      </c>
      <c r="G162" s="2">
        <v>680.58399999999995</v>
      </c>
      <c r="H162" s="229"/>
      <c r="I162" s="230"/>
      <c r="J162" s="231"/>
      <c r="N162" s="74">
        <f t="shared" si="1"/>
        <v>3748744.8</v>
      </c>
      <c r="O162" s="73">
        <v>103</v>
      </c>
      <c r="P162" s="73">
        <v>1103</v>
      </c>
      <c r="R162" s="73" t="str">
        <f t="shared" si="2"/>
        <v>103,..,1103</v>
      </c>
    </row>
    <row r="163" spans="1:18" s="73" customFormat="1" x14ac:dyDescent="0.35">
      <c r="A163" s="204" t="str">
        <f t="shared" si="0"/>
        <v>104,..,1104</v>
      </c>
      <c r="B163" s="205"/>
      <c r="C163" s="2" t="s">
        <v>190</v>
      </c>
      <c r="D163" s="204">
        <f>(2.75*3.95+2.7*1.95+2.1*1.6+2.35*1+2.9*1.2+2.75*2.4+1.7*0.6+1.8*1.2+1.2*1.2+1*2.1)*10.764</f>
        <v>415.89405000000011</v>
      </c>
      <c r="E163" s="205"/>
      <c r="F163" s="2">
        <v>0</v>
      </c>
      <c r="G163" s="2">
        <v>680.58399999999995</v>
      </c>
      <c r="H163" s="229"/>
      <c r="I163" s="230"/>
      <c r="J163" s="231"/>
      <c r="N163" s="74">
        <f t="shared" si="1"/>
        <v>3748744.8</v>
      </c>
      <c r="O163" s="73">
        <v>104</v>
      </c>
      <c r="P163" s="73">
        <v>1104</v>
      </c>
      <c r="R163" s="73" t="str">
        <f t="shared" si="2"/>
        <v>104,..,1104</v>
      </c>
    </row>
    <row r="164" spans="1:18" s="73" customFormat="1" x14ac:dyDescent="0.35">
      <c r="A164" s="204" t="str">
        <f t="shared" si="0"/>
        <v>105,..,1105</v>
      </c>
      <c r="B164" s="205"/>
      <c r="C164" s="2" t="s">
        <v>190</v>
      </c>
      <c r="D164" s="204">
        <f>(2.95*3.95+3.05*1+2.3*1.5+2.45*1+2.9*2.5+3.07*1+2.05*0.6+1.8*1.2+1.2*1.9+0.9*2.3+0.3*1.2)*10.764</f>
        <v>420.03818999999999</v>
      </c>
      <c r="E164" s="205"/>
      <c r="F164" s="2">
        <v>0</v>
      </c>
      <c r="G164" s="2">
        <v>665.20100000000002</v>
      </c>
      <c r="H164" s="229"/>
      <c r="I164" s="230"/>
      <c r="J164" s="231"/>
      <c r="N164" s="74">
        <f t="shared" si="1"/>
        <v>3676444.7</v>
      </c>
      <c r="O164" s="73">
        <v>105</v>
      </c>
      <c r="P164" s="73">
        <v>1105</v>
      </c>
      <c r="R164" s="73" t="str">
        <f t="shared" si="2"/>
        <v>105,..,1105</v>
      </c>
    </row>
    <row r="165" spans="1:18" s="73" customFormat="1" x14ac:dyDescent="0.35">
      <c r="A165" s="204" t="str">
        <f t="shared" si="0"/>
        <v>106,..,1106</v>
      </c>
      <c r="B165" s="205"/>
      <c r="C165" s="2" t="s">
        <v>190</v>
      </c>
      <c r="D165" s="204">
        <f>(2.95*3.95+3.05*1.15+2.3*1.5+2.45*1+2.9*2.5+3.07*1+2.05*0.6+1.8*1.2+1.2*1.9+0.9*2.3+0.3*1.2)*10.764</f>
        <v>424.96271999999993</v>
      </c>
      <c r="E165" s="205"/>
      <c r="F165" s="2">
        <v>0</v>
      </c>
      <c r="G165" s="2">
        <v>672.41200000000003</v>
      </c>
      <c r="H165" s="229"/>
      <c r="I165" s="230"/>
      <c r="J165" s="231"/>
      <c r="L165" s="73">
        <f>3500000/G165</f>
        <v>5205.1420855070992</v>
      </c>
      <c r="M165" s="73" t="s">
        <v>262</v>
      </c>
      <c r="N165" s="74">
        <f t="shared" si="1"/>
        <v>3710336.4000000004</v>
      </c>
      <c r="O165" s="73">
        <v>106</v>
      </c>
      <c r="P165" s="73">
        <v>1106</v>
      </c>
      <c r="R165" s="73" t="str">
        <f t="shared" si="2"/>
        <v>106,..,1106</v>
      </c>
    </row>
    <row r="166" spans="1:18" s="73" customFormat="1" x14ac:dyDescent="0.35">
      <c r="A166" s="204" t="str">
        <f t="shared" si="0"/>
        <v>107,..,1107</v>
      </c>
      <c r="B166" s="205"/>
      <c r="C166" s="2" t="s">
        <v>190</v>
      </c>
      <c r="D166" s="204">
        <f>(2.75*3.95+2.7*1.95+2.1*1.6+2.35*1+2.9*1.2+2.75*2.4+1.7*0.6+1.8*1.2+1.2*1.2+1*2.1)*10.764</f>
        <v>415.89405000000011</v>
      </c>
      <c r="E166" s="205"/>
      <c r="F166" s="2">
        <v>0</v>
      </c>
      <c r="G166" s="2">
        <v>680.58399999999995</v>
      </c>
      <c r="H166" s="229"/>
      <c r="I166" s="230"/>
      <c r="J166" s="231"/>
      <c r="N166" s="74">
        <f t="shared" si="1"/>
        <v>3748744.8</v>
      </c>
      <c r="O166" s="73">
        <v>107</v>
      </c>
      <c r="P166" s="73">
        <v>1107</v>
      </c>
      <c r="R166" s="73" t="str">
        <f t="shared" si="2"/>
        <v>107,..,1107</v>
      </c>
    </row>
    <row r="167" spans="1:18" s="73" customFormat="1" x14ac:dyDescent="0.35">
      <c r="A167" s="204" t="str">
        <f t="shared" si="0"/>
        <v>108,..,1108</v>
      </c>
      <c r="B167" s="205"/>
      <c r="C167" s="2" t="s">
        <v>190</v>
      </c>
      <c r="D167" s="204">
        <f>(2.75*3.95+2.85*1.95+2.1*1.6+2.35*1+2.9*1.2+2.75*2.4+1.7*0.6+1.8*1.2+1.2*2+2.1*1)*10.764</f>
        <v>429.37595999999996</v>
      </c>
      <c r="E167" s="205"/>
      <c r="F167" s="2">
        <v>0</v>
      </c>
      <c r="G167" s="2">
        <v>680.58399999999995</v>
      </c>
      <c r="H167" s="232"/>
      <c r="I167" s="233"/>
      <c r="J167" s="234"/>
      <c r="N167" s="74">
        <f t="shared" si="1"/>
        <v>3748744.8</v>
      </c>
      <c r="O167" s="73">
        <v>108</v>
      </c>
      <c r="P167" s="73">
        <v>1108</v>
      </c>
      <c r="R167" s="73" t="str">
        <f t="shared" si="2"/>
        <v>108,..,1108</v>
      </c>
    </row>
    <row r="168" spans="1:18" s="73" customFormat="1" x14ac:dyDescent="0.35">
      <c r="A168" s="210" t="s">
        <v>250</v>
      </c>
      <c r="B168" s="211"/>
      <c r="C168" s="211"/>
      <c r="D168" s="211"/>
      <c r="E168" s="211"/>
      <c r="F168" s="211"/>
      <c r="G168" s="211"/>
      <c r="H168" s="211"/>
      <c r="I168" s="211"/>
      <c r="J168" s="212"/>
      <c r="N168" s="74"/>
    </row>
    <row r="169" spans="1:18" s="73" customFormat="1" ht="15.75" customHeight="1" x14ac:dyDescent="0.35">
      <c r="A169" s="204">
        <v>801</v>
      </c>
      <c r="B169" s="205"/>
      <c r="C169" s="2" t="s">
        <v>190</v>
      </c>
      <c r="D169" s="204">
        <f>(3.95*2.75+1.5*2.2+2.5*1+2.4*2.75+2.85*1+1.25*0.9+1.9*1.2+2.7*1.75+0.9*1+1.2*1.3)*10.764</f>
        <v>395.06571000000008</v>
      </c>
      <c r="E169" s="205"/>
      <c r="F169" s="2">
        <v>0</v>
      </c>
      <c r="G169" s="2">
        <v>624.80399999999997</v>
      </c>
      <c r="H169" s="238" t="str">
        <f>A168</f>
        <v>8th Floor (Part Refuge Area)</v>
      </c>
      <c r="I169" s="239"/>
      <c r="J169" s="240"/>
      <c r="L169" s="73">
        <f>2927000/G169</f>
        <v>4684.6691122335969</v>
      </c>
      <c r="M169" s="73">
        <f>2936000/G169</f>
        <v>4699.0736294902081</v>
      </c>
      <c r="N169" s="74">
        <f t="shared" si="1"/>
        <v>3486578.8</v>
      </c>
    </row>
    <row r="170" spans="1:18" s="73" customFormat="1" x14ac:dyDescent="0.35">
      <c r="A170" s="204">
        <v>802</v>
      </c>
      <c r="B170" s="205"/>
      <c r="C170" s="204" t="s">
        <v>251</v>
      </c>
      <c r="D170" s="241"/>
      <c r="E170" s="241"/>
      <c r="F170" s="241"/>
      <c r="G170" s="205"/>
      <c r="H170" s="229"/>
      <c r="I170" s="230"/>
      <c r="J170" s="231"/>
      <c r="N170" s="74"/>
    </row>
    <row r="171" spans="1:18" s="73" customFormat="1" x14ac:dyDescent="0.35">
      <c r="A171" s="204">
        <v>803</v>
      </c>
      <c r="B171" s="205"/>
      <c r="C171" s="2" t="s">
        <v>190</v>
      </c>
      <c r="D171" s="204">
        <f>(2.75*3.95+2.85*1.95+2.1*1.6+2.35*1+2.9*1.2+2.75*2.4+1.7*0.6+1.8*1.2+1.2*2+2.1*1)*10.764</f>
        <v>429.37595999999996</v>
      </c>
      <c r="E171" s="205"/>
      <c r="F171" s="2">
        <v>0</v>
      </c>
      <c r="G171" s="2">
        <v>680.58399999999995</v>
      </c>
      <c r="H171" s="229"/>
      <c r="I171" s="230"/>
      <c r="J171" s="231"/>
      <c r="N171" s="74">
        <f t="shared" si="1"/>
        <v>3748744.8</v>
      </c>
    </row>
    <row r="172" spans="1:18" s="73" customFormat="1" x14ac:dyDescent="0.35">
      <c r="A172" s="204">
        <v>804</v>
      </c>
      <c r="B172" s="205"/>
      <c r="C172" s="2" t="s">
        <v>190</v>
      </c>
      <c r="D172" s="204">
        <f>(2.75*3.95+2.7*1.95+2.1*1.6+2.35*1+2.9*1.2+2.75*2.4+1.7*0.6+1.8*1.2+1.2*1.2+1*2.1)*10.764</f>
        <v>415.89405000000011</v>
      </c>
      <c r="E172" s="205"/>
      <c r="F172" s="2">
        <v>0</v>
      </c>
      <c r="G172" s="2">
        <v>680.58399999999995</v>
      </c>
      <c r="H172" s="229"/>
      <c r="I172" s="230"/>
      <c r="J172" s="231"/>
      <c r="N172" s="74">
        <f t="shared" si="1"/>
        <v>3748744.8</v>
      </c>
    </row>
    <row r="173" spans="1:18" s="73" customFormat="1" x14ac:dyDescent="0.35">
      <c r="A173" s="204">
        <v>805</v>
      </c>
      <c r="B173" s="205"/>
      <c r="C173" s="2" t="s">
        <v>190</v>
      </c>
      <c r="D173" s="204">
        <f>(2.95*3.95+3.05*1+2.3*1.5+2.45*1+2.9*2.5+3.07*1+2.05*0.6+1.8*1.2+1.2*1.9+0.9*2.3+0.3*1.2)*10.764</f>
        <v>420.03818999999999</v>
      </c>
      <c r="E173" s="205"/>
      <c r="F173" s="2">
        <v>0</v>
      </c>
      <c r="G173" s="2">
        <v>665.20100000000002</v>
      </c>
      <c r="H173" s="229"/>
      <c r="I173" s="230"/>
      <c r="J173" s="231"/>
      <c r="N173" s="74">
        <f t="shared" si="1"/>
        <v>3676444.7</v>
      </c>
    </row>
    <row r="174" spans="1:18" s="73" customFormat="1" x14ac:dyDescent="0.35">
      <c r="A174" s="204">
        <v>806</v>
      </c>
      <c r="B174" s="205"/>
      <c r="C174" s="2" t="s">
        <v>190</v>
      </c>
      <c r="D174" s="204">
        <f>(2.95*3.95+3.05*1.15+2.3*1.5+2.45*1+2.9*2.5+3.07*1+2.05*0.6+1.8*1.2+1.2*1.9+0.9*2.3+0.3*1.2)*10.764</f>
        <v>424.96271999999993</v>
      </c>
      <c r="E174" s="205"/>
      <c r="F174" s="2">
        <v>0</v>
      </c>
      <c r="G174" s="2">
        <v>672.41200000000003</v>
      </c>
      <c r="H174" s="229"/>
      <c r="I174" s="230"/>
      <c r="J174" s="231"/>
      <c r="L174" s="73">
        <f>2775000/G174</f>
        <v>4126.9340820806292</v>
      </c>
      <c r="N174" s="74">
        <f t="shared" si="1"/>
        <v>3710336.4000000004</v>
      </c>
    </row>
    <row r="175" spans="1:18" s="73" customFormat="1" x14ac:dyDescent="0.35">
      <c r="A175" s="204">
        <v>807</v>
      </c>
      <c r="B175" s="205"/>
      <c r="C175" s="2" t="s">
        <v>190</v>
      </c>
      <c r="D175" s="204">
        <f>(2.75*3.95+2.7*1.95+2.1*1.6+2.35*1+2.9*1.2+2.75*2.4+1.7*0.6+1.8*1.2+1.2*1.2+1*2.1)*10.764</f>
        <v>415.89405000000011</v>
      </c>
      <c r="E175" s="205"/>
      <c r="F175" s="2">
        <v>0</v>
      </c>
      <c r="G175" s="2">
        <v>680.58399999999995</v>
      </c>
      <c r="H175" s="229"/>
      <c r="I175" s="230"/>
      <c r="J175" s="231"/>
      <c r="N175" s="74">
        <f t="shared" si="1"/>
        <v>3748744.8</v>
      </c>
    </row>
    <row r="176" spans="1:18" s="73" customFormat="1" x14ac:dyDescent="0.35">
      <c r="A176" s="204">
        <v>808</v>
      </c>
      <c r="B176" s="205"/>
      <c r="C176" s="2" t="s">
        <v>190</v>
      </c>
      <c r="D176" s="204">
        <f>(2.75*3.95+2.85*1.95+2.1*1.6+2.35*1+2.9*1.2+2.75*2.4+1.7*0.6+1.8*1.2+1.2*2+2.1*1)*10.764</f>
        <v>429.37595999999996</v>
      </c>
      <c r="E176" s="205"/>
      <c r="F176" s="2">
        <v>0</v>
      </c>
      <c r="G176" s="2">
        <v>680.58399999999995</v>
      </c>
      <c r="H176" s="232"/>
      <c r="I176" s="233"/>
      <c r="J176" s="234"/>
      <c r="N176" s="74">
        <f t="shared" si="1"/>
        <v>3748744.8</v>
      </c>
    </row>
    <row r="177" spans="1:18" s="73" customFormat="1" x14ac:dyDescent="0.35">
      <c r="A177" s="210" t="s">
        <v>191</v>
      </c>
      <c r="B177" s="211"/>
      <c r="C177" s="211"/>
      <c r="D177" s="211"/>
      <c r="E177" s="211"/>
      <c r="F177" s="211"/>
      <c r="G177" s="211"/>
      <c r="H177" s="211"/>
      <c r="I177" s="211"/>
      <c r="J177" s="212"/>
      <c r="N177" s="74">
        <f t="shared" ref="N177:N200" si="3">4700*G177</f>
        <v>0</v>
      </c>
    </row>
    <row r="178" spans="1:18" s="73" customFormat="1" x14ac:dyDescent="0.35">
      <c r="A178" s="210" t="s">
        <v>192</v>
      </c>
      <c r="B178" s="211"/>
      <c r="C178" s="211"/>
      <c r="D178" s="211"/>
      <c r="E178" s="211"/>
      <c r="F178" s="211"/>
      <c r="G178" s="211"/>
      <c r="H178" s="211"/>
      <c r="I178" s="211"/>
      <c r="J178" s="212"/>
      <c r="N178" s="74">
        <f t="shared" si="3"/>
        <v>0</v>
      </c>
    </row>
    <row r="179" spans="1:18" s="73" customFormat="1" x14ac:dyDescent="0.35">
      <c r="A179" s="210" t="s">
        <v>189</v>
      </c>
      <c r="B179" s="211"/>
      <c r="C179" s="211"/>
      <c r="D179" s="211"/>
      <c r="E179" s="211"/>
      <c r="F179" s="211"/>
      <c r="G179" s="211"/>
      <c r="H179" s="211"/>
      <c r="I179" s="211"/>
      <c r="J179" s="212"/>
      <c r="N179" s="74">
        <f t="shared" si="3"/>
        <v>0</v>
      </c>
    </row>
    <row r="180" spans="1:18" s="73" customFormat="1" ht="16.5" customHeight="1" x14ac:dyDescent="0.35">
      <c r="A180" s="210" t="s">
        <v>249</v>
      </c>
      <c r="B180" s="211"/>
      <c r="C180" s="211"/>
      <c r="D180" s="211"/>
      <c r="E180" s="211"/>
      <c r="F180" s="211"/>
      <c r="G180" s="211"/>
      <c r="H180" s="211"/>
      <c r="I180" s="211"/>
      <c r="J180" s="212"/>
      <c r="N180" s="74">
        <f t="shared" si="3"/>
        <v>0</v>
      </c>
    </row>
    <row r="181" spans="1:18" s="73" customFormat="1" ht="15.75" customHeight="1" x14ac:dyDescent="0.35">
      <c r="A181" s="204" t="str">
        <f>R181</f>
        <v>101,..,1101</v>
      </c>
      <c r="B181" s="205"/>
      <c r="C181" s="2" t="s">
        <v>193</v>
      </c>
      <c r="D181" s="204">
        <f>(2.75*4.05+2.7*1.2+2.1*2.25+2.2*1.1+2.9*1+2.6*2.5+1.8*2.45+3.45*2.9+1.9*1.2+1.2*1.85+0.9*3)*10.764</f>
        <v>565.51364999999998</v>
      </c>
      <c r="E181" s="205"/>
      <c r="F181" s="2">
        <v>0</v>
      </c>
      <c r="G181" s="2">
        <v>910.53399999999999</v>
      </c>
      <c r="H181" s="238" t="str">
        <f>A180</f>
        <v>1st to 7th, 9th to 11th Floor for Residential</v>
      </c>
      <c r="I181" s="239"/>
      <c r="J181" s="240"/>
      <c r="N181" s="74">
        <f t="shared" ref="N181:N184" si="4">$G$139*G181+$G$140+$G$141+$G$142+$G$143+$G$144+$G$145</f>
        <v>4829509.8</v>
      </c>
      <c r="O181" s="73">
        <v>101</v>
      </c>
      <c r="P181" s="73">
        <v>1101</v>
      </c>
      <c r="R181" s="73" t="str">
        <f>O181&amp;""&amp;",..,"&amp;""&amp;P181</f>
        <v>101,..,1101</v>
      </c>
    </row>
    <row r="182" spans="1:18" s="73" customFormat="1" x14ac:dyDescent="0.35">
      <c r="A182" s="204" t="str">
        <f t="shared" ref="A182:A184" si="5">R182</f>
        <v>102,..,1102</v>
      </c>
      <c r="B182" s="205"/>
      <c r="C182" s="2" t="s">
        <v>193</v>
      </c>
      <c r="D182" s="204">
        <f>(2.75*4.05+2.7*1.2+2.1*2.25+2.2*1.1+2.9*1+2.6*2.5+1.8*2.45+3.45*2.9+1.9*1.2+1.2*1.85+0.9*3)*10.764</f>
        <v>565.51364999999998</v>
      </c>
      <c r="E182" s="205"/>
      <c r="F182" s="2">
        <v>0</v>
      </c>
      <c r="G182" s="2">
        <v>910.53399999999999</v>
      </c>
      <c r="H182" s="229"/>
      <c r="I182" s="230"/>
      <c r="J182" s="231"/>
      <c r="N182" s="74">
        <f t="shared" si="4"/>
        <v>4829509.8</v>
      </c>
      <c r="O182" s="73">
        <v>102</v>
      </c>
      <c r="P182" s="73">
        <v>1102</v>
      </c>
      <c r="R182" s="73" t="str">
        <f t="shared" ref="R182:R184" si="6">O182&amp;""&amp;",..,"&amp;""&amp;P182</f>
        <v>102,..,1102</v>
      </c>
    </row>
    <row r="183" spans="1:18" s="73" customFormat="1" x14ac:dyDescent="0.35">
      <c r="A183" s="204" t="str">
        <f t="shared" si="5"/>
        <v>103,..,1103</v>
      </c>
      <c r="B183" s="205"/>
      <c r="C183" s="2" t="s">
        <v>193</v>
      </c>
      <c r="D183" s="204">
        <f>(2.75*4.05+2.7*1.2+2.1*2.25+2.2*1.1+2.6*2.5+2.9*1+1.95*2.45+3.2*1.2+2.4*2.9+1.9*1.2+1.2*1.85+0.9*3.1)*10.764</f>
        <v>578.99556000000007</v>
      </c>
      <c r="E183" s="205"/>
      <c r="F183" s="2">
        <v>0</v>
      </c>
      <c r="G183" s="2">
        <v>915.01</v>
      </c>
      <c r="H183" s="229"/>
      <c r="I183" s="230"/>
      <c r="J183" s="231"/>
      <c r="N183" s="74">
        <f t="shared" si="4"/>
        <v>4850547</v>
      </c>
      <c r="O183" s="73">
        <v>103</v>
      </c>
      <c r="P183" s="73">
        <v>1103</v>
      </c>
      <c r="R183" s="73" t="str">
        <f t="shared" si="6"/>
        <v>103,..,1103</v>
      </c>
    </row>
    <row r="184" spans="1:18" s="73" customFormat="1" x14ac:dyDescent="0.35">
      <c r="A184" s="204" t="str">
        <f t="shared" si="5"/>
        <v>104,..,1104</v>
      </c>
      <c r="B184" s="205"/>
      <c r="C184" s="2" t="s">
        <v>193</v>
      </c>
      <c r="D184" s="204">
        <f>(2.75*4.05+2.7*1.2+2.1*2.25+2.2*1.1+2.6*2.5+2.9*1+1.95*2.45+3.2*1.2+2.4*2.9+1.9*1.2+1.2*1.85+0.9*3.1)*10.764</f>
        <v>578.99556000000007</v>
      </c>
      <c r="E184" s="205"/>
      <c r="F184" s="2">
        <v>0</v>
      </c>
      <c r="G184" s="2">
        <v>915.01</v>
      </c>
      <c r="H184" s="232"/>
      <c r="I184" s="233"/>
      <c r="J184" s="234"/>
      <c r="N184" s="74">
        <f t="shared" si="4"/>
        <v>4850547</v>
      </c>
      <c r="O184" s="73">
        <v>104</v>
      </c>
      <c r="P184" s="73">
        <v>1104</v>
      </c>
      <c r="R184" s="73" t="str">
        <f t="shared" si="6"/>
        <v>104,..,1104</v>
      </c>
    </row>
    <row r="185" spans="1:18" s="73" customFormat="1" ht="16.5" customHeight="1" x14ac:dyDescent="0.35">
      <c r="A185" s="210" t="s">
        <v>250</v>
      </c>
      <c r="B185" s="211"/>
      <c r="C185" s="211"/>
      <c r="D185" s="211"/>
      <c r="E185" s="211"/>
      <c r="F185" s="211"/>
      <c r="G185" s="211"/>
      <c r="H185" s="211"/>
      <c r="I185" s="211"/>
      <c r="J185" s="212"/>
      <c r="N185" s="74">
        <f t="shared" si="3"/>
        <v>0</v>
      </c>
    </row>
    <row r="186" spans="1:18" s="73" customFormat="1" ht="15.75" customHeight="1" x14ac:dyDescent="0.35">
      <c r="A186" s="204" t="str">
        <f>R186</f>
        <v>101,..,1101</v>
      </c>
      <c r="B186" s="205"/>
      <c r="C186" s="2" t="s">
        <v>193</v>
      </c>
      <c r="D186" s="204">
        <f>(2.75*4.05+2.7*1.2+2.1*2.25+2.2*1.1+2.9*1+2.6*2.5+1.8*2.45+3.45*2.9+1.9*1.2+1.2*1.85+0.9*3)*10.764</f>
        <v>565.51364999999998</v>
      </c>
      <c r="E186" s="205"/>
      <c r="F186" s="2">
        <v>0</v>
      </c>
      <c r="G186" s="2">
        <v>911</v>
      </c>
      <c r="H186" s="238" t="str">
        <f>A185</f>
        <v>8th Floor (Part Refuge Area)</v>
      </c>
      <c r="I186" s="239"/>
      <c r="J186" s="240"/>
      <c r="N186" s="74">
        <f t="shared" ref="N186:N188" si="7">$G$139*G186+$G$140+$G$141+$G$142+$G$143+$G$144+$G$145</f>
        <v>4831700</v>
      </c>
      <c r="O186" s="73">
        <v>101</v>
      </c>
      <c r="P186" s="73">
        <v>1101</v>
      </c>
      <c r="R186" s="73" t="str">
        <f>O186&amp;""&amp;",..,"&amp;""&amp;P186</f>
        <v>101,..,1101</v>
      </c>
    </row>
    <row r="187" spans="1:18" s="73" customFormat="1" x14ac:dyDescent="0.35">
      <c r="A187" s="204" t="str">
        <f t="shared" ref="A187:A189" si="8">R187</f>
        <v>102,..,1102</v>
      </c>
      <c r="B187" s="205"/>
      <c r="C187" s="2" t="s">
        <v>193</v>
      </c>
      <c r="D187" s="204">
        <f>(2.75*4.05+2.7*1.2+2.1*2.25+2.2*1.1+2.9*1+2.6*2.5+1.8*2.45+3.45*2.9+1.9*1.2+1.2*1.85+0.9*3)*10.764</f>
        <v>565.51364999999998</v>
      </c>
      <c r="E187" s="205"/>
      <c r="F187" s="2">
        <v>0</v>
      </c>
      <c r="G187" s="2">
        <v>911</v>
      </c>
      <c r="H187" s="229"/>
      <c r="I187" s="230"/>
      <c r="J187" s="231"/>
      <c r="N187" s="74">
        <f t="shared" si="7"/>
        <v>4831700</v>
      </c>
      <c r="O187" s="73">
        <v>102</v>
      </c>
      <c r="P187" s="73">
        <v>1102</v>
      </c>
      <c r="R187" s="73" t="str">
        <f t="shared" ref="R187:R189" si="9">O187&amp;""&amp;",..,"&amp;""&amp;P187</f>
        <v>102,..,1102</v>
      </c>
    </row>
    <row r="188" spans="1:18" s="73" customFormat="1" x14ac:dyDescent="0.35">
      <c r="A188" s="204" t="str">
        <f t="shared" si="8"/>
        <v>103,..,1103</v>
      </c>
      <c r="B188" s="205"/>
      <c r="C188" s="2" t="s">
        <v>193</v>
      </c>
      <c r="D188" s="204">
        <f>(2.75*4.05+2.7*1.2+2.1*2.25+2.2*1.1+2.6*2.5+2.9*1+1.95*2.45+3.2*1.2+2.4*2.9+1.9*1.2+1.2*1.85+0.9*3.1)*10.764</f>
        <v>578.99556000000007</v>
      </c>
      <c r="E188" s="205"/>
      <c r="F188" s="2">
        <v>0</v>
      </c>
      <c r="G188" s="2">
        <v>915</v>
      </c>
      <c r="H188" s="229"/>
      <c r="I188" s="230"/>
      <c r="J188" s="231"/>
      <c r="N188" s="74">
        <f t="shared" si="7"/>
        <v>4850500</v>
      </c>
      <c r="O188" s="73">
        <v>103</v>
      </c>
      <c r="P188" s="73">
        <v>1103</v>
      </c>
      <c r="R188" s="73" t="str">
        <f t="shared" si="9"/>
        <v>103,..,1103</v>
      </c>
    </row>
    <row r="189" spans="1:18" s="73" customFormat="1" x14ac:dyDescent="0.35">
      <c r="A189" s="204" t="str">
        <f t="shared" si="8"/>
        <v>104,..,1104</v>
      </c>
      <c r="B189" s="205"/>
      <c r="C189" s="204" t="s">
        <v>251</v>
      </c>
      <c r="D189" s="241"/>
      <c r="E189" s="241"/>
      <c r="F189" s="241"/>
      <c r="G189" s="205"/>
      <c r="H189" s="232"/>
      <c r="I189" s="233"/>
      <c r="J189" s="234"/>
      <c r="N189" s="74">
        <f t="shared" si="3"/>
        <v>0</v>
      </c>
      <c r="O189" s="73">
        <v>104</v>
      </c>
      <c r="P189" s="73">
        <v>1104</v>
      </c>
      <c r="R189" s="73" t="str">
        <f t="shared" si="9"/>
        <v>104,..,1104</v>
      </c>
    </row>
    <row r="190" spans="1:18" s="73" customFormat="1" x14ac:dyDescent="0.35">
      <c r="A190" s="210" t="s">
        <v>194</v>
      </c>
      <c r="B190" s="211"/>
      <c r="C190" s="211"/>
      <c r="D190" s="211"/>
      <c r="E190" s="211"/>
      <c r="F190" s="211"/>
      <c r="G190" s="211"/>
      <c r="H190" s="211"/>
      <c r="I190" s="211"/>
      <c r="J190" s="212"/>
      <c r="N190" s="74">
        <f t="shared" si="3"/>
        <v>0</v>
      </c>
    </row>
    <row r="191" spans="1:18" s="73" customFormat="1" x14ac:dyDescent="0.35">
      <c r="A191" s="210" t="s">
        <v>189</v>
      </c>
      <c r="B191" s="211"/>
      <c r="C191" s="211"/>
      <c r="D191" s="211"/>
      <c r="E191" s="211"/>
      <c r="F191" s="211"/>
      <c r="G191" s="211"/>
      <c r="H191" s="211"/>
      <c r="I191" s="211"/>
      <c r="J191" s="212"/>
      <c r="N191" s="74">
        <f t="shared" si="3"/>
        <v>0</v>
      </c>
    </row>
    <row r="192" spans="1:18" s="73" customFormat="1" ht="16.5" customHeight="1" x14ac:dyDescent="0.35">
      <c r="A192" s="210" t="s">
        <v>249</v>
      </c>
      <c r="B192" s="211"/>
      <c r="C192" s="211"/>
      <c r="D192" s="211"/>
      <c r="E192" s="211"/>
      <c r="F192" s="211"/>
      <c r="G192" s="211"/>
      <c r="H192" s="211"/>
      <c r="I192" s="211"/>
      <c r="J192" s="212"/>
      <c r="N192" s="74">
        <f t="shared" si="3"/>
        <v>0</v>
      </c>
    </row>
    <row r="193" spans="1:18" s="73" customFormat="1" ht="15.75" customHeight="1" x14ac:dyDescent="0.35">
      <c r="A193" s="204" t="str">
        <f>R193</f>
        <v>101,..,1101</v>
      </c>
      <c r="B193" s="205"/>
      <c r="C193" s="2" t="s">
        <v>190</v>
      </c>
      <c r="D193" s="204">
        <f>(3.95*2.75+2.05*2.85+2.35*1+1.6*2.1+2.9*1.2+2.4*2.75+0.6*2.4+2.475*1.3+1.15*0.55+1.2*1.8+2.1*1.2+2.1*1)*10.764</f>
        <v>479.69765999999993</v>
      </c>
      <c r="E193" s="205"/>
      <c r="F193" s="2">
        <v>0</v>
      </c>
      <c r="G193" s="2">
        <v>732.33600000000001</v>
      </c>
      <c r="H193" s="238" t="str">
        <f>A192</f>
        <v>1st to 7th, 9th to 11th Floor for Residential</v>
      </c>
      <c r="I193" s="239"/>
      <c r="J193" s="240"/>
      <c r="N193" s="74">
        <f t="shared" ref="N193:N199" si="10">$G$139*G193+$G$140+$G$141+$G$142+$G$143+$G$144+$G$145</f>
        <v>3991979.2</v>
      </c>
      <c r="O193" s="73">
        <v>101</v>
      </c>
      <c r="P193" s="73">
        <v>1101</v>
      </c>
      <c r="R193" s="73" t="str">
        <f>O193&amp;""&amp;",..,"&amp;""&amp;P193</f>
        <v>101,..,1101</v>
      </c>
    </row>
    <row r="194" spans="1:18" s="73" customFormat="1" ht="15.75" customHeight="1" x14ac:dyDescent="0.35">
      <c r="A194" s="204" t="str">
        <f t="shared" ref="A194:A195" si="11">R194</f>
        <v>102,..,1102</v>
      </c>
      <c r="B194" s="205"/>
      <c r="C194" s="2" t="s">
        <v>190</v>
      </c>
      <c r="D194" s="204">
        <f>(3.95*2.75+2.2*2.7+2.35*1.15+1.6*2.1+2.9*1.35+2.4*2.75+0.6*2.4+2.47*1.3+1.15*0.55+1.2*1.8+2.1*1.2+2.1*1)*10.764</f>
        <v>489.15383399999996</v>
      </c>
      <c r="E194" s="205"/>
      <c r="F194" s="2">
        <v>0</v>
      </c>
      <c r="G194" s="2">
        <v>751.73</v>
      </c>
      <c r="H194" s="229"/>
      <c r="I194" s="230"/>
      <c r="J194" s="231"/>
      <c r="N194" s="74">
        <f t="shared" si="10"/>
        <v>4083131</v>
      </c>
      <c r="O194" s="73">
        <v>102</v>
      </c>
      <c r="P194" s="73">
        <v>1102</v>
      </c>
      <c r="R194" s="73" t="str">
        <f t="shared" ref="R194:R197" si="12">O194&amp;""&amp;",..,"&amp;""&amp;P194</f>
        <v>102,..,1102</v>
      </c>
    </row>
    <row r="195" spans="1:18" s="73" customFormat="1" ht="15.75" customHeight="1" x14ac:dyDescent="0.35">
      <c r="A195" s="204" t="str">
        <f t="shared" si="11"/>
        <v>103,..,1103</v>
      </c>
      <c r="B195" s="205"/>
      <c r="C195" s="2" t="s">
        <v>190</v>
      </c>
      <c r="D195" s="204">
        <f>(3.8*2.75+2.85*1.15+1.6*2.1+2.35*1+2.9*1.2+2.4*2.75+1.15*1.8+2.1*1.2+2.1*0.9)*10.764</f>
        <v>387.47708999999998</v>
      </c>
      <c r="E195" s="205"/>
      <c r="F195" s="2">
        <v>0</v>
      </c>
      <c r="G195" s="2">
        <v>610.51499999999999</v>
      </c>
      <c r="H195" s="229"/>
      <c r="I195" s="230"/>
      <c r="J195" s="231"/>
      <c r="N195" s="74">
        <f t="shared" si="10"/>
        <v>3419420.5</v>
      </c>
      <c r="O195" s="73">
        <v>103</v>
      </c>
      <c r="P195" s="73">
        <v>1103</v>
      </c>
      <c r="R195" s="73" t="str">
        <f t="shared" si="12"/>
        <v>103,..,1103</v>
      </c>
    </row>
    <row r="196" spans="1:18" s="73" customFormat="1" ht="15.75" customHeight="1" x14ac:dyDescent="0.35">
      <c r="A196" s="204" t="str">
        <f t="shared" ref="A196:A199" si="13">R196</f>
        <v>104,..,1104</v>
      </c>
      <c r="B196" s="205"/>
      <c r="C196" s="2" t="s">
        <v>190</v>
      </c>
      <c r="D196" s="204">
        <f>(2.75*4.05+2.77*1.9+2.1*1.6+2.4*1+2.75*2.4+2.85*1+1.95*3.4+1.15*1.75+2.1*1.2+0.9*2.1)*10.764</f>
        <v>480.75253200000009</v>
      </c>
      <c r="E196" s="205"/>
      <c r="F196" s="2">
        <v>0</v>
      </c>
      <c r="G196" s="2">
        <v>749.07799999999997</v>
      </c>
      <c r="H196" s="229"/>
      <c r="I196" s="230"/>
      <c r="J196" s="231"/>
      <c r="N196" s="74">
        <f t="shared" si="10"/>
        <v>4070666.6</v>
      </c>
      <c r="O196" s="73">
        <v>104</v>
      </c>
      <c r="P196" s="73">
        <v>1104</v>
      </c>
      <c r="R196" s="73" t="str">
        <f t="shared" si="12"/>
        <v>104,..,1104</v>
      </c>
    </row>
    <row r="197" spans="1:18" s="73" customFormat="1" ht="15.75" customHeight="1" x14ac:dyDescent="0.35">
      <c r="A197" s="204" t="str">
        <f t="shared" si="13"/>
        <v>105,..,1105</v>
      </c>
      <c r="B197" s="205"/>
      <c r="C197" s="2" t="s">
        <v>190</v>
      </c>
      <c r="D197" s="204">
        <f>(2.75*4.05+2.77*1.9+2.1*1.6+2.35*1+2.9*1.05+2.75*2.55+1.95*1.1+1.95*1.1+0.95*2.1+0.9*1)*10.764</f>
        <v>423.59569200000004</v>
      </c>
      <c r="E197" s="205"/>
      <c r="F197" s="2">
        <v>0</v>
      </c>
      <c r="G197" s="2">
        <v>669.85900000000004</v>
      </c>
      <c r="H197" s="229"/>
      <c r="I197" s="230"/>
      <c r="J197" s="231"/>
      <c r="N197" s="74">
        <f t="shared" si="10"/>
        <v>3698337.3000000003</v>
      </c>
      <c r="O197" s="73">
        <v>105</v>
      </c>
      <c r="P197" s="73">
        <v>1105</v>
      </c>
      <c r="R197" s="73" t="str">
        <f t="shared" si="12"/>
        <v>105,..,1105</v>
      </c>
    </row>
    <row r="198" spans="1:18" s="73" customFormat="1" ht="15.75" customHeight="1" x14ac:dyDescent="0.35">
      <c r="A198" s="204" t="str">
        <f t="shared" si="13"/>
        <v>106,..,1106</v>
      </c>
      <c r="B198" s="205"/>
      <c r="C198" s="2" t="s">
        <v>190</v>
      </c>
      <c r="D198" s="204">
        <f>(2.75*3.95+2.7*1.475+2.1*1.6+2.35*1+2.75*2.4+2.9*1.2+1.7*1.3+1.8*1.2+1.2*2.1+2.1*0.9+0.2*1.2)*10.764</f>
        <v>426.84641999999997</v>
      </c>
      <c r="E198" s="205"/>
      <c r="F198" s="2">
        <v>0</v>
      </c>
      <c r="G198" s="2">
        <v>681.33</v>
      </c>
      <c r="H198" s="229"/>
      <c r="I198" s="230"/>
      <c r="J198" s="231"/>
      <c r="N198" s="74">
        <f t="shared" si="10"/>
        <v>3752251</v>
      </c>
      <c r="O198" s="73">
        <v>106</v>
      </c>
      <c r="P198" s="73">
        <v>1106</v>
      </c>
      <c r="R198" s="73" t="str">
        <f t="shared" ref="R198:R199" si="14">O198&amp;""&amp;",..,"&amp;""&amp;P198</f>
        <v>106,..,1106</v>
      </c>
    </row>
    <row r="199" spans="1:18" s="73" customFormat="1" ht="15.75" customHeight="1" x14ac:dyDescent="0.35">
      <c r="A199" s="204" t="str">
        <f t="shared" si="13"/>
        <v>107,..,1107</v>
      </c>
      <c r="B199" s="205"/>
      <c r="C199" s="2" t="s">
        <v>190</v>
      </c>
      <c r="D199" s="204">
        <f>(2.75*3.95+2.7*2.05+2.1*1.6+2.35*1+2.9*1.2+2.75*2.4+1.7*1.3+1.8*1.2+1.2*2.1+0.9*2.1+0.2*1.2)*10.764</f>
        <v>443.5575300000001</v>
      </c>
      <c r="E199" s="205"/>
      <c r="F199" s="2">
        <v>0</v>
      </c>
      <c r="G199" s="2">
        <v>708.51499999999999</v>
      </c>
      <c r="H199" s="232"/>
      <c r="I199" s="233"/>
      <c r="J199" s="234"/>
      <c r="N199" s="74">
        <f t="shared" si="10"/>
        <v>3880020.5</v>
      </c>
      <c r="O199" s="73">
        <v>107</v>
      </c>
      <c r="P199" s="73">
        <v>1107</v>
      </c>
      <c r="R199" s="73" t="str">
        <f t="shared" si="14"/>
        <v>107,..,1107</v>
      </c>
    </row>
    <row r="200" spans="1:18" s="73" customFormat="1" ht="16.5" customHeight="1" x14ac:dyDescent="0.35">
      <c r="A200" s="210" t="s">
        <v>250</v>
      </c>
      <c r="B200" s="211"/>
      <c r="C200" s="211"/>
      <c r="D200" s="211"/>
      <c r="E200" s="211"/>
      <c r="F200" s="211"/>
      <c r="G200" s="211"/>
      <c r="H200" s="211"/>
      <c r="I200" s="211"/>
      <c r="J200" s="212"/>
      <c r="N200" s="74">
        <f t="shared" si="3"/>
        <v>0</v>
      </c>
    </row>
    <row r="201" spans="1:18" s="73" customFormat="1" ht="15.75" customHeight="1" x14ac:dyDescent="0.35">
      <c r="A201" s="204">
        <v>801</v>
      </c>
      <c r="B201" s="205"/>
      <c r="C201" s="2" t="s">
        <v>190</v>
      </c>
      <c r="D201" s="204">
        <f>(3.95*2.75+2.2*2.7+2.35*1.15+1.6*2.1+2.9*1.35+2.4*2.75+0.6*2.4+2.47*1.3+1.15*0.55+1.2*1.8+2.1*1.2+2.1*1)*10.764</f>
        <v>489.15383399999996</v>
      </c>
      <c r="E201" s="205"/>
      <c r="F201" s="2">
        <v>0</v>
      </c>
      <c r="G201" s="2">
        <v>751.73</v>
      </c>
      <c r="H201" s="229" t="str">
        <f>A200</f>
        <v>8th Floor (Part Refuge Area)</v>
      </c>
      <c r="I201" s="230"/>
      <c r="J201" s="231"/>
      <c r="N201" s="74">
        <f t="shared" ref="N201:N206" si="15">$G$139*G201+$G$140+$G$141+$G$142+$G$143+$G$144+$G$145</f>
        <v>4083131</v>
      </c>
      <c r="O201" s="73">
        <v>101</v>
      </c>
      <c r="P201" s="73">
        <v>1101</v>
      </c>
      <c r="R201" s="73" t="str">
        <f t="shared" ref="R201:R206" si="16">O201&amp;""&amp;",..,"&amp;""&amp;P201</f>
        <v>101,..,1101</v>
      </c>
    </row>
    <row r="202" spans="1:18" s="73" customFormat="1" ht="15.75" customHeight="1" x14ac:dyDescent="0.35">
      <c r="A202" s="204">
        <v>802</v>
      </c>
      <c r="B202" s="205"/>
      <c r="C202" s="2" t="s">
        <v>190</v>
      </c>
      <c r="D202" s="204">
        <f>(3.8*2.75+2.85*1.15+1.6*2.1+2.35*1+2.9*1.2+2.4*2.75+1.15*1.8+2.1*1.2+2.1*0.9)*10.764</f>
        <v>387.47708999999998</v>
      </c>
      <c r="E202" s="205"/>
      <c r="F202" s="2">
        <v>0</v>
      </c>
      <c r="G202" s="2">
        <v>610.51499999999999</v>
      </c>
      <c r="H202" s="229"/>
      <c r="I202" s="230"/>
      <c r="J202" s="231"/>
      <c r="N202" s="74">
        <f t="shared" si="15"/>
        <v>3419420.5</v>
      </c>
      <c r="O202" s="73">
        <v>102</v>
      </c>
      <c r="P202" s="73">
        <v>110</v>
      </c>
      <c r="R202" s="73" t="str">
        <f t="shared" si="16"/>
        <v>102,..,110</v>
      </c>
    </row>
    <row r="203" spans="1:18" s="73" customFormat="1" ht="15.75" customHeight="1" x14ac:dyDescent="0.35">
      <c r="A203" s="204">
        <v>803</v>
      </c>
      <c r="B203" s="205"/>
      <c r="C203" s="2" t="s">
        <v>190</v>
      </c>
      <c r="D203" s="204">
        <f>(2.75*4.05+2.77*1.9+2.1*1.6+2.4*1+2.75*2.4+2.85*1+1.95*3.4+1.15*1.75+2.1*1.2+0.9*2.1)*10.764</f>
        <v>480.75253200000009</v>
      </c>
      <c r="E203" s="205"/>
      <c r="F203" s="2">
        <v>0</v>
      </c>
      <c r="G203" s="2">
        <v>749.07799999999997</v>
      </c>
      <c r="H203" s="229"/>
      <c r="I203" s="230"/>
      <c r="J203" s="231"/>
      <c r="L203" s="73">
        <f>2280000/G203</f>
        <v>3043.7417732198783</v>
      </c>
      <c r="N203" s="74">
        <f t="shared" si="15"/>
        <v>4070666.6</v>
      </c>
      <c r="O203" s="73">
        <v>103</v>
      </c>
      <c r="P203" s="73">
        <v>1104</v>
      </c>
      <c r="R203" s="73" t="str">
        <f t="shared" si="16"/>
        <v>103,..,1104</v>
      </c>
    </row>
    <row r="204" spans="1:18" s="73" customFormat="1" ht="15.75" customHeight="1" x14ac:dyDescent="0.35">
      <c r="A204" s="204">
        <v>804</v>
      </c>
      <c r="B204" s="205"/>
      <c r="C204" s="2" t="s">
        <v>190</v>
      </c>
      <c r="D204" s="204">
        <f>(2.75*4.05+2.77*1.9+2.1*1.6+2.35*1+2.9*1.05+2.75*2.55+1.95*1.1+1.95*1.1+0.95*2.1+0.9*1)*10.764</f>
        <v>423.59569200000004</v>
      </c>
      <c r="E204" s="205"/>
      <c r="F204" s="2">
        <v>0</v>
      </c>
      <c r="G204" s="2">
        <v>669.85900000000004</v>
      </c>
      <c r="H204" s="229"/>
      <c r="I204" s="230"/>
      <c r="J204" s="231"/>
      <c r="N204" s="74">
        <f t="shared" si="15"/>
        <v>3698337.3000000003</v>
      </c>
      <c r="O204" s="73">
        <v>104</v>
      </c>
      <c r="P204" s="73">
        <v>1105</v>
      </c>
      <c r="R204" s="73" t="str">
        <f t="shared" si="16"/>
        <v>104,..,1105</v>
      </c>
    </row>
    <row r="205" spans="1:18" s="73" customFormat="1" ht="15.75" customHeight="1" x14ac:dyDescent="0.35">
      <c r="A205" s="204">
        <v>805</v>
      </c>
      <c r="B205" s="205"/>
      <c r="C205" s="2" t="s">
        <v>190</v>
      </c>
      <c r="D205" s="204">
        <f>(2.75*3.95+2.7*1.475+2.1*1.6+2.35*1+2.75*2.4+2.9*1.2+1.7*1.3+1.8*1.2+1.2*2.1+2.1*0.9+0.2*1.2)*10.764</f>
        <v>426.84641999999997</v>
      </c>
      <c r="E205" s="205"/>
      <c r="F205" s="2">
        <v>0</v>
      </c>
      <c r="G205" s="2">
        <v>681.33</v>
      </c>
      <c r="H205" s="229"/>
      <c r="I205" s="230"/>
      <c r="J205" s="231"/>
      <c r="L205" s="73">
        <f>3800000/G205</f>
        <v>5577.3266992499957</v>
      </c>
      <c r="M205" s="73" t="s">
        <v>263</v>
      </c>
      <c r="N205" s="74">
        <f t="shared" si="15"/>
        <v>3752251</v>
      </c>
      <c r="O205" s="73">
        <v>105</v>
      </c>
      <c r="P205" s="73">
        <v>1106</v>
      </c>
      <c r="R205" s="73" t="str">
        <f t="shared" si="16"/>
        <v>105,..,1106</v>
      </c>
    </row>
    <row r="206" spans="1:18" s="73" customFormat="1" ht="15.75" customHeight="1" x14ac:dyDescent="0.35">
      <c r="A206" s="204">
        <v>806</v>
      </c>
      <c r="B206" s="205"/>
      <c r="C206" s="2" t="s">
        <v>190</v>
      </c>
      <c r="D206" s="204">
        <f>(2.75*3.95+2.7*2.05+2.1*1.6+2.35*1+2.9*1.2+2.75*2.4+1.7*1.3+1.8*1.2+1.2*2.1+0.9*2.1+0.2*1.2)*10.764</f>
        <v>443.5575300000001</v>
      </c>
      <c r="E206" s="205"/>
      <c r="F206" s="2">
        <v>0</v>
      </c>
      <c r="G206" s="2">
        <v>708.51499999999999</v>
      </c>
      <c r="H206" s="232"/>
      <c r="I206" s="233"/>
      <c r="J206" s="234"/>
      <c r="N206" s="74">
        <f t="shared" si="15"/>
        <v>3880020.5</v>
      </c>
      <c r="O206" s="73">
        <v>106</v>
      </c>
      <c r="P206" s="73">
        <v>1107</v>
      </c>
      <c r="R206" s="73" t="str">
        <f t="shared" si="16"/>
        <v>106,..,1107</v>
      </c>
    </row>
    <row r="207" spans="1:18" s="69" customFormat="1" x14ac:dyDescent="0.35">
      <c r="A207" s="236" t="s">
        <v>101</v>
      </c>
      <c r="B207" s="236"/>
      <c r="C207" s="236"/>
      <c r="D207" s="236"/>
      <c r="E207" s="236"/>
      <c r="F207" s="236"/>
      <c r="G207" s="236"/>
      <c r="H207" s="236"/>
      <c r="I207" s="236"/>
      <c r="J207" s="236"/>
    </row>
    <row r="208" spans="1:18" s="75" customFormat="1" ht="112.5" customHeight="1" x14ac:dyDescent="0.35">
      <c r="A208" s="237" t="s">
        <v>278</v>
      </c>
      <c r="B208" s="237"/>
      <c r="C208" s="237"/>
      <c r="D208" s="237"/>
      <c r="E208" s="237"/>
      <c r="F208" s="237"/>
      <c r="G208" s="237"/>
      <c r="H208" s="237"/>
      <c r="I208" s="237"/>
      <c r="J208" s="237"/>
    </row>
    <row r="209" spans="1:10" x14ac:dyDescent="0.35">
      <c r="A209" s="226" t="s">
        <v>92</v>
      </c>
      <c r="B209" s="227"/>
      <c r="C209" s="227"/>
      <c r="D209" s="227"/>
      <c r="E209" s="227"/>
      <c r="F209" s="227"/>
      <c r="G209" s="227"/>
      <c r="H209" s="227"/>
      <c r="I209" s="227"/>
      <c r="J209" s="228"/>
    </row>
    <row r="210" spans="1:10" x14ac:dyDescent="0.35">
      <c r="A210" s="126" t="s">
        <v>93</v>
      </c>
      <c r="B210" s="121"/>
      <c r="C210" s="121"/>
      <c r="D210" s="121"/>
      <c r="E210" s="121"/>
      <c r="F210" s="121"/>
      <c r="G210" s="121"/>
      <c r="H210" s="121"/>
      <c r="I210" s="121"/>
      <c r="J210" s="122"/>
    </row>
    <row r="211" spans="1:10" ht="15.75" customHeight="1" x14ac:dyDescent="0.35">
      <c r="A211" s="226" t="s">
        <v>94</v>
      </c>
      <c r="B211" s="227"/>
      <c r="C211" s="227"/>
      <c r="D211" s="227"/>
      <c r="E211" s="227"/>
      <c r="F211" s="227"/>
      <c r="G211" s="227"/>
      <c r="H211" s="227"/>
      <c r="I211" s="227"/>
      <c r="J211" s="228"/>
    </row>
    <row r="212" spans="1:10" x14ac:dyDescent="0.35">
      <c r="A212" s="126" t="s">
        <v>95</v>
      </c>
      <c r="B212" s="121"/>
      <c r="C212" s="121"/>
      <c r="D212" s="121"/>
      <c r="E212" s="121"/>
      <c r="F212" s="121"/>
      <c r="G212" s="121"/>
      <c r="H212" s="121"/>
      <c r="I212" s="121"/>
      <c r="J212" s="122"/>
    </row>
    <row r="213" spans="1:10" x14ac:dyDescent="0.35">
      <c r="A213" s="126" t="s">
        <v>96</v>
      </c>
      <c r="B213" s="121"/>
      <c r="C213" s="121"/>
      <c r="D213" s="121"/>
      <c r="E213" s="121"/>
      <c r="F213" s="121"/>
      <c r="G213" s="121"/>
      <c r="H213" s="121"/>
      <c r="I213" s="121"/>
      <c r="J213" s="122"/>
    </row>
    <row r="214" spans="1:10" x14ac:dyDescent="0.35">
      <c r="A214" s="126" t="s">
        <v>97</v>
      </c>
      <c r="B214" s="121"/>
      <c r="C214" s="121"/>
      <c r="D214" s="121"/>
      <c r="E214" s="121"/>
      <c r="F214" s="121"/>
      <c r="G214" s="121"/>
      <c r="H214" s="121"/>
      <c r="I214" s="121"/>
      <c r="J214" s="122"/>
    </row>
    <row r="215" spans="1:10" ht="35.25" customHeight="1" x14ac:dyDescent="0.35">
      <c r="A215" s="118" t="s">
        <v>98</v>
      </c>
      <c r="B215" s="119"/>
      <c r="C215" s="119"/>
      <c r="D215" s="119"/>
      <c r="E215" s="119"/>
      <c r="F215" s="119"/>
      <c r="G215" s="119"/>
      <c r="H215" s="119"/>
      <c r="I215" s="119"/>
      <c r="J215" s="120"/>
    </row>
    <row r="216" spans="1:10" x14ac:dyDescent="0.35">
      <c r="A216" s="225" t="s">
        <v>175</v>
      </c>
      <c r="B216" s="225"/>
      <c r="C216" s="224" t="s">
        <v>274</v>
      </c>
      <c r="D216" s="224"/>
      <c r="E216" s="225" t="s">
        <v>176</v>
      </c>
      <c r="F216" s="225"/>
      <c r="G216" s="225"/>
      <c r="H216" s="225" t="s">
        <v>279</v>
      </c>
      <c r="I216" s="225"/>
      <c r="J216" s="225"/>
    </row>
    <row r="217" spans="1:10" x14ac:dyDescent="0.35">
      <c r="A217" s="235" t="s">
        <v>178</v>
      </c>
      <c r="B217" s="235"/>
      <c r="C217" s="235"/>
      <c r="D217" s="235"/>
      <c r="E217" s="235"/>
      <c r="F217" s="235"/>
      <c r="G217" s="235"/>
      <c r="H217" s="235"/>
      <c r="I217" s="235"/>
      <c r="J217" s="235"/>
    </row>
    <row r="218" spans="1:10" x14ac:dyDescent="0.35">
      <c r="A218" s="235"/>
      <c r="B218" s="235"/>
      <c r="C218" s="235"/>
      <c r="D218" s="235"/>
      <c r="E218" s="235"/>
      <c r="F218" s="235"/>
      <c r="G218" s="235"/>
      <c r="H218" s="235"/>
      <c r="I218" s="235"/>
      <c r="J218" s="235"/>
    </row>
    <row r="219" spans="1:10" x14ac:dyDescent="0.35">
      <c r="A219" s="235"/>
      <c r="B219" s="235"/>
      <c r="C219" s="235"/>
      <c r="D219" s="235"/>
      <c r="E219" s="235"/>
      <c r="F219" s="235"/>
      <c r="G219" s="235"/>
      <c r="H219" s="235"/>
      <c r="I219" s="235"/>
      <c r="J219" s="235"/>
    </row>
    <row r="220" spans="1:10" x14ac:dyDescent="0.35">
      <c r="A220" s="235"/>
      <c r="B220" s="235"/>
      <c r="C220" s="235"/>
      <c r="D220" s="235"/>
      <c r="E220" s="235"/>
      <c r="F220" s="235"/>
      <c r="G220" s="235"/>
      <c r="H220" s="235"/>
      <c r="I220" s="235"/>
      <c r="J220" s="235"/>
    </row>
    <row r="221" spans="1:10" s="73" customFormat="1" x14ac:dyDescent="0.35">
      <c r="A221" s="76" t="s">
        <v>99</v>
      </c>
      <c r="B221" s="77"/>
      <c r="C221" s="77"/>
      <c r="D221" s="76" t="str">
        <f>F8</f>
        <v>Orchid Enclave</v>
      </c>
      <c r="E221" s="54"/>
      <c r="F221" s="54"/>
      <c r="G221" s="52"/>
      <c r="H221" s="52"/>
      <c r="I221" s="230"/>
      <c r="J221" s="230"/>
    </row>
    <row r="222" spans="1:10" s="73" customFormat="1" x14ac:dyDescent="0.35">
      <c r="A222" s="230"/>
      <c r="B222" s="230"/>
      <c r="C222" s="52"/>
      <c r="D222" s="230"/>
      <c r="E222" s="230"/>
      <c r="F222" s="52"/>
      <c r="G222" s="52"/>
      <c r="H222" s="52"/>
      <c r="I222" s="230"/>
      <c r="J222" s="230"/>
    </row>
    <row r="223" spans="1:10" s="73" customFormat="1" x14ac:dyDescent="0.35">
      <c r="A223" s="230"/>
      <c r="B223" s="230"/>
      <c r="C223" s="52"/>
      <c r="D223" s="230"/>
      <c r="E223" s="230"/>
      <c r="F223" s="52"/>
      <c r="G223" s="52"/>
      <c r="H223" s="52"/>
      <c r="I223" s="230"/>
      <c r="J223" s="230"/>
    </row>
    <row r="224" spans="1:10" s="73" customFormat="1" x14ac:dyDescent="0.35">
      <c r="A224" s="230"/>
      <c r="B224" s="230"/>
      <c r="C224" s="52"/>
      <c r="D224" s="230"/>
      <c r="E224" s="230"/>
      <c r="F224" s="52"/>
      <c r="G224" s="52"/>
      <c r="H224" s="52"/>
      <c r="I224" s="230"/>
      <c r="J224" s="230"/>
    </row>
    <row r="225" spans="1:10" s="73" customFormat="1" x14ac:dyDescent="0.35">
      <c r="A225" s="230"/>
      <c r="B225" s="230"/>
      <c r="C225" s="52"/>
      <c r="D225" s="230"/>
      <c r="E225" s="230"/>
      <c r="F225" s="52"/>
      <c r="G225" s="52"/>
      <c r="H225" s="52"/>
      <c r="I225" s="230"/>
      <c r="J225" s="230"/>
    </row>
    <row r="226" spans="1:10" s="73" customFormat="1" x14ac:dyDescent="0.35">
      <c r="A226" s="230"/>
      <c r="B226" s="230"/>
      <c r="C226" s="52"/>
      <c r="D226" s="230"/>
      <c r="E226" s="230"/>
      <c r="F226" s="52"/>
      <c r="G226" s="52"/>
      <c r="H226" s="52"/>
      <c r="I226" s="230"/>
      <c r="J226" s="230"/>
    </row>
    <row r="227" spans="1:10" s="73" customFormat="1" x14ac:dyDescent="0.35">
      <c r="A227" s="230"/>
      <c r="B227" s="230"/>
      <c r="C227" s="52"/>
      <c r="D227" s="230"/>
      <c r="E227" s="230"/>
      <c r="F227" s="52"/>
      <c r="G227" s="52"/>
      <c r="H227" s="52"/>
      <c r="I227" s="230"/>
      <c r="J227" s="230"/>
    </row>
    <row r="228" spans="1:10" s="73" customFormat="1" x14ac:dyDescent="0.35">
      <c r="A228" s="230"/>
      <c r="B228" s="230"/>
      <c r="C228" s="52"/>
      <c r="D228" s="230"/>
      <c r="E228" s="230"/>
      <c r="F228" s="52"/>
      <c r="G228" s="52"/>
      <c r="H228" s="52"/>
      <c r="I228" s="230"/>
      <c r="J228" s="230"/>
    </row>
    <row r="229" spans="1:10" s="73" customFormat="1" x14ac:dyDescent="0.35">
      <c r="A229" s="230"/>
      <c r="B229" s="230"/>
      <c r="C229" s="52"/>
      <c r="D229" s="230"/>
      <c r="E229" s="230"/>
      <c r="F229" s="52"/>
      <c r="G229" s="52"/>
      <c r="H229" s="52"/>
      <c r="I229" s="230"/>
      <c r="J229" s="230"/>
    </row>
    <row r="230" spans="1:10" s="73" customFormat="1" x14ac:dyDescent="0.35">
      <c r="A230" s="230"/>
      <c r="B230" s="230"/>
      <c r="C230" s="52"/>
      <c r="D230" s="230"/>
      <c r="E230" s="230"/>
      <c r="F230" s="52"/>
      <c r="G230" s="52"/>
      <c r="H230" s="52"/>
      <c r="I230" s="230"/>
      <c r="J230" s="230"/>
    </row>
    <row r="231" spans="1:10" s="73" customFormat="1" x14ac:dyDescent="0.35">
      <c r="A231" s="230"/>
      <c r="B231" s="230"/>
      <c r="C231" s="52"/>
      <c r="D231" s="230"/>
      <c r="E231" s="230"/>
      <c r="F231" s="52"/>
      <c r="G231" s="52"/>
      <c r="H231" s="52"/>
      <c r="I231" s="230"/>
      <c r="J231" s="230"/>
    </row>
    <row r="232" spans="1:10" s="73" customFormat="1" x14ac:dyDescent="0.35">
      <c r="A232" s="230"/>
      <c r="B232" s="230"/>
      <c r="C232" s="52"/>
      <c r="D232" s="230"/>
      <c r="E232" s="230"/>
      <c r="F232" s="52"/>
      <c r="G232" s="52"/>
      <c r="H232" s="52"/>
      <c r="I232" s="230"/>
      <c r="J232" s="230"/>
    </row>
    <row r="233" spans="1:10" s="73" customFormat="1" x14ac:dyDescent="0.35">
      <c r="A233" s="230"/>
      <c r="B233" s="230"/>
      <c r="C233" s="52"/>
      <c r="D233" s="230"/>
      <c r="E233" s="230"/>
      <c r="F233" s="52"/>
      <c r="G233" s="52"/>
      <c r="H233" s="52"/>
      <c r="I233" s="230"/>
      <c r="J233" s="230"/>
    </row>
    <row r="234" spans="1:10" s="73" customFormat="1" x14ac:dyDescent="0.35">
      <c r="A234" s="230"/>
      <c r="B234" s="230"/>
      <c r="C234" s="52"/>
      <c r="D234" s="230"/>
      <c r="E234" s="230"/>
      <c r="F234" s="52"/>
      <c r="G234" s="52"/>
      <c r="H234" s="52"/>
      <c r="I234" s="230"/>
      <c r="J234" s="230"/>
    </row>
    <row r="235" spans="1:10" s="73" customFormat="1" x14ac:dyDescent="0.35">
      <c r="A235" s="52"/>
      <c r="B235" s="52"/>
      <c r="C235" s="52"/>
      <c r="D235" s="52"/>
      <c r="E235" s="52"/>
      <c r="F235" s="52"/>
      <c r="G235" s="52"/>
      <c r="H235" s="52"/>
      <c r="I235" s="52"/>
      <c r="J235" s="52"/>
    </row>
    <row r="236" spans="1:10" s="73" customFormat="1" x14ac:dyDescent="0.35">
      <c r="A236" s="52"/>
      <c r="B236" s="52"/>
      <c r="C236" s="52"/>
      <c r="D236" s="52"/>
      <c r="E236" s="52"/>
      <c r="F236" s="52"/>
      <c r="G236" s="52"/>
      <c r="H236" s="52"/>
      <c r="I236" s="52"/>
      <c r="J236" s="52"/>
    </row>
    <row r="237" spans="1:10" s="73" customFormat="1" x14ac:dyDescent="0.35">
      <c r="A237" s="52"/>
      <c r="B237" s="52"/>
      <c r="C237" s="52"/>
      <c r="D237" s="52"/>
      <c r="E237" s="52"/>
      <c r="F237" s="52"/>
      <c r="G237" s="52"/>
      <c r="H237" s="52"/>
      <c r="I237" s="52"/>
      <c r="J237" s="52"/>
    </row>
    <row r="238" spans="1:10" s="73" customFormat="1" x14ac:dyDescent="0.35">
      <c r="A238" s="52"/>
      <c r="B238" s="52"/>
      <c r="C238" s="52"/>
      <c r="D238" s="52"/>
      <c r="E238" s="52"/>
      <c r="F238" s="52"/>
      <c r="G238" s="52"/>
      <c r="H238" s="52"/>
      <c r="I238" s="52"/>
      <c r="J238" s="52"/>
    </row>
    <row r="239" spans="1:10" s="73" customFormat="1" x14ac:dyDescent="0.35">
      <c r="A239" s="52"/>
      <c r="B239" s="52"/>
      <c r="C239" s="52"/>
      <c r="D239" s="52"/>
      <c r="E239" s="52"/>
      <c r="F239" s="52"/>
      <c r="G239" s="52"/>
      <c r="H239" s="52"/>
      <c r="I239" s="52"/>
      <c r="J239" s="52"/>
    </row>
    <row r="240" spans="1:10" s="73" customFormat="1" x14ac:dyDescent="0.35">
      <c r="A240" s="52"/>
      <c r="B240" s="52"/>
      <c r="C240" s="52"/>
      <c r="D240" s="52"/>
      <c r="E240" s="52"/>
      <c r="F240" s="52"/>
      <c r="G240" s="52"/>
      <c r="H240" s="52"/>
      <c r="I240" s="52"/>
      <c r="J240" s="52"/>
    </row>
    <row r="241" spans="1:10" s="73" customFormat="1" x14ac:dyDescent="0.35">
      <c r="A241" s="52"/>
      <c r="B241" s="52"/>
      <c r="C241" s="52"/>
      <c r="D241" s="52"/>
      <c r="E241" s="52"/>
      <c r="F241" s="52"/>
      <c r="G241" s="52"/>
      <c r="H241" s="52"/>
      <c r="I241" s="52"/>
      <c r="J241" s="52"/>
    </row>
    <row r="242" spans="1:10" s="73" customFormat="1" x14ac:dyDescent="0.35">
      <c r="A242" s="52"/>
      <c r="B242" s="52"/>
      <c r="C242" s="52"/>
      <c r="D242" s="52"/>
      <c r="E242" s="52"/>
      <c r="F242" s="52"/>
      <c r="G242" s="52"/>
      <c r="H242" s="52"/>
      <c r="I242" s="52"/>
      <c r="J242" s="52"/>
    </row>
    <row r="243" spans="1:10" s="73" customFormat="1" x14ac:dyDescent="0.35">
      <c r="A243" s="52"/>
      <c r="B243" s="52"/>
      <c r="C243" s="52"/>
      <c r="D243" s="52"/>
      <c r="E243" s="52"/>
      <c r="F243" s="52"/>
      <c r="G243" s="52"/>
      <c r="H243" s="52"/>
      <c r="I243" s="52"/>
      <c r="J243" s="52"/>
    </row>
    <row r="244" spans="1:10" s="73" customFormat="1" x14ac:dyDescent="0.35">
      <c r="A244" s="52"/>
      <c r="B244" s="52"/>
      <c r="C244" s="52"/>
      <c r="D244" s="52"/>
      <c r="E244" s="52"/>
      <c r="F244" s="52"/>
      <c r="G244" s="52"/>
      <c r="H244" s="52"/>
      <c r="I244" s="52"/>
      <c r="J244" s="52"/>
    </row>
    <row r="245" spans="1:10" x14ac:dyDescent="0.35">
      <c r="G245" s="77"/>
      <c r="H245" s="77"/>
      <c r="I245" s="77"/>
      <c r="J245" s="77"/>
    </row>
    <row r="246" spans="1:10" s="73" customFormat="1" x14ac:dyDescent="0.35">
      <c r="G246" s="52"/>
      <c r="H246" s="52"/>
      <c r="I246" s="230"/>
      <c r="J246" s="230"/>
    </row>
    <row r="247" spans="1:10" s="73" customFormat="1" x14ac:dyDescent="0.35">
      <c r="A247" s="79"/>
      <c r="B247" s="79"/>
      <c r="C247" s="79"/>
      <c r="D247" s="79"/>
      <c r="E247" s="79"/>
      <c r="F247" s="79"/>
      <c r="G247" s="79"/>
      <c r="H247" s="79"/>
      <c r="I247" s="79"/>
      <c r="J247" s="79"/>
    </row>
    <row r="248" spans="1:10" s="73" customFormat="1" x14ac:dyDescent="0.35">
      <c r="A248" s="79"/>
      <c r="B248" s="79"/>
      <c r="C248" s="79"/>
      <c r="D248" s="79"/>
      <c r="E248" s="79"/>
      <c r="F248" s="79"/>
      <c r="G248" s="79"/>
      <c r="H248" s="79"/>
      <c r="I248" s="79"/>
      <c r="J248" s="79"/>
    </row>
    <row r="249" spans="1:10" s="73" customFormat="1" x14ac:dyDescent="0.35">
      <c r="A249" s="79"/>
      <c r="B249" s="79"/>
      <c r="C249" s="79"/>
      <c r="D249" s="79"/>
      <c r="E249" s="79"/>
      <c r="F249" s="79"/>
      <c r="G249" s="79"/>
      <c r="H249" s="79"/>
      <c r="I249" s="79"/>
      <c r="J249" s="79"/>
    </row>
    <row r="250" spans="1:10" s="73" customFormat="1" x14ac:dyDescent="0.35">
      <c r="A250" s="79"/>
      <c r="B250" s="79"/>
      <c r="C250" s="79"/>
      <c r="D250" s="79"/>
      <c r="E250" s="79"/>
      <c r="F250" s="79"/>
      <c r="G250" s="79"/>
      <c r="H250" s="79"/>
      <c r="I250" s="79"/>
      <c r="J250" s="79"/>
    </row>
    <row r="251" spans="1:10" x14ac:dyDescent="0.35">
      <c r="G251" s="77"/>
      <c r="H251" s="77"/>
      <c r="I251" s="77"/>
      <c r="J251" s="77"/>
    </row>
    <row r="252" spans="1:10" s="73" customFormat="1" x14ac:dyDescent="0.35">
      <c r="G252" s="82"/>
      <c r="H252" s="82"/>
      <c r="I252" s="230"/>
      <c r="J252" s="230"/>
    </row>
    <row r="253" spans="1:10" s="73" customFormat="1" x14ac:dyDescent="0.35">
      <c r="G253" s="82"/>
      <c r="H253" s="82"/>
      <c r="I253" s="230"/>
      <c r="J253" s="230"/>
    </row>
    <row r="254" spans="1:10" s="73" customFormat="1" x14ac:dyDescent="0.35">
      <c r="A254" s="230"/>
      <c r="B254" s="230"/>
      <c r="C254" s="82"/>
      <c r="D254" s="230"/>
      <c r="E254" s="230"/>
      <c r="F254" s="82"/>
      <c r="G254" s="82"/>
      <c r="H254" s="82"/>
      <c r="I254" s="230"/>
      <c r="J254" s="230"/>
    </row>
    <row r="255" spans="1:10" s="73" customFormat="1" x14ac:dyDescent="0.35">
      <c r="A255" s="230"/>
      <c r="B255" s="230"/>
      <c r="C255" s="82"/>
      <c r="D255" s="230"/>
      <c r="E255" s="230"/>
      <c r="F255" s="82"/>
      <c r="G255" s="82"/>
      <c r="H255" s="82"/>
      <c r="I255" s="230"/>
      <c r="J255" s="230"/>
    </row>
    <row r="256" spans="1:10" s="73" customFormat="1" x14ac:dyDescent="0.35">
      <c r="A256" s="230"/>
      <c r="B256" s="230"/>
      <c r="C256" s="82"/>
      <c r="D256" s="230"/>
      <c r="E256" s="230"/>
      <c r="F256" s="82"/>
      <c r="G256" s="82"/>
      <c r="H256" s="82"/>
      <c r="I256" s="230"/>
      <c r="J256" s="230"/>
    </row>
    <row r="257" spans="1:10" s="73" customFormat="1" x14ac:dyDescent="0.35">
      <c r="A257" s="230"/>
      <c r="B257" s="230"/>
      <c r="C257" s="82"/>
      <c r="D257" s="230"/>
      <c r="E257" s="230"/>
      <c r="F257" s="82"/>
      <c r="G257" s="82"/>
      <c r="H257" s="82"/>
      <c r="I257" s="230"/>
      <c r="J257" s="230"/>
    </row>
    <row r="258" spans="1:10" s="73" customFormat="1" x14ac:dyDescent="0.35">
      <c r="G258" s="79"/>
      <c r="H258" s="79"/>
      <c r="I258" s="230"/>
      <c r="J258" s="230"/>
    </row>
    <row r="259" spans="1:10" s="73" customFormat="1" x14ac:dyDescent="0.35">
      <c r="G259" s="52"/>
      <c r="H259" s="52"/>
      <c r="I259" s="230"/>
      <c r="J259" s="230"/>
    </row>
    <row r="260" spans="1:10" s="73" customFormat="1" x14ac:dyDescent="0.35">
      <c r="A260" s="230"/>
      <c r="B260" s="230"/>
      <c r="C260" s="52"/>
      <c r="D260" s="230"/>
      <c r="E260" s="230"/>
      <c r="F260" s="52"/>
      <c r="G260" s="52"/>
      <c r="H260" s="52"/>
      <c r="I260" s="230"/>
      <c r="J260" s="230"/>
    </row>
    <row r="261" spans="1:10" s="73" customFormat="1" x14ac:dyDescent="0.35">
      <c r="A261" s="230"/>
      <c r="B261" s="230"/>
      <c r="C261" s="52"/>
      <c r="D261" s="230"/>
      <c r="E261" s="230"/>
      <c r="F261" s="52"/>
      <c r="G261" s="52"/>
      <c r="H261" s="52"/>
      <c r="I261" s="230"/>
      <c r="J261" s="230"/>
    </row>
    <row r="262" spans="1:10" s="73" customFormat="1" x14ac:dyDescent="0.35">
      <c r="A262" s="230"/>
      <c r="B262" s="230"/>
      <c r="C262" s="52"/>
      <c r="D262" s="230"/>
      <c r="E262" s="230"/>
      <c r="F262" s="52"/>
      <c r="G262" s="52"/>
      <c r="H262" s="52"/>
      <c r="I262" s="230"/>
      <c r="J262" s="230"/>
    </row>
    <row r="263" spans="1:10" s="73" customFormat="1" x14ac:dyDescent="0.35">
      <c r="A263" s="230"/>
      <c r="B263" s="230"/>
      <c r="C263" s="52"/>
      <c r="D263" s="230"/>
      <c r="E263" s="230"/>
      <c r="F263" s="52"/>
      <c r="G263" s="52"/>
      <c r="H263" s="52"/>
      <c r="I263" s="230"/>
      <c r="J263" s="230"/>
    </row>
    <row r="264" spans="1:10" s="73" customFormat="1" x14ac:dyDescent="0.35">
      <c r="A264" s="230"/>
      <c r="B264" s="230"/>
      <c r="C264" s="52"/>
      <c r="D264" s="230"/>
      <c r="E264" s="230"/>
      <c r="F264" s="52"/>
      <c r="G264" s="52"/>
      <c r="H264" s="52"/>
      <c r="I264" s="230"/>
      <c r="J264" s="230"/>
    </row>
    <row r="265" spans="1:10" x14ac:dyDescent="0.35">
      <c r="A265" s="78" t="s">
        <v>100</v>
      </c>
    </row>
  </sheetData>
  <mergeCells count="526">
    <mergeCell ref="A257:B257"/>
    <mergeCell ref="D257:E257"/>
    <mergeCell ref="I257:J257"/>
    <mergeCell ref="I252:J252"/>
    <mergeCell ref="I253:J253"/>
    <mergeCell ref="A254:B254"/>
    <mergeCell ref="D254:E254"/>
    <mergeCell ref="I254:J254"/>
    <mergeCell ref="A255:B255"/>
    <mergeCell ref="D255:E255"/>
    <mergeCell ref="I255:J255"/>
    <mergeCell ref="A256:B256"/>
    <mergeCell ref="D256:E256"/>
    <mergeCell ref="I256:J256"/>
    <mergeCell ref="A180:J180"/>
    <mergeCell ref="A181:B181"/>
    <mergeCell ref="D181:E181"/>
    <mergeCell ref="A182:B182"/>
    <mergeCell ref="D182:E182"/>
    <mergeCell ref="A183:B183"/>
    <mergeCell ref="D183:E183"/>
    <mergeCell ref="A185:J185"/>
    <mergeCell ref="A186:B186"/>
    <mergeCell ref="D186:E186"/>
    <mergeCell ref="H186:J189"/>
    <mergeCell ref="A199:B199"/>
    <mergeCell ref="D199:E199"/>
    <mergeCell ref="H193:J199"/>
    <mergeCell ref="D194:E194"/>
    <mergeCell ref="A195:B195"/>
    <mergeCell ref="D195:E195"/>
    <mergeCell ref="A196:B196"/>
    <mergeCell ref="D196:E196"/>
    <mergeCell ref="A197:B197"/>
    <mergeCell ref="D197:E197"/>
    <mergeCell ref="A198:B198"/>
    <mergeCell ref="D198:E198"/>
    <mergeCell ref="A187:B187"/>
    <mergeCell ref="D187:E187"/>
    <mergeCell ref="A188:B188"/>
    <mergeCell ref="D188:E188"/>
    <mergeCell ref="A189:B189"/>
    <mergeCell ref="C189:G189"/>
    <mergeCell ref="A184:B184"/>
    <mergeCell ref="D184:E184"/>
    <mergeCell ref="H181:J184"/>
    <mergeCell ref="A192:J192"/>
    <mergeCell ref="A193:B193"/>
    <mergeCell ref="D193:E193"/>
    <mergeCell ref="A194:B194"/>
    <mergeCell ref="A121:J121"/>
    <mergeCell ref="A130:B130"/>
    <mergeCell ref="D130:E130"/>
    <mergeCell ref="A131:B131"/>
    <mergeCell ref="D131:E131"/>
    <mergeCell ref="A132:B132"/>
    <mergeCell ref="D132:E132"/>
    <mergeCell ref="A133:B133"/>
    <mergeCell ref="D133:E133"/>
    <mergeCell ref="A129:B129"/>
    <mergeCell ref="D129:E129"/>
    <mergeCell ref="A134:B134"/>
    <mergeCell ref="D134:E134"/>
    <mergeCell ref="G141:J141"/>
    <mergeCell ref="A140:F140"/>
    <mergeCell ref="A122:B122"/>
    <mergeCell ref="D122:E122"/>
    <mergeCell ref="A123:B123"/>
    <mergeCell ref="C123:J123"/>
    <mergeCell ref="A124:B124"/>
    <mergeCell ref="A142:F142"/>
    <mergeCell ref="G142:J142"/>
    <mergeCell ref="A141:F141"/>
    <mergeCell ref="F122:G122"/>
    <mergeCell ref="I122:J122"/>
    <mergeCell ref="D124:E124"/>
    <mergeCell ref="F124:G124"/>
    <mergeCell ref="H124:J124"/>
    <mergeCell ref="A125:B125"/>
    <mergeCell ref="D125:E125"/>
    <mergeCell ref="F125:G134"/>
    <mergeCell ref="H125:J134"/>
    <mergeCell ref="A126:B126"/>
    <mergeCell ref="D126:E126"/>
    <mergeCell ref="A127:B127"/>
    <mergeCell ref="D127:E127"/>
    <mergeCell ref="A128:B128"/>
    <mergeCell ref="D128:E128"/>
    <mergeCell ref="G140:J140"/>
    <mergeCell ref="D91:E91"/>
    <mergeCell ref="A92:B92"/>
    <mergeCell ref="D92:E92"/>
    <mergeCell ref="D120:E120"/>
    <mergeCell ref="A107:J107"/>
    <mergeCell ref="A108:B108"/>
    <mergeCell ref="D108:E108"/>
    <mergeCell ref="A139:F139"/>
    <mergeCell ref="G139:J139"/>
    <mergeCell ref="A136:J136"/>
    <mergeCell ref="A137:B137"/>
    <mergeCell ref="C137:J137"/>
    <mergeCell ref="A114:B114"/>
    <mergeCell ref="D114:E114"/>
    <mergeCell ref="A115:B115"/>
    <mergeCell ref="D115:E115"/>
    <mergeCell ref="A116:B116"/>
    <mergeCell ref="D116:E116"/>
    <mergeCell ref="A117:B117"/>
    <mergeCell ref="D117:E117"/>
    <mergeCell ref="A118:B118"/>
    <mergeCell ref="D118:E118"/>
    <mergeCell ref="F108:G108"/>
    <mergeCell ref="I108:J108"/>
    <mergeCell ref="D160:E160"/>
    <mergeCell ref="H160:J167"/>
    <mergeCell ref="D165:E165"/>
    <mergeCell ref="A164:B164"/>
    <mergeCell ref="D164:E164"/>
    <mergeCell ref="D161:E161"/>
    <mergeCell ref="A156:B156"/>
    <mergeCell ref="C74:E74"/>
    <mergeCell ref="F74:G74"/>
    <mergeCell ref="C75:E75"/>
    <mergeCell ref="F75:G75"/>
    <mergeCell ref="C76:E76"/>
    <mergeCell ref="F76:G76"/>
    <mergeCell ref="C77:E77"/>
    <mergeCell ref="F77:G77"/>
    <mergeCell ref="A138:J138"/>
    <mergeCell ref="A79:J79"/>
    <mergeCell ref="A80:B80"/>
    <mergeCell ref="D80:E80"/>
    <mergeCell ref="F80:G80"/>
    <mergeCell ref="I80:J80"/>
    <mergeCell ref="A90:B90"/>
    <mergeCell ref="D90:E90"/>
    <mergeCell ref="A91:B91"/>
    <mergeCell ref="G143:J143"/>
    <mergeCell ref="A144:F144"/>
    <mergeCell ref="G144:J144"/>
    <mergeCell ref="A159:J159"/>
    <mergeCell ref="A153:B153"/>
    <mergeCell ref="D153:F153"/>
    <mergeCell ref="G153:J153"/>
    <mergeCell ref="A154:J154"/>
    <mergeCell ref="A155:J155"/>
    <mergeCell ref="H156:J156"/>
    <mergeCell ref="A143:F143"/>
    <mergeCell ref="A145:F145"/>
    <mergeCell ref="G145:J145"/>
    <mergeCell ref="D156:E156"/>
    <mergeCell ref="A157:J157"/>
    <mergeCell ref="A173:B173"/>
    <mergeCell ref="D173:E173"/>
    <mergeCell ref="A174:B174"/>
    <mergeCell ref="D174:E174"/>
    <mergeCell ref="A171:B171"/>
    <mergeCell ref="D171:E171"/>
    <mergeCell ref="A172:B172"/>
    <mergeCell ref="D172:E172"/>
    <mergeCell ref="H169:J176"/>
    <mergeCell ref="C170:G170"/>
    <mergeCell ref="A175:B175"/>
    <mergeCell ref="D175:E175"/>
    <mergeCell ref="A176:B176"/>
    <mergeCell ref="D176:E176"/>
    <mergeCell ref="A169:B169"/>
    <mergeCell ref="D169:E169"/>
    <mergeCell ref="A170:B170"/>
    <mergeCell ref="D166:E166"/>
    <mergeCell ref="A168:J168"/>
    <mergeCell ref="A165:B165"/>
    <mergeCell ref="A166:B166"/>
    <mergeCell ref="A160:B160"/>
    <mergeCell ref="A264:B264"/>
    <mergeCell ref="D264:E264"/>
    <mergeCell ref="I264:J264"/>
    <mergeCell ref="A200:J200"/>
    <mergeCell ref="A207:J207"/>
    <mergeCell ref="A208:J208"/>
    <mergeCell ref="A209:J209"/>
    <mergeCell ref="A262:B262"/>
    <mergeCell ref="D262:E262"/>
    <mergeCell ref="I262:J262"/>
    <mergeCell ref="I229:J229"/>
    <mergeCell ref="A230:B230"/>
    <mergeCell ref="D230:E230"/>
    <mergeCell ref="I230:J230"/>
    <mergeCell ref="A234:B234"/>
    <mergeCell ref="D234:E234"/>
    <mergeCell ref="I234:J234"/>
    <mergeCell ref="I258:J258"/>
    <mergeCell ref="A229:B229"/>
    <mergeCell ref="D229:E229"/>
    <mergeCell ref="A233:B233"/>
    <mergeCell ref="D233:E233"/>
    <mergeCell ref="I233:J233"/>
    <mergeCell ref="I221:J221"/>
    <mergeCell ref="A177:J177"/>
    <mergeCell ref="A179:J179"/>
    <mergeCell ref="A178:J178"/>
    <mergeCell ref="A228:B228"/>
    <mergeCell ref="D228:E228"/>
    <mergeCell ref="I228:J228"/>
    <mergeCell ref="I222:J222"/>
    <mergeCell ref="A222:B222"/>
    <mergeCell ref="D222:E222"/>
    <mergeCell ref="A217:J220"/>
    <mergeCell ref="A216:B216"/>
    <mergeCell ref="A226:B226"/>
    <mergeCell ref="D226:E226"/>
    <mergeCell ref="I226:J226"/>
    <mergeCell ref="I223:J223"/>
    <mergeCell ref="A224:B224"/>
    <mergeCell ref="D224:E224"/>
    <mergeCell ref="I224:J224"/>
    <mergeCell ref="A223:B223"/>
    <mergeCell ref="A263:B263"/>
    <mergeCell ref="D263:E263"/>
    <mergeCell ref="I263:J263"/>
    <mergeCell ref="D223:E223"/>
    <mergeCell ref="A261:B261"/>
    <mergeCell ref="D261:E261"/>
    <mergeCell ref="I261:J261"/>
    <mergeCell ref="A231:B231"/>
    <mergeCell ref="D231:E231"/>
    <mergeCell ref="I231:J231"/>
    <mergeCell ref="A232:B232"/>
    <mergeCell ref="D232:E232"/>
    <mergeCell ref="I232:J232"/>
    <mergeCell ref="I259:J259"/>
    <mergeCell ref="A260:B260"/>
    <mergeCell ref="D260:E260"/>
    <mergeCell ref="I260:J260"/>
    <mergeCell ref="I246:J246"/>
    <mergeCell ref="A227:B227"/>
    <mergeCell ref="D227:E227"/>
    <mergeCell ref="I227:J227"/>
    <mergeCell ref="A225:B225"/>
    <mergeCell ref="D225:E225"/>
    <mergeCell ref="I225:J225"/>
    <mergeCell ref="A190:J190"/>
    <mergeCell ref="A191:J191"/>
    <mergeCell ref="A215:J215"/>
    <mergeCell ref="C216:D216"/>
    <mergeCell ref="E216:G216"/>
    <mergeCell ref="H216:J216"/>
    <mergeCell ref="A211:J211"/>
    <mergeCell ref="A212:J212"/>
    <mergeCell ref="A213:J213"/>
    <mergeCell ref="A214:J214"/>
    <mergeCell ref="A210:J210"/>
    <mergeCell ref="A203:B203"/>
    <mergeCell ref="D203:E203"/>
    <mergeCell ref="A201:B201"/>
    <mergeCell ref="D201:E201"/>
    <mergeCell ref="A202:B202"/>
    <mergeCell ref="D202:E202"/>
    <mergeCell ref="H201:J206"/>
    <mergeCell ref="A204:B204"/>
    <mergeCell ref="D204:E204"/>
    <mergeCell ref="A205:B205"/>
    <mergeCell ref="D205:E205"/>
    <mergeCell ref="A206:B206"/>
    <mergeCell ref="D206:E206"/>
    <mergeCell ref="I78:J78"/>
    <mergeCell ref="H70:J77"/>
    <mergeCell ref="C71:E71"/>
    <mergeCell ref="F71:G71"/>
    <mergeCell ref="A167:B167"/>
    <mergeCell ref="D167:E167"/>
    <mergeCell ref="D151:F151"/>
    <mergeCell ref="G151:J151"/>
    <mergeCell ref="D152:F152"/>
    <mergeCell ref="G152:J152"/>
    <mergeCell ref="A151:A152"/>
    <mergeCell ref="A158:J158"/>
    <mergeCell ref="A148:J148"/>
    <mergeCell ref="A150:B150"/>
    <mergeCell ref="A149:B149"/>
    <mergeCell ref="D149:F149"/>
    <mergeCell ref="G149:J149"/>
    <mergeCell ref="D150:F150"/>
    <mergeCell ref="G150:J150"/>
    <mergeCell ref="A162:B162"/>
    <mergeCell ref="D162:E162"/>
    <mergeCell ref="A163:B163"/>
    <mergeCell ref="D163:E163"/>
    <mergeCell ref="A161:B161"/>
    <mergeCell ref="A58:J58"/>
    <mergeCell ref="C60:E60"/>
    <mergeCell ref="F60:G60"/>
    <mergeCell ref="C61:E61"/>
    <mergeCell ref="A146:F146"/>
    <mergeCell ref="G146:J146"/>
    <mergeCell ref="A147:F147"/>
    <mergeCell ref="G147:J147"/>
    <mergeCell ref="A135:J135"/>
    <mergeCell ref="C65:E65"/>
    <mergeCell ref="F65:G65"/>
    <mergeCell ref="C66:E66"/>
    <mergeCell ref="F66:G66"/>
    <mergeCell ref="A68:C68"/>
    <mergeCell ref="D68:E68"/>
    <mergeCell ref="F68:H68"/>
    <mergeCell ref="I68:J68"/>
    <mergeCell ref="A69:J69"/>
    <mergeCell ref="A70:B77"/>
    <mergeCell ref="C70:E70"/>
    <mergeCell ref="F70:G70"/>
    <mergeCell ref="A78:C78"/>
    <mergeCell ref="D78:E78"/>
    <mergeCell ref="F78:H78"/>
    <mergeCell ref="D56:J56"/>
    <mergeCell ref="C54:J54"/>
    <mergeCell ref="A55:B55"/>
    <mergeCell ref="C55:J55"/>
    <mergeCell ref="C72:E72"/>
    <mergeCell ref="F72:G72"/>
    <mergeCell ref="C73:E73"/>
    <mergeCell ref="F73:G73"/>
    <mergeCell ref="A52:J52"/>
    <mergeCell ref="A53:C53"/>
    <mergeCell ref="D53:E53"/>
    <mergeCell ref="F53:G53"/>
    <mergeCell ref="H53:J53"/>
    <mergeCell ref="C62:E62"/>
    <mergeCell ref="F62:G62"/>
    <mergeCell ref="C63:E63"/>
    <mergeCell ref="F63:G63"/>
    <mergeCell ref="A60:B67"/>
    <mergeCell ref="H60:J67"/>
    <mergeCell ref="C67:E67"/>
    <mergeCell ref="F67:G67"/>
    <mergeCell ref="C64:E64"/>
    <mergeCell ref="F64:G64"/>
    <mergeCell ref="A57:J57"/>
    <mergeCell ref="A37:E37"/>
    <mergeCell ref="F37:J37"/>
    <mergeCell ref="A34:B34"/>
    <mergeCell ref="C34:J34"/>
    <mergeCell ref="A42:E42"/>
    <mergeCell ref="F42:J42"/>
    <mergeCell ref="A43:E43"/>
    <mergeCell ref="A48:B49"/>
    <mergeCell ref="C49:J49"/>
    <mergeCell ref="H48:J48"/>
    <mergeCell ref="F43:J43"/>
    <mergeCell ref="A44:E44"/>
    <mergeCell ref="F44:J44"/>
    <mergeCell ref="A45:J45"/>
    <mergeCell ref="A36:E36"/>
    <mergeCell ref="F36:J36"/>
    <mergeCell ref="A31:J31"/>
    <mergeCell ref="A30:B30"/>
    <mergeCell ref="C30:D30"/>
    <mergeCell ref="E30:F30"/>
    <mergeCell ref="G30:H30"/>
    <mergeCell ref="I30:J30"/>
    <mergeCell ref="A32:J32"/>
    <mergeCell ref="A33:B33"/>
    <mergeCell ref="A35:J35"/>
    <mergeCell ref="C33:J33"/>
    <mergeCell ref="A20:E21"/>
    <mergeCell ref="F20:J21"/>
    <mergeCell ref="A22:E23"/>
    <mergeCell ref="F22:J23"/>
    <mergeCell ref="A17:B17"/>
    <mergeCell ref="C17:E17"/>
    <mergeCell ref="F17:G17"/>
    <mergeCell ref="H17:J17"/>
    <mergeCell ref="A29:B29"/>
    <mergeCell ref="C29:D29"/>
    <mergeCell ref="E29:F29"/>
    <mergeCell ref="G29:H29"/>
    <mergeCell ref="I29:J29"/>
    <mergeCell ref="A1:J1"/>
    <mergeCell ref="A2:J2"/>
    <mergeCell ref="A3:E3"/>
    <mergeCell ref="F3:J3"/>
    <mergeCell ref="A4:E4"/>
    <mergeCell ref="A8:E8"/>
    <mergeCell ref="F8:J8"/>
    <mergeCell ref="A9:E9"/>
    <mergeCell ref="F9:J9"/>
    <mergeCell ref="F4:J4"/>
    <mergeCell ref="F27:J27"/>
    <mergeCell ref="A11:E11"/>
    <mergeCell ref="F11:J11"/>
    <mergeCell ref="A5:E5"/>
    <mergeCell ref="F5:J5"/>
    <mergeCell ref="A6:E6"/>
    <mergeCell ref="F6:J6"/>
    <mergeCell ref="A7:E7"/>
    <mergeCell ref="F7:J7"/>
    <mergeCell ref="A15:B15"/>
    <mergeCell ref="A12:E12"/>
    <mergeCell ref="F12:J12"/>
    <mergeCell ref="A13:E13"/>
    <mergeCell ref="F13:J13"/>
    <mergeCell ref="A14:B14"/>
    <mergeCell ref="C14:J14"/>
    <mergeCell ref="C15:J15"/>
    <mergeCell ref="A10:E10"/>
    <mergeCell ref="F10:J10"/>
    <mergeCell ref="A16:B16"/>
    <mergeCell ref="C16:E16"/>
    <mergeCell ref="F16:G16"/>
    <mergeCell ref="H16:J16"/>
    <mergeCell ref="H19:J19"/>
    <mergeCell ref="A54:B54"/>
    <mergeCell ref="A56:C56"/>
    <mergeCell ref="C46:F46"/>
    <mergeCell ref="A41:E41"/>
    <mergeCell ref="F41:J41"/>
    <mergeCell ref="A24:E24"/>
    <mergeCell ref="F24:J24"/>
    <mergeCell ref="A18:B18"/>
    <mergeCell ref="C18:E18"/>
    <mergeCell ref="F18:G18"/>
    <mergeCell ref="H18:J18"/>
    <mergeCell ref="A19:B19"/>
    <mergeCell ref="C19:E19"/>
    <mergeCell ref="F19:G19"/>
    <mergeCell ref="A28:B28"/>
    <mergeCell ref="C28:D28"/>
    <mergeCell ref="E28:F28"/>
    <mergeCell ref="G28:H28"/>
    <mergeCell ref="I28:J28"/>
    <mergeCell ref="A25:E25"/>
    <mergeCell ref="A26:E26"/>
    <mergeCell ref="F26:J26"/>
    <mergeCell ref="F25:J25"/>
    <mergeCell ref="A27:E27"/>
    <mergeCell ref="A38:J38"/>
    <mergeCell ref="H50:J50"/>
    <mergeCell ref="A50:B50"/>
    <mergeCell ref="C50:F50"/>
    <mergeCell ref="A51:C51"/>
    <mergeCell ref="D51:E51"/>
    <mergeCell ref="F51:G51"/>
    <mergeCell ref="H51:J51"/>
    <mergeCell ref="H46:J46"/>
    <mergeCell ref="H47:J47"/>
    <mergeCell ref="A47:B47"/>
    <mergeCell ref="C47:F47"/>
    <mergeCell ref="C48:F48"/>
    <mergeCell ref="A46:B46"/>
    <mergeCell ref="A40:E40"/>
    <mergeCell ref="F40:J40"/>
    <mergeCell ref="A39:E39"/>
    <mergeCell ref="F39:J39"/>
    <mergeCell ref="F61:G61"/>
    <mergeCell ref="A59:J59"/>
    <mergeCell ref="A81:B81"/>
    <mergeCell ref="C81:J81"/>
    <mergeCell ref="A82:B82"/>
    <mergeCell ref="D82:E82"/>
    <mergeCell ref="F82:G82"/>
    <mergeCell ref="H82:J82"/>
    <mergeCell ref="A83:B83"/>
    <mergeCell ref="D83:E83"/>
    <mergeCell ref="F83:G92"/>
    <mergeCell ref="H83:J92"/>
    <mergeCell ref="A84:B84"/>
    <mergeCell ref="D84:E84"/>
    <mergeCell ref="A85:B85"/>
    <mergeCell ref="D85:E85"/>
    <mergeCell ref="A86:B86"/>
    <mergeCell ref="D86:E86"/>
    <mergeCell ref="A87:B87"/>
    <mergeCell ref="D87:E87"/>
    <mergeCell ref="A88:B88"/>
    <mergeCell ref="D88:E88"/>
    <mergeCell ref="A89:B89"/>
    <mergeCell ref="D89:E89"/>
    <mergeCell ref="A109:B109"/>
    <mergeCell ref="C109:J109"/>
    <mergeCell ref="A110:B110"/>
    <mergeCell ref="D110:E110"/>
    <mergeCell ref="F110:G110"/>
    <mergeCell ref="H110:J110"/>
    <mergeCell ref="A111:B111"/>
    <mergeCell ref="D111:E111"/>
    <mergeCell ref="F111:G120"/>
    <mergeCell ref="H111:J120"/>
    <mergeCell ref="A112:B112"/>
    <mergeCell ref="D112:E112"/>
    <mergeCell ref="A113:B113"/>
    <mergeCell ref="D113:E113"/>
    <mergeCell ref="A119:B119"/>
    <mergeCell ref="D119:E119"/>
    <mergeCell ref="A120:B120"/>
    <mergeCell ref="A93:J93"/>
    <mergeCell ref="A94:B94"/>
    <mergeCell ref="D94:E94"/>
    <mergeCell ref="F94:G94"/>
    <mergeCell ref="I94:J94"/>
    <mergeCell ref="A95:B95"/>
    <mergeCell ref="C95:J95"/>
    <mergeCell ref="A96:B96"/>
    <mergeCell ref="D96:E96"/>
    <mergeCell ref="F96:G96"/>
    <mergeCell ref="H96:J96"/>
    <mergeCell ref="A97:B97"/>
    <mergeCell ref="D97:E97"/>
    <mergeCell ref="F97:G106"/>
    <mergeCell ref="H97:J106"/>
    <mergeCell ref="A98:B98"/>
    <mergeCell ref="D98:E98"/>
    <mergeCell ref="A99:B99"/>
    <mergeCell ref="D99:E99"/>
    <mergeCell ref="A100:B100"/>
    <mergeCell ref="D100:E100"/>
    <mergeCell ref="A101:B101"/>
    <mergeCell ref="D101:E101"/>
    <mergeCell ref="A102:B102"/>
    <mergeCell ref="D102:E102"/>
    <mergeCell ref="A103:B103"/>
    <mergeCell ref="D103:E103"/>
    <mergeCell ref="A104:B104"/>
    <mergeCell ref="D104:E104"/>
    <mergeCell ref="A105:B105"/>
    <mergeCell ref="D105:E105"/>
    <mergeCell ref="A106:B106"/>
    <mergeCell ref="D106:E106"/>
  </mergeCells>
  <hyperlinks>
    <hyperlink ref="C34" r:id="rId1"/>
  </hyperlinks>
  <printOptions horizontalCentered="1"/>
  <pageMargins left="0.43307086614173201" right="0.43307086614173201" top="0.78740157480314998" bottom="1.1811023622047201" header="0.196850393700787" footer="0.196850393700787"/>
  <pageSetup paperSize="2" scale="91" fitToHeight="0" orientation="portrait" r:id="rId2"/>
  <headerFooter>
    <oddHeader>&amp;C&amp;"Times New Roman,Bold"&amp;20&amp;G</oddHeader>
    <oddFooter>&amp;L&amp;"Times New Roman,Bold"&amp;12Ref No: &amp;F&amp;C&amp;G&amp;R&amp;"Times New Roman,Bold"&amp;12&amp;P</oddFooter>
  </headerFooter>
  <rowBreaks count="3" manualBreakCount="3">
    <brk id="92" max="9" man="1"/>
    <brk id="220" max="16383" man="1"/>
    <brk id="264"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opLeftCell="D1" workbookViewId="0">
      <selection activeCell="H11" sqref="H11"/>
    </sheetView>
  </sheetViews>
  <sheetFormatPr defaultColWidth="8.7265625" defaultRowHeight="14.5" x14ac:dyDescent="0.35"/>
  <cols>
    <col min="1" max="1" width="8.7265625" style="32"/>
    <col min="2" max="2" width="22.1796875" style="32" customWidth="1"/>
    <col min="3" max="3" width="37" style="32" customWidth="1"/>
    <col min="4" max="5" width="11.453125" style="32" customWidth="1"/>
    <col min="6" max="6" width="14" style="32" customWidth="1"/>
    <col min="7" max="7" width="20" style="32" customWidth="1"/>
    <col min="8" max="8" width="16.453125" style="32" customWidth="1"/>
    <col min="9" max="16384" width="8.7265625" style="32"/>
  </cols>
  <sheetData>
    <row r="1" spans="1:9" ht="15" customHeight="1" x14ac:dyDescent="0.35">
      <c r="A1" s="31"/>
      <c r="B1" s="31"/>
      <c r="C1" s="31"/>
      <c r="D1" s="31"/>
      <c r="E1" s="31"/>
      <c r="F1" s="31"/>
      <c r="G1" s="31"/>
      <c r="H1" s="31"/>
    </row>
    <row r="2" spans="1:9" ht="15" customHeight="1" x14ac:dyDescent="0.35">
      <c r="A2" s="33"/>
      <c r="B2" s="33"/>
      <c r="C2" s="33"/>
      <c r="D2" s="33"/>
      <c r="E2" s="33"/>
      <c r="F2" s="33"/>
      <c r="G2" s="33"/>
      <c r="H2" s="33"/>
    </row>
    <row r="3" spans="1:9" x14ac:dyDescent="0.35">
      <c r="A3" s="33"/>
      <c r="B3" s="258" t="s">
        <v>210</v>
      </c>
      <c r="C3" s="258"/>
      <c r="D3" s="258"/>
      <c r="E3" s="258"/>
      <c r="F3" s="258"/>
      <c r="G3" s="258"/>
      <c r="H3" s="258"/>
    </row>
    <row r="4" spans="1:9" x14ac:dyDescent="0.35">
      <c r="A4" s="33"/>
      <c r="B4" s="34" t="s">
        <v>211</v>
      </c>
      <c r="C4" s="34" t="s">
        <v>212</v>
      </c>
      <c r="D4" s="34" t="s">
        <v>115</v>
      </c>
      <c r="E4" s="34" t="s">
        <v>213</v>
      </c>
      <c r="F4" s="34" t="s">
        <v>214</v>
      </c>
      <c r="G4" s="34" t="s">
        <v>215</v>
      </c>
      <c r="H4" s="34" t="s">
        <v>216</v>
      </c>
    </row>
    <row r="5" spans="1:9" ht="15" customHeight="1" x14ac:dyDescent="0.35">
      <c r="A5" s="33"/>
      <c r="B5" s="35" t="s">
        <v>217</v>
      </c>
      <c r="C5" s="36" t="s">
        <v>184</v>
      </c>
      <c r="D5" s="44" t="s">
        <v>190</v>
      </c>
      <c r="E5" s="35">
        <v>400</v>
      </c>
      <c r="F5" s="37">
        <f>E5*1.45</f>
        <v>580</v>
      </c>
      <c r="G5" s="37">
        <f>H5/F5</f>
        <v>4527.5862068965516</v>
      </c>
      <c r="H5" s="38">
        <v>2626000</v>
      </c>
    </row>
    <row r="6" spans="1:9" x14ac:dyDescent="0.35">
      <c r="A6" s="33"/>
      <c r="B6" s="35" t="s">
        <v>217</v>
      </c>
      <c r="C6" s="36" t="s">
        <v>184</v>
      </c>
      <c r="D6" s="44" t="s">
        <v>193</v>
      </c>
      <c r="E6" s="35">
        <v>538</v>
      </c>
      <c r="F6" s="37">
        <f>E6*1.45</f>
        <v>780.1</v>
      </c>
      <c r="G6" s="37">
        <f t="shared" ref="G6" si="0">H6/F6</f>
        <v>4935.2647096526089</v>
      </c>
      <c r="H6" s="38">
        <v>3850000</v>
      </c>
    </row>
    <row r="7" spans="1:9" ht="15" customHeight="1" x14ac:dyDescent="0.35">
      <c r="A7" s="33"/>
      <c r="B7" s="39" t="s">
        <v>218</v>
      </c>
      <c r="C7" s="35"/>
      <c r="D7" s="35"/>
      <c r="E7" s="35"/>
      <c r="F7" s="35"/>
      <c r="G7" s="40">
        <f>AVERAGE(G5:G6)</f>
        <v>4731.4254582745798</v>
      </c>
      <c r="H7" s="35"/>
    </row>
    <row r="8" spans="1:9" ht="15" customHeight="1" x14ac:dyDescent="0.35">
      <c r="A8" s="31"/>
      <c r="B8" s="39" t="s">
        <v>219</v>
      </c>
      <c r="C8" s="41"/>
      <c r="D8" s="41"/>
      <c r="E8" s="41"/>
      <c r="F8" s="42"/>
      <c r="G8" s="39">
        <v>4700</v>
      </c>
      <c r="H8" s="39"/>
      <c r="I8" s="43"/>
    </row>
    <row r="9" spans="1:9" ht="15" customHeight="1" x14ac:dyDescent="0.35">
      <c r="B9" s="31"/>
      <c r="C9" s="31"/>
      <c r="D9" s="31"/>
      <c r="E9" s="31"/>
    </row>
    <row r="10" spans="1:9" ht="15" customHeight="1" x14ac:dyDescent="0.35">
      <c r="B10" s="31"/>
      <c r="C10" s="31"/>
      <c r="D10" s="31"/>
      <c r="E10" s="31"/>
    </row>
    <row r="11" spans="1:9" ht="15" customHeight="1" x14ac:dyDescent="0.35">
      <c r="B11" s="31"/>
      <c r="C11" s="31"/>
      <c r="D11" s="31"/>
      <c r="E11" s="31"/>
    </row>
  </sheetData>
  <mergeCells count="1">
    <mergeCell ref="B3:H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D26" sqref="D26"/>
    </sheetView>
  </sheetViews>
  <sheetFormatPr defaultRowHeight="14" x14ac:dyDescent="0.3"/>
  <cols>
    <col min="1" max="1" width="20.54296875" style="9" customWidth="1"/>
    <col min="2" max="2" width="11.7265625" style="9" customWidth="1"/>
    <col min="3" max="4" width="9.1796875" style="9"/>
    <col min="5" max="5" width="10.1796875" style="9" customWidth="1"/>
    <col min="6" max="6" width="10.7265625" style="9" customWidth="1"/>
    <col min="7" max="7" width="9.1796875" style="9"/>
    <col min="8" max="8" width="10.453125" style="9" customWidth="1"/>
    <col min="9" max="9" width="15.453125" style="9" customWidth="1"/>
    <col min="10" max="258" width="9.1796875" style="9"/>
    <col min="259" max="259" width="11.7265625" style="9" customWidth="1"/>
    <col min="260" max="260" width="9.1796875" style="9"/>
    <col min="261" max="261" width="14.7265625" style="9" customWidth="1"/>
    <col min="262" max="262" width="10.7265625" style="9" customWidth="1"/>
    <col min="263" max="514" width="9.1796875" style="9"/>
    <col min="515" max="515" width="11.7265625" style="9" customWidth="1"/>
    <col min="516" max="516" width="9.1796875" style="9"/>
    <col min="517" max="517" width="14.7265625" style="9" customWidth="1"/>
    <col min="518" max="518" width="10.7265625" style="9" customWidth="1"/>
    <col min="519" max="770" width="9.1796875" style="9"/>
    <col min="771" max="771" width="11.7265625" style="9" customWidth="1"/>
    <col min="772" max="772" width="9.1796875" style="9"/>
    <col min="773" max="773" width="14.7265625" style="9" customWidth="1"/>
    <col min="774" max="774" width="10.7265625" style="9" customWidth="1"/>
    <col min="775" max="1026" width="9.1796875" style="9"/>
    <col min="1027" max="1027" width="11.7265625" style="9" customWidth="1"/>
    <col min="1028" max="1028" width="9.1796875" style="9"/>
    <col min="1029" max="1029" width="14.7265625" style="9" customWidth="1"/>
    <col min="1030" max="1030" width="10.7265625" style="9" customWidth="1"/>
    <col min="1031" max="1282" width="9.1796875" style="9"/>
    <col min="1283" max="1283" width="11.7265625" style="9" customWidth="1"/>
    <col min="1284" max="1284" width="9.1796875" style="9"/>
    <col min="1285" max="1285" width="14.7265625" style="9" customWidth="1"/>
    <col min="1286" max="1286" width="10.7265625" style="9" customWidth="1"/>
    <col min="1287" max="1538" width="9.1796875" style="9"/>
    <col min="1539" max="1539" width="11.7265625" style="9" customWidth="1"/>
    <col min="1540" max="1540" width="9.1796875" style="9"/>
    <col min="1541" max="1541" width="14.7265625" style="9" customWidth="1"/>
    <col min="1542" max="1542" width="10.7265625" style="9" customWidth="1"/>
    <col min="1543" max="1794" width="9.1796875" style="9"/>
    <col min="1795" max="1795" width="11.7265625" style="9" customWidth="1"/>
    <col min="1796" max="1796" width="9.1796875" style="9"/>
    <col min="1797" max="1797" width="14.7265625" style="9" customWidth="1"/>
    <col min="1798" max="1798" width="10.7265625" style="9" customWidth="1"/>
    <col min="1799" max="2050" width="9.1796875" style="9"/>
    <col min="2051" max="2051" width="11.7265625" style="9" customWidth="1"/>
    <col min="2052" max="2052" width="9.1796875" style="9"/>
    <col min="2053" max="2053" width="14.7265625" style="9" customWidth="1"/>
    <col min="2054" max="2054" width="10.7265625" style="9" customWidth="1"/>
    <col min="2055" max="2306" width="9.1796875" style="9"/>
    <col min="2307" max="2307" width="11.7265625" style="9" customWidth="1"/>
    <col min="2308" max="2308" width="9.1796875" style="9"/>
    <col min="2309" max="2309" width="14.7265625" style="9" customWidth="1"/>
    <col min="2310" max="2310" width="10.7265625" style="9" customWidth="1"/>
    <col min="2311" max="2562" width="9.1796875" style="9"/>
    <col min="2563" max="2563" width="11.7265625" style="9" customWidth="1"/>
    <col min="2564" max="2564" width="9.1796875" style="9"/>
    <col min="2565" max="2565" width="14.7265625" style="9" customWidth="1"/>
    <col min="2566" max="2566" width="10.7265625" style="9" customWidth="1"/>
    <col min="2567" max="2818" width="9.1796875" style="9"/>
    <col min="2819" max="2819" width="11.7265625" style="9" customWidth="1"/>
    <col min="2820" max="2820" width="9.1796875" style="9"/>
    <col min="2821" max="2821" width="14.7265625" style="9" customWidth="1"/>
    <col min="2822" max="2822" width="10.7265625" style="9" customWidth="1"/>
    <col min="2823" max="3074" width="9.1796875" style="9"/>
    <col min="3075" max="3075" width="11.7265625" style="9" customWidth="1"/>
    <col min="3076" max="3076" width="9.1796875" style="9"/>
    <col min="3077" max="3077" width="14.7265625" style="9" customWidth="1"/>
    <col min="3078" max="3078" width="10.7265625" style="9" customWidth="1"/>
    <col min="3079" max="3330" width="9.1796875" style="9"/>
    <col min="3331" max="3331" width="11.7265625" style="9" customWidth="1"/>
    <col min="3332" max="3332" width="9.1796875" style="9"/>
    <col min="3333" max="3333" width="14.7265625" style="9" customWidth="1"/>
    <col min="3334" max="3334" width="10.7265625" style="9" customWidth="1"/>
    <col min="3335" max="3586" width="9.1796875" style="9"/>
    <col min="3587" max="3587" width="11.7265625" style="9" customWidth="1"/>
    <col min="3588" max="3588" width="9.1796875" style="9"/>
    <col min="3589" max="3589" width="14.7265625" style="9" customWidth="1"/>
    <col min="3590" max="3590" width="10.7265625" style="9" customWidth="1"/>
    <col min="3591" max="3842" width="9.1796875" style="9"/>
    <col min="3843" max="3843" width="11.7265625" style="9" customWidth="1"/>
    <col min="3844" max="3844" width="9.1796875" style="9"/>
    <col min="3845" max="3845" width="14.7265625" style="9" customWidth="1"/>
    <col min="3846" max="3846" width="10.7265625" style="9" customWidth="1"/>
    <col min="3847" max="4098" width="9.1796875" style="9"/>
    <col min="4099" max="4099" width="11.7265625" style="9" customWidth="1"/>
    <col min="4100" max="4100" width="9.1796875" style="9"/>
    <col min="4101" max="4101" width="14.7265625" style="9" customWidth="1"/>
    <col min="4102" max="4102" width="10.7265625" style="9" customWidth="1"/>
    <col min="4103" max="4354" width="9.1796875" style="9"/>
    <col min="4355" max="4355" width="11.7265625" style="9" customWidth="1"/>
    <col min="4356" max="4356" width="9.1796875" style="9"/>
    <col min="4357" max="4357" width="14.7265625" style="9" customWidth="1"/>
    <col min="4358" max="4358" width="10.7265625" style="9" customWidth="1"/>
    <col min="4359" max="4610" width="9.1796875" style="9"/>
    <col min="4611" max="4611" width="11.7265625" style="9" customWidth="1"/>
    <col min="4612" max="4612" width="9.1796875" style="9"/>
    <col min="4613" max="4613" width="14.7265625" style="9" customWidth="1"/>
    <col min="4614" max="4614" width="10.7265625" style="9" customWidth="1"/>
    <col min="4615" max="4866" width="9.1796875" style="9"/>
    <col min="4867" max="4867" width="11.7265625" style="9" customWidth="1"/>
    <col min="4868" max="4868" width="9.1796875" style="9"/>
    <col min="4869" max="4869" width="14.7265625" style="9" customWidth="1"/>
    <col min="4870" max="4870" width="10.7265625" style="9" customWidth="1"/>
    <col min="4871" max="5122" width="9.1796875" style="9"/>
    <col min="5123" max="5123" width="11.7265625" style="9" customWidth="1"/>
    <col min="5124" max="5124" width="9.1796875" style="9"/>
    <col min="5125" max="5125" width="14.7265625" style="9" customWidth="1"/>
    <col min="5126" max="5126" width="10.7265625" style="9" customWidth="1"/>
    <col min="5127" max="5378" width="9.1796875" style="9"/>
    <col min="5379" max="5379" width="11.7265625" style="9" customWidth="1"/>
    <col min="5380" max="5380" width="9.1796875" style="9"/>
    <col min="5381" max="5381" width="14.7265625" style="9" customWidth="1"/>
    <col min="5382" max="5382" width="10.7265625" style="9" customWidth="1"/>
    <col min="5383" max="5634" width="9.1796875" style="9"/>
    <col min="5635" max="5635" width="11.7265625" style="9" customWidth="1"/>
    <col min="5636" max="5636" width="9.1796875" style="9"/>
    <col min="5637" max="5637" width="14.7265625" style="9" customWidth="1"/>
    <col min="5638" max="5638" width="10.7265625" style="9" customWidth="1"/>
    <col min="5639" max="5890" width="9.1796875" style="9"/>
    <col min="5891" max="5891" width="11.7265625" style="9" customWidth="1"/>
    <col min="5892" max="5892" width="9.1796875" style="9"/>
    <col min="5893" max="5893" width="14.7265625" style="9" customWidth="1"/>
    <col min="5894" max="5894" width="10.7265625" style="9" customWidth="1"/>
    <col min="5895" max="6146" width="9.1796875" style="9"/>
    <col min="6147" max="6147" width="11.7265625" style="9" customWidth="1"/>
    <col min="6148" max="6148" width="9.1796875" style="9"/>
    <col min="6149" max="6149" width="14.7265625" style="9" customWidth="1"/>
    <col min="6150" max="6150" width="10.7265625" style="9" customWidth="1"/>
    <col min="6151" max="6402" width="9.1796875" style="9"/>
    <col min="6403" max="6403" width="11.7265625" style="9" customWidth="1"/>
    <col min="6404" max="6404" width="9.1796875" style="9"/>
    <col min="6405" max="6405" width="14.7265625" style="9" customWidth="1"/>
    <col min="6406" max="6406" width="10.7265625" style="9" customWidth="1"/>
    <col min="6407" max="6658" width="9.1796875" style="9"/>
    <col min="6659" max="6659" width="11.7265625" style="9" customWidth="1"/>
    <col min="6660" max="6660" width="9.1796875" style="9"/>
    <col min="6661" max="6661" width="14.7265625" style="9" customWidth="1"/>
    <col min="6662" max="6662" width="10.7265625" style="9" customWidth="1"/>
    <col min="6663" max="6914" width="9.1796875" style="9"/>
    <col min="6915" max="6915" width="11.7265625" style="9" customWidth="1"/>
    <col min="6916" max="6916" width="9.1796875" style="9"/>
    <col min="6917" max="6917" width="14.7265625" style="9" customWidth="1"/>
    <col min="6918" max="6918" width="10.7265625" style="9" customWidth="1"/>
    <col min="6919" max="7170" width="9.1796875" style="9"/>
    <col min="7171" max="7171" width="11.7265625" style="9" customWidth="1"/>
    <col min="7172" max="7172" width="9.1796875" style="9"/>
    <col min="7173" max="7173" width="14.7265625" style="9" customWidth="1"/>
    <col min="7174" max="7174" width="10.7265625" style="9" customWidth="1"/>
    <col min="7175" max="7426" width="9.1796875" style="9"/>
    <col min="7427" max="7427" width="11.7265625" style="9" customWidth="1"/>
    <col min="7428" max="7428" width="9.1796875" style="9"/>
    <col min="7429" max="7429" width="14.7265625" style="9" customWidth="1"/>
    <col min="7430" max="7430" width="10.7265625" style="9" customWidth="1"/>
    <col min="7431" max="7682" width="9.1796875" style="9"/>
    <col min="7683" max="7683" width="11.7265625" style="9" customWidth="1"/>
    <col min="7684" max="7684" width="9.1796875" style="9"/>
    <col min="7685" max="7685" width="14.7265625" style="9" customWidth="1"/>
    <col min="7686" max="7686" width="10.7265625" style="9" customWidth="1"/>
    <col min="7687" max="7938" width="9.1796875" style="9"/>
    <col min="7939" max="7939" width="11.7265625" style="9" customWidth="1"/>
    <col min="7940" max="7940" width="9.1796875" style="9"/>
    <col min="7941" max="7941" width="14.7265625" style="9" customWidth="1"/>
    <col min="7942" max="7942" width="10.7265625" style="9" customWidth="1"/>
    <col min="7943" max="8194" width="9.1796875" style="9"/>
    <col min="8195" max="8195" width="11.7265625" style="9" customWidth="1"/>
    <col min="8196" max="8196" width="9.1796875" style="9"/>
    <col min="8197" max="8197" width="14.7265625" style="9" customWidth="1"/>
    <col min="8198" max="8198" width="10.7265625" style="9" customWidth="1"/>
    <col min="8199" max="8450" width="9.1796875" style="9"/>
    <col min="8451" max="8451" width="11.7265625" style="9" customWidth="1"/>
    <col min="8452" max="8452" width="9.1796875" style="9"/>
    <col min="8453" max="8453" width="14.7265625" style="9" customWidth="1"/>
    <col min="8454" max="8454" width="10.7265625" style="9" customWidth="1"/>
    <col min="8455" max="8706" width="9.1796875" style="9"/>
    <col min="8707" max="8707" width="11.7265625" style="9" customWidth="1"/>
    <col min="8708" max="8708" width="9.1796875" style="9"/>
    <col min="8709" max="8709" width="14.7265625" style="9" customWidth="1"/>
    <col min="8710" max="8710" width="10.7265625" style="9" customWidth="1"/>
    <col min="8711" max="8962" width="9.1796875" style="9"/>
    <col min="8963" max="8963" width="11.7265625" style="9" customWidth="1"/>
    <col min="8964" max="8964" width="9.1796875" style="9"/>
    <col min="8965" max="8965" width="14.7265625" style="9" customWidth="1"/>
    <col min="8966" max="8966" width="10.7265625" style="9" customWidth="1"/>
    <col min="8967" max="9218" width="9.1796875" style="9"/>
    <col min="9219" max="9219" width="11.7265625" style="9" customWidth="1"/>
    <col min="9220" max="9220" width="9.1796875" style="9"/>
    <col min="9221" max="9221" width="14.7265625" style="9" customWidth="1"/>
    <col min="9222" max="9222" width="10.7265625" style="9" customWidth="1"/>
    <col min="9223" max="9474" width="9.1796875" style="9"/>
    <col min="9475" max="9475" width="11.7265625" style="9" customWidth="1"/>
    <col min="9476" max="9476" width="9.1796875" style="9"/>
    <col min="9477" max="9477" width="14.7265625" style="9" customWidth="1"/>
    <col min="9478" max="9478" width="10.7265625" style="9" customWidth="1"/>
    <col min="9479" max="9730" width="9.1796875" style="9"/>
    <col min="9731" max="9731" width="11.7265625" style="9" customWidth="1"/>
    <col min="9732" max="9732" width="9.1796875" style="9"/>
    <col min="9733" max="9733" width="14.7265625" style="9" customWidth="1"/>
    <col min="9734" max="9734" width="10.7265625" style="9" customWidth="1"/>
    <col min="9735" max="9986" width="9.1796875" style="9"/>
    <col min="9987" max="9987" width="11.7265625" style="9" customWidth="1"/>
    <col min="9988" max="9988" width="9.1796875" style="9"/>
    <col min="9989" max="9989" width="14.7265625" style="9" customWidth="1"/>
    <col min="9990" max="9990" width="10.7265625" style="9" customWidth="1"/>
    <col min="9991" max="10242" width="9.1796875" style="9"/>
    <col min="10243" max="10243" width="11.7265625" style="9" customWidth="1"/>
    <col min="10244" max="10244" width="9.1796875" style="9"/>
    <col min="10245" max="10245" width="14.7265625" style="9" customWidth="1"/>
    <col min="10246" max="10246" width="10.7265625" style="9" customWidth="1"/>
    <col min="10247" max="10498" width="9.1796875" style="9"/>
    <col min="10499" max="10499" width="11.7265625" style="9" customWidth="1"/>
    <col min="10500" max="10500" width="9.1796875" style="9"/>
    <col min="10501" max="10501" width="14.7265625" style="9" customWidth="1"/>
    <col min="10502" max="10502" width="10.7265625" style="9" customWidth="1"/>
    <col min="10503" max="10754" width="9.1796875" style="9"/>
    <col min="10755" max="10755" width="11.7265625" style="9" customWidth="1"/>
    <col min="10756" max="10756" width="9.1796875" style="9"/>
    <col min="10757" max="10757" width="14.7265625" style="9" customWidth="1"/>
    <col min="10758" max="10758" width="10.7265625" style="9" customWidth="1"/>
    <col min="10759" max="11010" width="9.1796875" style="9"/>
    <col min="11011" max="11011" width="11.7265625" style="9" customWidth="1"/>
    <col min="11012" max="11012" width="9.1796875" style="9"/>
    <col min="11013" max="11013" width="14.7265625" style="9" customWidth="1"/>
    <col min="11014" max="11014" width="10.7265625" style="9" customWidth="1"/>
    <col min="11015" max="11266" width="9.1796875" style="9"/>
    <col min="11267" max="11267" width="11.7265625" style="9" customWidth="1"/>
    <col min="11268" max="11268" width="9.1796875" style="9"/>
    <col min="11269" max="11269" width="14.7265625" style="9" customWidth="1"/>
    <col min="11270" max="11270" width="10.7265625" style="9" customWidth="1"/>
    <col min="11271" max="11522" width="9.1796875" style="9"/>
    <col min="11523" max="11523" width="11.7265625" style="9" customWidth="1"/>
    <col min="11524" max="11524" width="9.1796875" style="9"/>
    <col min="11525" max="11525" width="14.7265625" style="9" customWidth="1"/>
    <col min="11526" max="11526" width="10.7265625" style="9" customWidth="1"/>
    <col min="11527" max="11778" width="9.1796875" style="9"/>
    <col min="11779" max="11779" width="11.7265625" style="9" customWidth="1"/>
    <col min="11780" max="11780" width="9.1796875" style="9"/>
    <col min="11781" max="11781" width="14.7265625" style="9" customWidth="1"/>
    <col min="11782" max="11782" width="10.7265625" style="9" customWidth="1"/>
    <col min="11783" max="12034" width="9.1796875" style="9"/>
    <col min="12035" max="12035" width="11.7265625" style="9" customWidth="1"/>
    <col min="12036" max="12036" width="9.1796875" style="9"/>
    <col min="12037" max="12037" width="14.7265625" style="9" customWidth="1"/>
    <col min="12038" max="12038" width="10.7265625" style="9" customWidth="1"/>
    <col min="12039" max="12290" width="9.1796875" style="9"/>
    <col min="12291" max="12291" width="11.7265625" style="9" customWidth="1"/>
    <col min="12292" max="12292" width="9.1796875" style="9"/>
    <col min="12293" max="12293" width="14.7265625" style="9" customWidth="1"/>
    <col min="12294" max="12294" width="10.7265625" style="9" customWidth="1"/>
    <col min="12295" max="12546" width="9.1796875" style="9"/>
    <col min="12547" max="12547" width="11.7265625" style="9" customWidth="1"/>
    <col min="12548" max="12548" width="9.1796875" style="9"/>
    <col min="12549" max="12549" width="14.7265625" style="9" customWidth="1"/>
    <col min="12550" max="12550" width="10.7265625" style="9" customWidth="1"/>
    <col min="12551" max="12802" width="9.1796875" style="9"/>
    <col min="12803" max="12803" width="11.7265625" style="9" customWidth="1"/>
    <col min="12804" max="12804" width="9.1796875" style="9"/>
    <col min="12805" max="12805" width="14.7265625" style="9" customWidth="1"/>
    <col min="12806" max="12806" width="10.7265625" style="9" customWidth="1"/>
    <col min="12807" max="13058" width="9.1796875" style="9"/>
    <col min="13059" max="13059" width="11.7265625" style="9" customWidth="1"/>
    <col min="13060" max="13060" width="9.1796875" style="9"/>
    <col min="13061" max="13061" width="14.7265625" style="9" customWidth="1"/>
    <col min="13062" max="13062" width="10.7265625" style="9" customWidth="1"/>
    <col min="13063" max="13314" width="9.1796875" style="9"/>
    <col min="13315" max="13315" width="11.7265625" style="9" customWidth="1"/>
    <col min="13316" max="13316" width="9.1796875" style="9"/>
    <col min="13317" max="13317" width="14.7265625" style="9" customWidth="1"/>
    <col min="13318" max="13318" width="10.7265625" style="9" customWidth="1"/>
    <col min="13319" max="13570" width="9.1796875" style="9"/>
    <col min="13571" max="13571" width="11.7265625" style="9" customWidth="1"/>
    <col min="13572" max="13572" width="9.1796875" style="9"/>
    <col min="13573" max="13573" width="14.7265625" style="9" customWidth="1"/>
    <col min="13574" max="13574" width="10.7265625" style="9" customWidth="1"/>
    <col min="13575" max="13826" width="9.1796875" style="9"/>
    <col min="13827" max="13827" width="11.7265625" style="9" customWidth="1"/>
    <col min="13828" max="13828" width="9.1796875" style="9"/>
    <col min="13829" max="13829" width="14.7265625" style="9" customWidth="1"/>
    <col min="13830" max="13830" width="10.7265625" style="9" customWidth="1"/>
    <col min="13831" max="14082" width="9.1796875" style="9"/>
    <col min="14083" max="14083" width="11.7265625" style="9" customWidth="1"/>
    <col min="14084" max="14084" width="9.1796875" style="9"/>
    <col min="14085" max="14085" width="14.7265625" style="9" customWidth="1"/>
    <col min="14086" max="14086" width="10.7265625" style="9" customWidth="1"/>
    <col min="14087" max="14338" width="9.1796875" style="9"/>
    <col min="14339" max="14339" width="11.7265625" style="9" customWidth="1"/>
    <col min="14340" max="14340" width="9.1796875" style="9"/>
    <col min="14341" max="14341" width="14.7265625" style="9" customWidth="1"/>
    <col min="14342" max="14342" width="10.7265625" style="9" customWidth="1"/>
    <col min="14343" max="14594" width="9.1796875" style="9"/>
    <col min="14595" max="14595" width="11.7265625" style="9" customWidth="1"/>
    <col min="14596" max="14596" width="9.1796875" style="9"/>
    <col min="14597" max="14597" width="14.7265625" style="9" customWidth="1"/>
    <col min="14598" max="14598" width="10.7265625" style="9" customWidth="1"/>
    <col min="14599" max="14850" width="9.1796875" style="9"/>
    <col min="14851" max="14851" width="11.7265625" style="9" customWidth="1"/>
    <col min="14852" max="14852" width="9.1796875" style="9"/>
    <col min="14853" max="14853" width="14.7265625" style="9" customWidth="1"/>
    <col min="14854" max="14854" width="10.7265625" style="9" customWidth="1"/>
    <col min="14855" max="15106" width="9.1796875" style="9"/>
    <col min="15107" max="15107" width="11.7265625" style="9" customWidth="1"/>
    <col min="15108" max="15108" width="9.1796875" style="9"/>
    <col min="15109" max="15109" width="14.7265625" style="9" customWidth="1"/>
    <col min="15110" max="15110" width="10.7265625" style="9" customWidth="1"/>
    <col min="15111" max="15362" width="9.1796875" style="9"/>
    <col min="15363" max="15363" width="11.7265625" style="9" customWidth="1"/>
    <col min="15364" max="15364" width="9.1796875" style="9"/>
    <col min="15365" max="15365" width="14.7265625" style="9" customWidth="1"/>
    <col min="15366" max="15366" width="10.7265625" style="9" customWidth="1"/>
    <col min="15367" max="15618" width="9.1796875" style="9"/>
    <col min="15619" max="15619" width="11.7265625" style="9" customWidth="1"/>
    <col min="15620" max="15620" width="9.1796875" style="9"/>
    <col min="15621" max="15621" width="14.7265625" style="9" customWidth="1"/>
    <col min="15622" max="15622" width="10.7265625" style="9" customWidth="1"/>
    <col min="15623" max="15874" width="9.1796875" style="9"/>
    <col min="15875" max="15875" width="11.7265625" style="9" customWidth="1"/>
    <col min="15876" max="15876" width="9.1796875" style="9"/>
    <col min="15877" max="15877" width="14.7265625" style="9" customWidth="1"/>
    <col min="15878" max="15878" width="10.7265625" style="9" customWidth="1"/>
    <col min="15879" max="16130" width="9.1796875" style="9"/>
    <col min="16131" max="16131" width="11.7265625" style="9" customWidth="1"/>
    <col min="16132" max="16132" width="9.1796875" style="9"/>
    <col min="16133" max="16133" width="14.7265625" style="9" customWidth="1"/>
    <col min="16134" max="16134" width="10.7265625" style="9" customWidth="1"/>
    <col min="16135" max="16384" width="9.1796875" style="9"/>
  </cols>
  <sheetData>
    <row r="2" spans="1:13" x14ac:dyDescent="0.3">
      <c r="A2" s="10" t="s">
        <v>137</v>
      </c>
      <c r="B2" s="10" t="s">
        <v>138</v>
      </c>
      <c r="C2" s="10" t="s">
        <v>139</v>
      </c>
      <c r="D2" s="259" t="s">
        <v>140</v>
      </c>
      <c r="E2" s="259"/>
    </row>
    <row r="3" spans="1:13" x14ac:dyDescent="0.3">
      <c r="A3" s="13">
        <v>0</v>
      </c>
      <c r="B3" s="13">
        <v>0</v>
      </c>
      <c r="C3" s="13">
        <v>1</v>
      </c>
      <c r="D3" s="261">
        <v>7</v>
      </c>
      <c r="E3" s="261"/>
    </row>
    <row r="5" spans="1:13" hidden="1" x14ac:dyDescent="0.3">
      <c r="A5" s="9" t="s">
        <v>102</v>
      </c>
      <c r="B5" s="11" t="s">
        <v>155</v>
      </c>
      <c r="C5" s="11">
        <f>D3</f>
        <v>7</v>
      </c>
      <c r="D5" s="12"/>
    </row>
    <row r="6" spans="1:13" x14ac:dyDescent="0.3">
      <c r="A6" s="9" t="s">
        <v>103</v>
      </c>
      <c r="B6" s="14">
        <v>10</v>
      </c>
      <c r="C6" s="15">
        <v>1</v>
      </c>
      <c r="D6" s="16">
        <f>((100/B6)*C6)/100</f>
        <v>0.1</v>
      </c>
      <c r="E6" s="17"/>
      <c r="J6" s="17"/>
    </row>
    <row r="7" spans="1:13" x14ac:dyDescent="0.3">
      <c r="A7" s="9" t="s">
        <v>104</v>
      </c>
      <c r="B7" s="14">
        <f>A3+B3+C3+D3</f>
        <v>8</v>
      </c>
      <c r="C7" s="15">
        <v>0</v>
      </c>
      <c r="D7" s="16">
        <f t="shared" ref="D7:D12" si="0">((100/B7)*C7)/100</f>
        <v>0</v>
      </c>
      <c r="F7" s="262" t="s">
        <v>156</v>
      </c>
      <c r="G7" s="262"/>
      <c r="H7" s="18" t="s">
        <v>157</v>
      </c>
      <c r="J7" s="25"/>
    </row>
    <row r="8" spans="1:13" x14ac:dyDescent="0.3">
      <c r="A8" s="9" t="s">
        <v>109</v>
      </c>
      <c r="B8" s="14">
        <f>C5</f>
        <v>7</v>
      </c>
      <c r="C8" s="15">
        <v>0</v>
      </c>
      <c r="D8" s="16">
        <f t="shared" si="0"/>
        <v>0</v>
      </c>
      <c r="E8" s="17"/>
      <c r="F8" s="260" t="s">
        <v>158</v>
      </c>
      <c r="G8" s="260"/>
      <c r="H8" s="14" t="s">
        <v>159</v>
      </c>
      <c r="J8" s="17"/>
    </row>
    <row r="9" spans="1:13" x14ac:dyDescent="0.3">
      <c r="A9" s="9" t="s">
        <v>111</v>
      </c>
      <c r="B9" s="14">
        <f>C5</f>
        <v>7</v>
      </c>
      <c r="C9" s="15">
        <v>0</v>
      </c>
      <c r="D9" s="16">
        <f t="shared" si="0"/>
        <v>0</v>
      </c>
      <c r="E9" s="17"/>
      <c r="F9" s="260" t="s">
        <v>160</v>
      </c>
      <c r="G9" s="260"/>
      <c r="H9" s="14" t="s">
        <v>161</v>
      </c>
      <c r="J9" s="17"/>
    </row>
    <row r="10" spans="1:13" x14ac:dyDescent="0.3">
      <c r="A10" s="9" t="s">
        <v>72</v>
      </c>
      <c r="B10" s="14">
        <f>C5</f>
        <v>7</v>
      </c>
      <c r="C10" s="15">
        <v>0</v>
      </c>
      <c r="D10" s="16">
        <f t="shared" si="0"/>
        <v>0</v>
      </c>
      <c r="E10" s="17"/>
      <c r="F10" s="260" t="s">
        <v>162</v>
      </c>
      <c r="G10" s="260"/>
      <c r="H10" s="14" t="s">
        <v>163</v>
      </c>
      <c r="J10" s="17"/>
    </row>
    <row r="11" spans="1:13" x14ac:dyDescent="0.3">
      <c r="A11" s="19" t="s">
        <v>107</v>
      </c>
      <c r="B11" s="14">
        <f>C5</f>
        <v>7</v>
      </c>
      <c r="C11" s="15">
        <v>0</v>
      </c>
      <c r="D11" s="16">
        <f t="shared" si="0"/>
        <v>0</v>
      </c>
      <c r="E11" s="17"/>
      <c r="F11" s="260" t="s">
        <v>164</v>
      </c>
      <c r="G11" s="260"/>
      <c r="H11" s="14" t="s">
        <v>165</v>
      </c>
    </row>
    <row r="12" spans="1:13" x14ac:dyDescent="0.3">
      <c r="A12" s="9" t="s">
        <v>74</v>
      </c>
      <c r="B12" s="14">
        <f>C5</f>
        <v>7</v>
      </c>
      <c r="C12" s="15">
        <v>0</v>
      </c>
      <c r="D12" s="16">
        <f t="shared" si="0"/>
        <v>0</v>
      </c>
      <c r="E12" s="17"/>
      <c r="F12" s="260" t="s">
        <v>166</v>
      </c>
      <c r="G12" s="260"/>
      <c r="H12" s="14" t="s">
        <v>167</v>
      </c>
    </row>
    <row r="13" spans="1:13" x14ac:dyDescent="0.3">
      <c r="F13" s="260" t="s">
        <v>168</v>
      </c>
      <c r="G13" s="260"/>
      <c r="H13" s="14" t="s">
        <v>169</v>
      </c>
    </row>
    <row r="14" spans="1:13" hidden="1" x14ac:dyDescent="0.3">
      <c r="A14" s="10"/>
      <c r="B14" s="10" t="s">
        <v>108</v>
      </c>
      <c r="C14" s="10" t="s">
        <v>112</v>
      </c>
      <c r="G14" s="10" t="s">
        <v>103</v>
      </c>
      <c r="H14" s="10" t="s">
        <v>105</v>
      </c>
      <c r="I14" s="10" t="s">
        <v>106</v>
      </c>
      <c r="J14" s="10" t="s">
        <v>71</v>
      </c>
      <c r="K14" s="10" t="s">
        <v>72</v>
      </c>
      <c r="L14" s="10" t="s">
        <v>107</v>
      </c>
      <c r="M14" s="10" t="s">
        <v>74</v>
      </c>
    </row>
    <row r="15" spans="1:13" hidden="1" x14ac:dyDescent="0.3">
      <c r="A15" s="10" t="s">
        <v>68</v>
      </c>
      <c r="B15" s="10">
        <f>G15</f>
        <v>1</v>
      </c>
      <c r="C15" s="10">
        <f>G16</f>
        <v>21</v>
      </c>
      <c r="E15" s="259" t="s">
        <v>108</v>
      </c>
      <c r="F15" s="259"/>
      <c r="G15" s="20">
        <f>C6</f>
        <v>1</v>
      </c>
      <c r="H15" s="20">
        <f>40/B7*C7</f>
        <v>0</v>
      </c>
      <c r="I15" s="20">
        <f>15/B8*C8</f>
        <v>0</v>
      </c>
      <c r="J15" s="20">
        <f>10/B9*C9</f>
        <v>0</v>
      </c>
      <c r="K15" s="20">
        <f>10/B10*C10</f>
        <v>0</v>
      </c>
      <c r="L15" s="20">
        <f>5/B11*C11</f>
        <v>0</v>
      </c>
      <c r="M15" s="20">
        <f>5/B12*C12</f>
        <v>0</v>
      </c>
    </row>
    <row r="16" spans="1:13" hidden="1" x14ac:dyDescent="0.3">
      <c r="A16" s="10" t="s">
        <v>69</v>
      </c>
      <c r="B16" s="10">
        <f>H15</f>
        <v>0</v>
      </c>
      <c r="C16" s="10">
        <f>H16</f>
        <v>0</v>
      </c>
      <c r="E16" s="259" t="s">
        <v>110</v>
      </c>
      <c r="F16" s="259"/>
      <c r="G16" s="10">
        <f>G15+20</f>
        <v>21</v>
      </c>
      <c r="H16" s="10">
        <f>30/B7*C7</f>
        <v>0</v>
      </c>
      <c r="I16" s="10">
        <f>15/B8*C8</f>
        <v>0</v>
      </c>
      <c r="J16" s="10">
        <f>10/B9*C9</f>
        <v>0</v>
      </c>
      <c r="K16" s="10">
        <f>5/B10*C10</f>
        <v>0</v>
      </c>
      <c r="L16" s="10">
        <f>5/B11*C11</f>
        <v>0</v>
      </c>
      <c r="M16" s="10">
        <f>5/B12*C12</f>
        <v>0</v>
      </c>
    </row>
    <row r="17" spans="1:13" hidden="1" x14ac:dyDescent="0.3">
      <c r="A17" s="10" t="s">
        <v>106</v>
      </c>
      <c r="B17" s="10">
        <f>I15</f>
        <v>0</v>
      </c>
      <c r="C17" s="10">
        <f>I16</f>
        <v>0</v>
      </c>
      <c r="M17" s="17"/>
    </row>
    <row r="18" spans="1:13" hidden="1" x14ac:dyDescent="0.3">
      <c r="A18" s="10" t="s">
        <v>71</v>
      </c>
      <c r="B18" s="10">
        <f>J15</f>
        <v>0</v>
      </c>
      <c r="C18" s="10">
        <f>J16</f>
        <v>0</v>
      </c>
      <c r="M18" s="17"/>
    </row>
    <row r="19" spans="1:13" hidden="1" x14ac:dyDescent="0.3">
      <c r="A19" s="10" t="s">
        <v>72</v>
      </c>
      <c r="B19" s="10">
        <f>K15</f>
        <v>0</v>
      </c>
      <c r="C19" s="10">
        <f>K16</f>
        <v>0</v>
      </c>
      <c r="M19" s="17"/>
    </row>
    <row r="20" spans="1:13" hidden="1" x14ac:dyDescent="0.3">
      <c r="A20" s="21" t="s">
        <v>107</v>
      </c>
      <c r="B20" s="10">
        <f>L15</f>
        <v>0</v>
      </c>
      <c r="C20" s="10">
        <f>L16</f>
        <v>0</v>
      </c>
      <c r="M20" s="17"/>
    </row>
    <row r="21" spans="1:13" hidden="1" x14ac:dyDescent="0.3">
      <c r="A21" s="10" t="s">
        <v>74</v>
      </c>
      <c r="B21" s="10">
        <f>M15</f>
        <v>0</v>
      </c>
      <c r="C21" s="10">
        <f>M16</f>
        <v>0</v>
      </c>
      <c r="M21" s="17"/>
    </row>
    <row r="22" spans="1:13" x14ac:dyDescent="0.3">
      <c r="A22" s="10" t="s">
        <v>113</v>
      </c>
      <c r="B22" s="22">
        <f>(B15+B16+B17+B18+B19+B20+B21)/100</f>
        <v>0.01</v>
      </c>
      <c r="C22" s="22">
        <f>(C15+C16+C17+C18+C19+C20+C21)/100</f>
        <v>0.21</v>
      </c>
      <c r="F22" s="260" t="s">
        <v>170</v>
      </c>
      <c r="G22" s="260"/>
      <c r="H22" s="14" t="s">
        <v>161</v>
      </c>
      <c r="M22" s="17"/>
    </row>
    <row r="23" spans="1:13" x14ac:dyDescent="0.3">
      <c r="F23" s="260" t="s">
        <v>171</v>
      </c>
      <c r="G23" s="260"/>
      <c r="H23" s="14" t="s">
        <v>172</v>
      </c>
    </row>
    <row r="24" spans="1:13" x14ac:dyDescent="0.3">
      <c r="A24" s="23" t="s">
        <v>145</v>
      </c>
      <c r="B24" s="24">
        <v>0.01</v>
      </c>
      <c r="C24" s="24">
        <v>0.02</v>
      </c>
      <c r="F24" s="260" t="s">
        <v>173</v>
      </c>
      <c r="G24" s="260"/>
      <c r="H24" s="14" t="s">
        <v>174</v>
      </c>
    </row>
    <row r="25" spans="1:13" x14ac:dyDescent="0.3">
      <c r="A25" s="23" t="s">
        <v>146</v>
      </c>
      <c r="B25" s="24">
        <v>0.01</v>
      </c>
      <c r="C25" s="24">
        <v>0.03</v>
      </c>
    </row>
    <row r="26" spans="1:13" x14ac:dyDescent="0.3">
      <c r="A26" s="23" t="s">
        <v>147</v>
      </c>
      <c r="B26" s="24">
        <v>0.03</v>
      </c>
      <c r="C26" s="24">
        <v>0.08</v>
      </c>
    </row>
    <row r="27" spans="1:13" x14ac:dyDescent="0.3">
      <c r="A27" s="23" t="s">
        <v>148</v>
      </c>
      <c r="B27" s="24">
        <v>0.05</v>
      </c>
      <c r="C27" s="24">
        <v>0.15</v>
      </c>
    </row>
    <row r="28" spans="1:13" x14ac:dyDescent="0.3">
      <c r="A28" s="23" t="s">
        <v>149</v>
      </c>
      <c r="B28" s="24">
        <v>7.0000000000000007E-2</v>
      </c>
      <c r="C28" s="24">
        <v>0.2</v>
      </c>
    </row>
    <row r="29" spans="1:13" x14ac:dyDescent="0.3">
      <c r="A29" s="23" t="s">
        <v>150</v>
      </c>
      <c r="B29" s="24">
        <v>0.1</v>
      </c>
      <c r="C29" s="24">
        <v>0.3</v>
      </c>
    </row>
  </sheetData>
  <mergeCells count="14">
    <mergeCell ref="D2:E2"/>
    <mergeCell ref="D3:E3"/>
    <mergeCell ref="F12:G12"/>
    <mergeCell ref="F13:G13"/>
    <mergeCell ref="F7:G7"/>
    <mergeCell ref="F8:G8"/>
    <mergeCell ref="F9:G9"/>
    <mergeCell ref="F10:G10"/>
    <mergeCell ref="F11:G11"/>
    <mergeCell ref="E16:F16"/>
    <mergeCell ref="F22:G22"/>
    <mergeCell ref="F23:G23"/>
    <mergeCell ref="F24:G24"/>
    <mergeCell ref="E15:F1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8" sqref="C8"/>
    </sheetView>
  </sheetViews>
  <sheetFormatPr defaultRowHeight="14" x14ac:dyDescent="0.3"/>
  <cols>
    <col min="1" max="1" width="20.54296875" style="9" customWidth="1"/>
    <col min="2" max="2" width="11.7265625" style="9" customWidth="1"/>
    <col min="3" max="4" width="9.1796875" style="9"/>
    <col min="5" max="5" width="10.1796875" style="9" customWidth="1"/>
    <col min="6" max="6" width="10.7265625" style="9" customWidth="1"/>
    <col min="7" max="7" width="9.1796875" style="9"/>
    <col min="8" max="8" width="10.453125" style="9" customWidth="1"/>
    <col min="9" max="9" width="15.453125" style="9" customWidth="1"/>
    <col min="10" max="258" width="9.1796875" style="9"/>
    <col min="259" max="259" width="11.7265625" style="9" customWidth="1"/>
    <col min="260" max="260" width="9.1796875" style="9"/>
    <col min="261" max="261" width="14.7265625" style="9" customWidth="1"/>
    <col min="262" max="262" width="10.7265625" style="9" customWidth="1"/>
    <col min="263" max="514" width="9.1796875" style="9"/>
    <col min="515" max="515" width="11.7265625" style="9" customWidth="1"/>
    <col min="516" max="516" width="9.1796875" style="9"/>
    <col min="517" max="517" width="14.7265625" style="9" customWidth="1"/>
    <col min="518" max="518" width="10.7265625" style="9" customWidth="1"/>
    <col min="519" max="770" width="9.1796875" style="9"/>
    <col min="771" max="771" width="11.7265625" style="9" customWidth="1"/>
    <col min="772" max="772" width="9.1796875" style="9"/>
    <col min="773" max="773" width="14.7265625" style="9" customWidth="1"/>
    <col min="774" max="774" width="10.7265625" style="9" customWidth="1"/>
    <col min="775" max="1026" width="9.1796875" style="9"/>
    <col min="1027" max="1027" width="11.7265625" style="9" customWidth="1"/>
    <col min="1028" max="1028" width="9.1796875" style="9"/>
    <col min="1029" max="1029" width="14.7265625" style="9" customWidth="1"/>
    <col min="1030" max="1030" width="10.7265625" style="9" customWidth="1"/>
    <col min="1031" max="1282" width="9.1796875" style="9"/>
    <col min="1283" max="1283" width="11.7265625" style="9" customWidth="1"/>
    <col min="1284" max="1284" width="9.1796875" style="9"/>
    <col min="1285" max="1285" width="14.7265625" style="9" customWidth="1"/>
    <col min="1286" max="1286" width="10.7265625" style="9" customWidth="1"/>
    <col min="1287" max="1538" width="9.1796875" style="9"/>
    <col min="1539" max="1539" width="11.7265625" style="9" customWidth="1"/>
    <col min="1540" max="1540" width="9.1796875" style="9"/>
    <col min="1541" max="1541" width="14.7265625" style="9" customWidth="1"/>
    <col min="1542" max="1542" width="10.7265625" style="9" customWidth="1"/>
    <col min="1543" max="1794" width="9.1796875" style="9"/>
    <col min="1795" max="1795" width="11.7265625" style="9" customWidth="1"/>
    <col min="1796" max="1796" width="9.1796875" style="9"/>
    <col min="1797" max="1797" width="14.7265625" style="9" customWidth="1"/>
    <col min="1798" max="1798" width="10.7265625" style="9" customWidth="1"/>
    <col min="1799" max="2050" width="9.1796875" style="9"/>
    <col min="2051" max="2051" width="11.7265625" style="9" customWidth="1"/>
    <col min="2052" max="2052" width="9.1796875" style="9"/>
    <col min="2053" max="2053" width="14.7265625" style="9" customWidth="1"/>
    <col min="2054" max="2054" width="10.7265625" style="9" customWidth="1"/>
    <col min="2055" max="2306" width="9.1796875" style="9"/>
    <col min="2307" max="2307" width="11.7265625" style="9" customWidth="1"/>
    <col min="2308" max="2308" width="9.1796875" style="9"/>
    <col min="2309" max="2309" width="14.7265625" style="9" customWidth="1"/>
    <col min="2310" max="2310" width="10.7265625" style="9" customWidth="1"/>
    <col min="2311" max="2562" width="9.1796875" style="9"/>
    <col min="2563" max="2563" width="11.7265625" style="9" customWidth="1"/>
    <col min="2564" max="2564" width="9.1796875" style="9"/>
    <col min="2565" max="2565" width="14.7265625" style="9" customWidth="1"/>
    <col min="2566" max="2566" width="10.7265625" style="9" customWidth="1"/>
    <col min="2567" max="2818" width="9.1796875" style="9"/>
    <col min="2819" max="2819" width="11.7265625" style="9" customWidth="1"/>
    <col min="2820" max="2820" width="9.1796875" style="9"/>
    <col min="2821" max="2821" width="14.7265625" style="9" customWidth="1"/>
    <col min="2822" max="2822" width="10.7265625" style="9" customWidth="1"/>
    <col min="2823" max="3074" width="9.1796875" style="9"/>
    <col min="3075" max="3075" width="11.7265625" style="9" customWidth="1"/>
    <col min="3076" max="3076" width="9.1796875" style="9"/>
    <col min="3077" max="3077" width="14.7265625" style="9" customWidth="1"/>
    <col min="3078" max="3078" width="10.7265625" style="9" customWidth="1"/>
    <col min="3079" max="3330" width="9.1796875" style="9"/>
    <col min="3331" max="3331" width="11.7265625" style="9" customWidth="1"/>
    <col min="3332" max="3332" width="9.1796875" style="9"/>
    <col min="3333" max="3333" width="14.7265625" style="9" customWidth="1"/>
    <col min="3334" max="3334" width="10.7265625" style="9" customWidth="1"/>
    <col min="3335" max="3586" width="9.1796875" style="9"/>
    <col min="3587" max="3587" width="11.7265625" style="9" customWidth="1"/>
    <col min="3588" max="3588" width="9.1796875" style="9"/>
    <col min="3589" max="3589" width="14.7265625" style="9" customWidth="1"/>
    <col min="3590" max="3590" width="10.7265625" style="9" customWidth="1"/>
    <col min="3591" max="3842" width="9.1796875" style="9"/>
    <col min="3843" max="3843" width="11.7265625" style="9" customWidth="1"/>
    <col min="3844" max="3844" width="9.1796875" style="9"/>
    <col min="3845" max="3845" width="14.7265625" style="9" customWidth="1"/>
    <col min="3846" max="3846" width="10.7265625" style="9" customWidth="1"/>
    <col min="3847" max="4098" width="9.1796875" style="9"/>
    <col min="4099" max="4099" width="11.7265625" style="9" customWidth="1"/>
    <col min="4100" max="4100" width="9.1796875" style="9"/>
    <col min="4101" max="4101" width="14.7265625" style="9" customWidth="1"/>
    <col min="4102" max="4102" width="10.7265625" style="9" customWidth="1"/>
    <col min="4103" max="4354" width="9.1796875" style="9"/>
    <col min="4355" max="4355" width="11.7265625" style="9" customWidth="1"/>
    <col min="4356" max="4356" width="9.1796875" style="9"/>
    <col min="4357" max="4357" width="14.7265625" style="9" customWidth="1"/>
    <col min="4358" max="4358" width="10.7265625" style="9" customWidth="1"/>
    <col min="4359" max="4610" width="9.1796875" style="9"/>
    <col min="4611" max="4611" width="11.7265625" style="9" customWidth="1"/>
    <col min="4612" max="4612" width="9.1796875" style="9"/>
    <col min="4613" max="4613" width="14.7265625" style="9" customWidth="1"/>
    <col min="4614" max="4614" width="10.7265625" style="9" customWidth="1"/>
    <col min="4615" max="4866" width="9.1796875" style="9"/>
    <col min="4867" max="4867" width="11.7265625" style="9" customWidth="1"/>
    <col min="4868" max="4868" width="9.1796875" style="9"/>
    <col min="4869" max="4869" width="14.7265625" style="9" customWidth="1"/>
    <col min="4870" max="4870" width="10.7265625" style="9" customWidth="1"/>
    <col min="4871" max="5122" width="9.1796875" style="9"/>
    <col min="5123" max="5123" width="11.7265625" style="9" customWidth="1"/>
    <col min="5124" max="5124" width="9.1796875" style="9"/>
    <col min="5125" max="5125" width="14.7265625" style="9" customWidth="1"/>
    <col min="5126" max="5126" width="10.7265625" style="9" customWidth="1"/>
    <col min="5127" max="5378" width="9.1796875" style="9"/>
    <col min="5379" max="5379" width="11.7265625" style="9" customWidth="1"/>
    <col min="5380" max="5380" width="9.1796875" style="9"/>
    <col min="5381" max="5381" width="14.7265625" style="9" customWidth="1"/>
    <col min="5382" max="5382" width="10.7265625" style="9" customWidth="1"/>
    <col min="5383" max="5634" width="9.1796875" style="9"/>
    <col min="5635" max="5635" width="11.7265625" style="9" customWidth="1"/>
    <col min="5636" max="5636" width="9.1796875" style="9"/>
    <col min="5637" max="5637" width="14.7265625" style="9" customWidth="1"/>
    <col min="5638" max="5638" width="10.7265625" style="9" customWidth="1"/>
    <col min="5639" max="5890" width="9.1796875" style="9"/>
    <col min="5891" max="5891" width="11.7265625" style="9" customWidth="1"/>
    <col min="5892" max="5892" width="9.1796875" style="9"/>
    <col min="5893" max="5893" width="14.7265625" style="9" customWidth="1"/>
    <col min="5894" max="5894" width="10.7265625" style="9" customWidth="1"/>
    <col min="5895" max="6146" width="9.1796875" style="9"/>
    <col min="6147" max="6147" width="11.7265625" style="9" customWidth="1"/>
    <col min="6148" max="6148" width="9.1796875" style="9"/>
    <col min="6149" max="6149" width="14.7265625" style="9" customWidth="1"/>
    <col min="6150" max="6150" width="10.7265625" style="9" customWidth="1"/>
    <col min="6151" max="6402" width="9.1796875" style="9"/>
    <col min="6403" max="6403" width="11.7265625" style="9" customWidth="1"/>
    <col min="6404" max="6404" width="9.1796875" style="9"/>
    <col min="6405" max="6405" width="14.7265625" style="9" customWidth="1"/>
    <col min="6406" max="6406" width="10.7265625" style="9" customWidth="1"/>
    <col min="6407" max="6658" width="9.1796875" style="9"/>
    <col min="6659" max="6659" width="11.7265625" style="9" customWidth="1"/>
    <col min="6660" max="6660" width="9.1796875" style="9"/>
    <col min="6661" max="6661" width="14.7265625" style="9" customWidth="1"/>
    <col min="6662" max="6662" width="10.7265625" style="9" customWidth="1"/>
    <col min="6663" max="6914" width="9.1796875" style="9"/>
    <col min="6915" max="6915" width="11.7265625" style="9" customWidth="1"/>
    <col min="6916" max="6916" width="9.1796875" style="9"/>
    <col min="6917" max="6917" width="14.7265625" style="9" customWidth="1"/>
    <col min="6918" max="6918" width="10.7265625" style="9" customWidth="1"/>
    <col min="6919" max="7170" width="9.1796875" style="9"/>
    <col min="7171" max="7171" width="11.7265625" style="9" customWidth="1"/>
    <col min="7172" max="7172" width="9.1796875" style="9"/>
    <col min="7173" max="7173" width="14.7265625" style="9" customWidth="1"/>
    <col min="7174" max="7174" width="10.7265625" style="9" customWidth="1"/>
    <col min="7175" max="7426" width="9.1796875" style="9"/>
    <col min="7427" max="7427" width="11.7265625" style="9" customWidth="1"/>
    <col min="7428" max="7428" width="9.1796875" style="9"/>
    <col min="7429" max="7429" width="14.7265625" style="9" customWidth="1"/>
    <col min="7430" max="7430" width="10.7265625" style="9" customWidth="1"/>
    <col min="7431" max="7682" width="9.1796875" style="9"/>
    <col min="7683" max="7683" width="11.7265625" style="9" customWidth="1"/>
    <col min="7684" max="7684" width="9.1796875" style="9"/>
    <col min="7685" max="7685" width="14.7265625" style="9" customWidth="1"/>
    <col min="7686" max="7686" width="10.7265625" style="9" customWidth="1"/>
    <col min="7687" max="7938" width="9.1796875" style="9"/>
    <col min="7939" max="7939" width="11.7265625" style="9" customWidth="1"/>
    <col min="7940" max="7940" width="9.1796875" style="9"/>
    <col min="7941" max="7941" width="14.7265625" style="9" customWidth="1"/>
    <col min="7942" max="7942" width="10.7265625" style="9" customWidth="1"/>
    <col min="7943" max="8194" width="9.1796875" style="9"/>
    <col min="8195" max="8195" width="11.7265625" style="9" customWidth="1"/>
    <col min="8196" max="8196" width="9.1796875" style="9"/>
    <col min="8197" max="8197" width="14.7265625" style="9" customWidth="1"/>
    <col min="8198" max="8198" width="10.7265625" style="9" customWidth="1"/>
    <col min="8199" max="8450" width="9.1796875" style="9"/>
    <col min="8451" max="8451" width="11.7265625" style="9" customWidth="1"/>
    <col min="8452" max="8452" width="9.1796875" style="9"/>
    <col min="8453" max="8453" width="14.7265625" style="9" customWidth="1"/>
    <col min="8454" max="8454" width="10.7265625" style="9" customWidth="1"/>
    <col min="8455" max="8706" width="9.1796875" style="9"/>
    <col min="8707" max="8707" width="11.7265625" style="9" customWidth="1"/>
    <col min="8708" max="8708" width="9.1796875" style="9"/>
    <col min="8709" max="8709" width="14.7265625" style="9" customWidth="1"/>
    <col min="8710" max="8710" width="10.7265625" style="9" customWidth="1"/>
    <col min="8711" max="8962" width="9.1796875" style="9"/>
    <col min="8963" max="8963" width="11.7265625" style="9" customWidth="1"/>
    <col min="8964" max="8964" width="9.1796875" style="9"/>
    <col min="8965" max="8965" width="14.7265625" style="9" customWidth="1"/>
    <col min="8966" max="8966" width="10.7265625" style="9" customWidth="1"/>
    <col min="8967" max="9218" width="9.1796875" style="9"/>
    <col min="9219" max="9219" width="11.7265625" style="9" customWidth="1"/>
    <col min="9220" max="9220" width="9.1796875" style="9"/>
    <col min="9221" max="9221" width="14.7265625" style="9" customWidth="1"/>
    <col min="9222" max="9222" width="10.7265625" style="9" customWidth="1"/>
    <col min="9223" max="9474" width="9.1796875" style="9"/>
    <col min="9475" max="9475" width="11.7265625" style="9" customWidth="1"/>
    <col min="9476" max="9476" width="9.1796875" style="9"/>
    <col min="9477" max="9477" width="14.7265625" style="9" customWidth="1"/>
    <col min="9478" max="9478" width="10.7265625" style="9" customWidth="1"/>
    <col min="9479" max="9730" width="9.1796875" style="9"/>
    <col min="9731" max="9731" width="11.7265625" style="9" customWidth="1"/>
    <col min="9732" max="9732" width="9.1796875" style="9"/>
    <col min="9733" max="9733" width="14.7265625" style="9" customWidth="1"/>
    <col min="9734" max="9734" width="10.7265625" style="9" customWidth="1"/>
    <col min="9735" max="9986" width="9.1796875" style="9"/>
    <col min="9987" max="9987" width="11.7265625" style="9" customWidth="1"/>
    <col min="9988" max="9988" width="9.1796875" style="9"/>
    <col min="9989" max="9989" width="14.7265625" style="9" customWidth="1"/>
    <col min="9990" max="9990" width="10.7265625" style="9" customWidth="1"/>
    <col min="9991" max="10242" width="9.1796875" style="9"/>
    <col min="10243" max="10243" width="11.7265625" style="9" customWidth="1"/>
    <col min="10244" max="10244" width="9.1796875" style="9"/>
    <col min="10245" max="10245" width="14.7265625" style="9" customWidth="1"/>
    <col min="10246" max="10246" width="10.7265625" style="9" customWidth="1"/>
    <col min="10247" max="10498" width="9.1796875" style="9"/>
    <col min="10499" max="10499" width="11.7265625" style="9" customWidth="1"/>
    <col min="10500" max="10500" width="9.1796875" style="9"/>
    <col min="10501" max="10501" width="14.7265625" style="9" customWidth="1"/>
    <col min="10502" max="10502" width="10.7265625" style="9" customWidth="1"/>
    <col min="10503" max="10754" width="9.1796875" style="9"/>
    <col min="10755" max="10755" width="11.7265625" style="9" customWidth="1"/>
    <col min="10756" max="10756" width="9.1796875" style="9"/>
    <col min="10757" max="10757" width="14.7265625" style="9" customWidth="1"/>
    <col min="10758" max="10758" width="10.7265625" style="9" customWidth="1"/>
    <col min="10759" max="11010" width="9.1796875" style="9"/>
    <col min="11011" max="11011" width="11.7265625" style="9" customWidth="1"/>
    <col min="11012" max="11012" width="9.1796875" style="9"/>
    <col min="11013" max="11013" width="14.7265625" style="9" customWidth="1"/>
    <col min="11014" max="11014" width="10.7265625" style="9" customWidth="1"/>
    <col min="11015" max="11266" width="9.1796875" style="9"/>
    <col min="11267" max="11267" width="11.7265625" style="9" customWidth="1"/>
    <col min="11268" max="11268" width="9.1796875" style="9"/>
    <col min="11269" max="11269" width="14.7265625" style="9" customWidth="1"/>
    <col min="11270" max="11270" width="10.7265625" style="9" customWidth="1"/>
    <col min="11271" max="11522" width="9.1796875" style="9"/>
    <col min="11523" max="11523" width="11.7265625" style="9" customWidth="1"/>
    <col min="11524" max="11524" width="9.1796875" style="9"/>
    <col min="11525" max="11525" width="14.7265625" style="9" customWidth="1"/>
    <col min="11526" max="11526" width="10.7265625" style="9" customWidth="1"/>
    <col min="11527" max="11778" width="9.1796875" style="9"/>
    <col min="11779" max="11779" width="11.7265625" style="9" customWidth="1"/>
    <col min="11780" max="11780" width="9.1796875" style="9"/>
    <col min="11781" max="11781" width="14.7265625" style="9" customWidth="1"/>
    <col min="11782" max="11782" width="10.7265625" style="9" customWidth="1"/>
    <col min="11783" max="12034" width="9.1796875" style="9"/>
    <col min="12035" max="12035" width="11.7265625" style="9" customWidth="1"/>
    <col min="12036" max="12036" width="9.1796875" style="9"/>
    <col min="12037" max="12037" width="14.7265625" style="9" customWidth="1"/>
    <col min="12038" max="12038" width="10.7265625" style="9" customWidth="1"/>
    <col min="12039" max="12290" width="9.1796875" style="9"/>
    <col min="12291" max="12291" width="11.7265625" style="9" customWidth="1"/>
    <col min="12292" max="12292" width="9.1796875" style="9"/>
    <col min="12293" max="12293" width="14.7265625" style="9" customWidth="1"/>
    <col min="12294" max="12294" width="10.7265625" style="9" customWidth="1"/>
    <col min="12295" max="12546" width="9.1796875" style="9"/>
    <col min="12547" max="12547" width="11.7265625" style="9" customWidth="1"/>
    <col min="12548" max="12548" width="9.1796875" style="9"/>
    <col min="12549" max="12549" width="14.7265625" style="9" customWidth="1"/>
    <col min="12550" max="12550" width="10.7265625" style="9" customWidth="1"/>
    <col min="12551" max="12802" width="9.1796875" style="9"/>
    <col min="12803" max="12803" width="11.7265625" style="9" customWidth="1"/>
    <col min="12804" max="12804" width="9.1796875" style="9"/>
    <col min="12805" max="12805" width="14.7265625" style="9" customWidth="1"/>
    <col min="12806" max="12806" width="10.7265625" style="9" customWidth="1"/>
    <col min="12807" max="13058" width="9.1796875" style="9"/>
    <col min="13059" max="13059" width="11.7265625" style="9" customWidth="1"/>
    <col min="13060" max="13060" width="9.1796875" style="9"/>
    <col min="13061" max="13061" width="14.7265625" style="9" customWidth="1"/>
    <col min="13062" max="13062" width="10.7265625" style="9" customWidth="1"/>
    <col min="13063" max="13314" width="9.1796875" style="9"/>
    <col min="13315" max="13315" width="11.7265625" style="9" customWidth="1"/>
    <col min="13316" max="13316" width="9.1796875" style="9"/>
    <col min="13317" max="13317" width="14.7265625" style="9" customWidth="1"/>
    <col min="13318" max="13318" width="10.7265625" style="9" customWidth="1"/>
    <col min="13319" max="13570" width="9.1796875" style="9"/>
    <col min="13571" max="13571" width="11.7265625" style="9" customWidth="1"/>
    <col min="13572" max="13572" width="9.1796875" style="9"/>
    <col min="13573" max="13573" width="14.7265625" style="9" customWidth="1"/>
    <col min="13574" max="13574" width="10.7265625" style="9" customWidth="1"/>
    <col min="13575" max="13826" width="9.1796875" style="9"/>
    <col min="13827" max="13827" width="11.7265625" style="9" customWidth="1"/>
    <col min="13828" max="13828" width="9.1796875" style="9"/>
    <col min="13829" max="13829" width="14.7265625" style="9" customWidth="1"/>
    <col min="13830" max="13830" width="10.7265625" style="9" customWidth="1"/>
    <col min="13831" max="14082" width="9.1796875" style="9"/>
    <col min="14083" max="14083" width="11.7265625" style="9" customWidth="1"/>
    <col min="14084" max="14084" width="9.1796875" style="9"/>
    <col min="14085" max="14085" width="14.7265625" style="9" customWidth="1"/>
    <col min="14086" max="14086" width="10.7265625" style="9" customWidth="1"/>
    <col min="14087" max="14338" width="9.1796875" style="9"/>
    <col min="14339" max="14339" width="11.7265625" style="9" customWidth="1"/>
    <col min="14340" max="14340" width="9.1796875" style="9"/>
    <col min="14341" max="14341" width="14.7265625" style="9" customWidth="1"/>
    <col min="14342" max="14342" width="10.7265625" style="9" customWidth="1"/>
    <col min="14343" max="14594" width="9.1796875" style="9"/>
    <col min="14595" max="14595" width="11.7265625" style="9" customWidth="1"/>
    <col min="14596" max="14596" width="9.1796875" style="9"/>
    <col min="14597" max="14597" width="14.7265625" style="9" customWidth="1"/>
    <col min="14598" max="14598" width="10.7265625" style="9" customWidth="1"/>
    <col min="14599" max="14850" width="9.1796875" style="9"/>
    <col min="14851" max="14851" width="11.7265625" style="9" customWidth="1"/>
    <col min="14852" max="14852" width="9.1796875" style="9"/>
    <col min="14853" max="14853" width="14.7265625" style="9" customWidth="1"/>
    <col min="14854" max="14854" width="10.7265625" style="9" customWidth="1"/>
    <col min="14855" max="15106" width="9.1796875" style="9"/>
    <col min="15107" max="15107" width="11.7265625" style="9" customWidth="1"/>
    <col min="15108" max="15108" width="9.1796875" style="9"/>
    <col min="15109" max="15109" width="14.7265625" style="9" customWidth="1"/>
    <col min="15110" max="15110" width="10.7265625" style="9" customWidth="1"/>
    <col min="15111" max="15362" width="9.1796875" style="9"/>
    <col min="15363" max="15363" width="11.7265625" style="9" customWidth="1"/>
    <col min="15364" max="15364" width="9.1796875" style="9"/>
    <col min="15365" max="15365" width="14.7265625" style="9" customWidth="1"/>
    <col min="15366" max="15366" width="10.7265625" style="9" customWidth="1"/>
    <col min="15367" max="15618" width="9.1796875" style="9"/>
    <col min="15619" max="15619" width="11.7265625" style="9" customWidth="1"/>
    <col min="15620" max="15620" width="9.1796875" style="9"/>
    <col min="15621" max="15621" width="14.7265625" style="9" customWidth="1"/>
    <col min="15622" max="15622" width="10.7265625" style="9" customWidth="1"/>
    <col min="15623" max="15874" width="9.1796875" style="9"/>
    <col min="15875" max="15875" width="11.7265625" style="9" customWidth="1"/>
    <col min="15876" max="15876" width="9.1796875" style="9"/>
    <col min="15877" max="15877" width="14.7265625" style="9" customWidth="1"/>
    <col min="15878" max="15878" width="10.7265625" style="9" customWidth="1"/>
    <col min="15879" max="16130" width="9.1796875" style="9"/>
    <col min="16131" max="16131" width="11.7265625" style="9" customWidth="1"/>
    <col min="16132" max="16132" width="9.1796875" style="9"/>
    <col min="16133" max="16133" width="14.7265625" style="9" customWidth="1"/>
    <col min="16134" max="16134" width="10.7265625" style="9" customWidth="1"/>
    <col min="16135" max="16384" width="9.1796875" style="9"/>
  </cols>
  <sheetData>
    <row r="2" spans="1:13" x14ac:dyDescent="0.3">
      <c r="A2" s="10" t="s">
        <v>137</v>
      </c>
      <c r="B2" s="10" t="s">
        <v>138</v>
      </c>
      <c r="C2" s="10" t="s">
        <v>139</v>
      </c>
      <c r="D2" s="259" t="s">
        <v>140</v>
      </c>
      <c r="E2" s="259"/>
    </row>
    <row r="3" spans="1:13" x14ac:dyDescent="0.3">
      <c r="A3" s="13">
        <v>0</v>
      </c>
      <c r="B3" s="13">
        <v>0</v>
      </c>
      <c r="C3" s="13">
        <v>1</v>
      </c>
      <c r="D3" s="261">
        <v>7</v>
      </c>
      <c r="E3" s="261"/>
    </row>
    <row r="5" spans="1:13" hidden="1" x14ac:dyDescent="0.3">
      <c r="A5" s="9" t="s">
        <v>102</v>
      </c>
      <c r="B5" s="11" t="s">
        <v>155</v>
      </c>
      <c r="C5" s="11">
        <f>D3</f>
        <v>7</v>
      </c>
      <c r="D5" s="12"/>
    </row>
    <row r="6" spans="1:13" x14ac:dyDescent="0.3">
      <c r="A6" s="9" t="s">
        <v>103</v>
      </c>
      <c r="B6" s="27">
        <v>10</v>
      </c>
      <c r="C6" s="28">
        <v>10</v>
      </c>
      <c r="D6" s="16">
        <f>((100/B6)*C6)/100</f>
        <v>1</v>
      </c>
      <c r="E6" s="17"/>
      <c r="J6" s="17"/>
    </row>
    <row r="7" spans="1:13" x14ac:dyDescent="0.3">
      <c r="A7" s="9" t="s">
        <v>104</v>
      </c>
      <c r="B7" s="27">
        <f>A3+B3+C3+D3</f>
        <v>8</v>
      </c>
      <c r="C7" s="28">
        <v>0.5</v>
      </c>
      <c r="D7" s="16">
        <f t="shared" ref="D7:D12" si="0">((100/B7)*C7)/100</f>
        <v>6.25E-2</v>
      </c>
      <c r="F7" s="262" t="s">
        <v>156</v>
      </c>
      <c r="G7" s="262"/>
      <c r="H7" s="29" t="s">
        <v>157</v>
      </c>
      <c r="J7" s="25"/>
    </row>
    <row r="8" spans="1:13" x14ac:dyDescent="0.3">
      <c r="A8" s="9" t="s">
        <v>109</v>
      </c>
      <c r="B8" s="27">
        <f>C5</f>
        <v>7</v>
      </c>
      <c r="C8" s="28">
        <v>0</v>
      </c>
      <c r="D8" s="16">
        <f t="shared" si="0"/>
        <v>0</v>
      </c>
      <c r="E8" s="17"/>
      <c r="F8" s="260" t="s">
        <v>158</v>
      </c>
      <c r="G8" s="260"/>
      <c r="H8" s="27" t="s">
        <v>159</v>
      </c>
      <c r="J8" s="17"/>
    </row>
    <row r="9" spans="1:13" x14ac:dyDescent="0.3">
      <c r="A9" s="9" t="s">
        <v>111</v>
      </c>
      <c r="B9" s="27">
        <f>C5</f>
        <v>7</v>
      </c>
      <c r="C9" s="28">
        <v>0</v>
      </c>
      <c r="D9" s="16">
        <f t="shared" si="0"/>
        <v>0</v>
      </c>
      <c r="E9" s="17"/>
      <c r="F9" s="260" t="s">
        <v>160</v>
      </c>
      <c r="G9" s="260"/>
      <c r="H9" s="27" t="s">
        <v>161</v>
      </c>
      <c r="J9" s="17"/>
    </row>
    <row r="10" spans="1:13" x14ac:dyDescent="0.3">
      <c r="A10" s="9" t="s">
        <v>72</v>
      </c>
      <c r="B10" s="27">
        <f>C5</f>
        <v>7</v>
      </c>
      <c r="C10" s="28">
        <v>0</v>
      </c>
      <c r="D10" s="16">
        <f t="shared" si="0"/>
        <v>0</v>
      </c>
      <c r="E10" s="17"/>
      <c r="F10" s="260" t="s">
        <v>162</v>
      </c>
      <c r="G10" s="260"/>
      <c r="H10" s="27" t="s">
        <v>163</v>
      </c>
      <c r="J10" s="17"/>
    </row>
    <row r="11" spans="1:13" x14ac:dyDescent="0.3">
      <c r="A11" s="19" t="s">
        <v>107</v>
      </c>
      <c r="B11" s="27">
        <f>C5</f>
        <v>7</v>
      </c>
      <c r="C11" s="28">
        <v>0</v>
      </c>
      <c r="D11" s="16">
        <f t="shared" si="0"/>
        <v>0</v>
      </c>
      <c r="E11" s="17"/>
      <c r="F11" s="260" t="s">
        <v>164</v>
      </c>
      <c r="G11" s="260"/>
      <c r="H11" s="27" t="s">
        <v>165</v>
      </c>
    </row>
    <row r="12" spans="1:13" x14ac:dyDescent="0.3">
      <c r="A12" s="9" t="s">
        <v>74</v>
      </c>
      <c r="B12" s="27">
        <f>C5</f>
        <v>7</v>
      </c>
      <c r="C12" s="28">
        <v>0</v>
      </c>
      <c r="D12" s="16">
        <f t="shared" si="0"/>
        <v>0</v>
      </c>
      <c r="E12" s="17"/>
      <c r="F12" s="260" t="s">
        <v>166</v>
      </c>
      <c r="G12" s="260"/>
      <c r="H12" s="27" t="s">
        <v>167</v>
      </c>
    </row>
    <row r="13" spans="1:13" x14ac:dyDescent="0.3">
      <c r="F13" s="260" t="s">
        <v>168</v>
      </c>
      <c r="G13" s="260"/>
      <c r="H13" s="27" t="s">
        <v>169</v>
      </c>
    </row>
    <row r="14" spans="1:13" hidden="1" x14ac:dyDescent="0.3">
      <c r="A14" s="10"/>
      <c r="B14" s="10" t="s">
        <v>108</v>
      </c>
      <c r="C14" s="10" t="s">
        <v>112</v>
      </c>
      <c r="G14" s="10" t="s">
        <v>103</v>
      </c>
      <c r="H14" s="10" t="s">
        <v>105</v>
      </c>
      <c r="I14" s="10" t="s">
        <v>106</v>
      </c>
      <c r="J14" s="10" t="s">
        <v>71</v>
      </c>
      <c r="K14" s="10" t="s">
        <v>72</v>
      </c>
      <c r="L14" s="10" t="s">
        <v>107</v>
      </c>
      <c r="M14" s="10" t="s">
        <v>74</v>
      </c>
    </row>
    <row r="15" spans="1:13" hidden="1" x14ac:dyDescent="0.3">
      <c r="A15" s="10" t="s">
        <v>68</v>
      </c>
      <c r="B15" s="10">
        <f>G15</f>
        <v>10</v>
      </c>
      <c r="C15" s="10">
        <f>G16</f>
        <v>30</v>
      </c>
      <c r="E15" s="259" t="s">
        <v>108</v>
      </c>
      <c r="F15" s="259"/>
      <c r="G15" s="20">
        <f>C6</f>
        <v>10</v>
      </c>
      <c r="H15" s="20">
        <f>40/B7*C7</f>
        <v>2.5</v>
      </c>
      <c r="I15" s="20">
        <f>15/B8*C8</f>
        <v>0</v>
      </c>
      <c r="J15" s="20">
        <f>10/B9*C9</f>
        <v>0</v>
      </c>
      <c r="K15" s="20">
        <f>10/B10*C10</f>
        <v>0</v>
      </c>
      <c r="L15" s="20">
        <f>5/B11*C11</f>
        <v>0</v>
      </c>
      <c r="M15" s="20">
        <f>5/B12*C12</f>
        <v>0</v>
      </c>
    </row>
    <row r="16" spans="1:13" hidden="1" x14ac:dyDescent="0.3">
      <c r="A16" s="10" t="s">
        <v>69</v>
      </c>
      <c r="B16" s="10">
        <f>H15</f>
        <v>2.5</v>
      </c>
      <c r="C16" s="10">
        <f>H16</f>
        <v>1.875</v>
      </c>
      <c r="E16" s="259" t="s">
        <v>110</v>
      </c>
      <c r="F16" s="259"/>
      <c r="G16" s="10">
        <f>G15+20</f>
        <v>30</v>
      </c>
      <c r="H16" s="10">
        <f>30/B7*C7</f>
        <v>1.875</v>
      </c>
      <c r="I16" s="10">
        <f>15/B8*C8</f>
        <v>0</v>
      </c>
      <c r="J16" s="10">
        <f>10/B9*C9</f>
        <v>0</v>
      </c>
      <c r="K16" s="10">
        <f>5/B10*C10</f>
        <v>0</v>
      </c>
      <c r="L16" s="10">
        <f>5/B11*C11</f>
        <v>0</v>
      </c>
      <c r="M16" s="10">
        <f>5/B12*C12</f>
        <v>0</v>
      </c>
    </row>
    <row r="17" spans="1:13" hidden="1" x14ac:dyDescent="0.3">
      <c r="A17" s="10" t="s">
        <v>106</v>
      </c>
      <c r="B17" s="10">
        <f>I15</f>
        <v>0</v>
      </c>
      <c r="C17" s="10">
        <f>I16</f>
        <v>0</v>
      </c>
      <c r="M17" s="17"/>
    </row>
    <row r="18" spans="1:13" hidden="1" x14ac:dyDescent="0.3">
      <c r="A18" s="10" t="s">
        <v>71</v>
      </c>
      <c r="B18" s="10">
        <f>J15</f>
        <v>0</v>
      </c>
      <c r="C18" s="10">
        <f>J16</f>
        <v>0</v>
      </c>
      <c r="M18" s="17"/>
    </row>
    <row r="19" spans="1:13" hidden="1" x14ac:dyDescent="0.3">
      <c r="A19" s="10" t="s">
        <v>72</v>
      </c>
      <c r="B19" s="10">
        <f>K15</f>
        <v>0</v>
      </c>
      <c r="C19" s="10">
        <f>K16</f>
        <v>0</v>
      </c>
      <c r="M19" s="17"/>
    </row>
    <row r="20" spans="1:13" hidden="1" x14ac:dyDescent="0.3">
      <c r="A20" s="21" t="s">
        <v>107</v>
      </c>
      <c r="B20" s="10">
        <f>L15</f>
        <v>0</v>
      </c>
      <c r="C20" s="10">
        <f>L16</f>
        <v>0</v>
      </c>
      <c r="M20" s="17"/>
    </row>
    <row r="21" spans="1:13" hidden="1" x14ac:dyDescent="0.3">
      <c r="A21" s="10" t="s">
        <v>74</v>
      </c>
      <c r="B21" s="10">
        <f>M15</f>
        <v>0</v>
      </c>
      <c r="C21" s="10">
        <f>M16</f>
        <v>0</v>
      </c>
      <c r="M21" s="17"/>
    </row>
    <row r="22" spans="1:13" x14ac:dyDescent="0.3">
      <c r="A22" s="10" t="s">
        <v>113</v>
      </c>
      <c r="B22" s="22">
        <f>(B15+B16+B17+B18+B19+B20+B21)/100</f>
        <v>0.125</v>
      </c>
      <c r="C22" s="22">
        <f>(C15+C16+C17+C18+C19+C20+C21)/100</f>
        <v>0.31874999999999998</v>
      </c>
      <c r="F22" s="260" t="s">
        <v>170</v>
      </c>
      <c r="G22" s="260"/>
      <c r="H22" s="27" t="s">
        <v>161</v>
      </c>
      <c r="M22" s="17"/>
    </row>
    <row r="23" spans="1:13" x14ac:dyDescent="0.3">
      <c r="F23" s="260" t="s">
        <v>171</v>
      </c>
      <c r="G23" s="260"/>
      <c r="H23" s="27" t="s">
        <v>172</v>
      </c>
    </row>
    <row r="24" spans="1:13" x14ac:dyDescent="0.3">
      <c r="A24" s="23" t="s">
        <v>145</v>
      </c>
      <c r="B24" s="24">
        <v>0.01</v>
      </c>
      <c r="C24" s="24">
        <v>0.02</v>
      </c>
      <c r="F24" s="260" t="s">
        <v>173</v>
      </c>
      <c r="G24" s="260"/>
      <c r="H24" s="27" t="s">
        <v>174</v>
      </c>
    </row>
    <row r="25" spans="1:13" x14ac:dyDescent="0.3">
      <c r="A25" s="23" t="s">
        <v>146</v>
      </c>
      <c r="B25" s="24">
        <v>0.01</v>
      </c>
      <c r="C25" s="24">
        <v>0.03</v>
      </c>
    </row>
    <row r="26" spans="1:13" x14ac:dyDescent="0.3">
      <c r="A26" s="23" t="s">
        <v>147</v>
      </c>
      <c r="B26" s="24">
        <v>0.03</v>
      </c>
      <c r="C26" s="24">
        <v>0.08</v>
      </c>
    </row>
    <row r="27" spans="1:13" x14ac:dyDescent="0.3">
      <c r="A27" s="23" t="s">
        <v>148</v>
      </c>
      <c r="B27" s="24">
        <v>0.05</v>
      </c>
      <c r="C27" s="24">
        <v>0.15</v>
      </c>
    </row>
    <row r="28" spans="1:13" x14ac:dyDescent="0.3">
      <c r="A28" s="23" t="s">
        <v>149</v>
      </c>
      <c r="B28" s="24">
        <v>7.0000000000000007E-2</v>
      </c>
      <c r="C28" s="24">
        <v>0.2</v>
      </c>
    </row>
    <row r="29" spans="1:13" x14ac:dyDescent="0.3">
      <c r="A29" s="23" t="s">
        <v>150</v>
      </c>
      <c r="B29" s="24">
        <v>0.1</v>
      </c>
      <c r="C29" s="24">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election activeCell="C7" sqref="C7"/>
    </sheetView>
  </sheetViews>
  <sheetFormatPr defaultColWidth="9.1796875" defaultRowHeight="14" x14ac:dyDescent="0.3"/>
  <cols>
    <col min="1" max="1" width="10.1796875" style="9" customWidth="1"/>
    <col min="2" max="2" width="14" style="9" customWidth="1"/>
    <col min="3" max="16384" width="9.1796875" style="9"/>
  </cols>
  <sheetData>
    <row r="1" spans="1:3" x14ac:dyDescent="0.3">
      <c r="A1" s="26" t="s">
        <v>179</v>
      </c>
      <c r="B1" s="26" t="s">
        <v>181</v>
      </c>
      <c r="C1" s="26" t="s">
        <v>88</v>
      </c>
    </row>
    <row r="2" spans="1:3" x14ac:dyDescent="0.3">
      <c r="A2" s="9" t="s">
        <v>182</v>
      </c>
      <c r="C2" s="9" t="s">
        <v>197</v>
      </c>
    </row>
    <row r="3" spans="1:3" x14ac:dyDescent="0.3">
      <c r="C3" s="9" t="s">
        <v>198</v>
      </c>
    </row>
    <row r="4" spans="1:3" x14ac:dyDescent="0.3">
      <c r="C4" s="9" t="s">
        <v>206</v>
      </c>
    </row>
    <row r="7" spans="1:3" x14ac:dyDescent="0.3">
      <c r="A7" s="30">
        <v>44193</v>
      </c>
      <c r="B7" s="9" t="s">
        <v>209</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topLeftCell="A13" workbookViewId="0">
      <selection activeCell="D29" sqref="D29"/>
    </sheetView>
  </sheetViews>
  <sheetFormatPr defaultRowHeight="14.5" x14ac:dyDescent="0.35"/>
  <cols>
    <col min="2" max="2" width="12.26953125" customWidth="1"/>
  </cols>
  <sheetData>
    <row r="2" spans="1:12" x14ac:dyDescent="0.35">
      <c r="B2" s="3" t="s">
        <v>114</v>
      </c>
      <c r="C2" s="263"/>
      <c r="D2" s="263"/>
    </row>
    <row r="3" spans="1:12" x14ac:dyDescent="0.35">
      <c r="D3" s="4"/>
      <c r="E3" s="4"/>
      <c r="F3" s="4"/>
      <c r="G3" s="4"/>
      <c r="H3" s="4"/>
      <c r="I3" s="4"/>
    </row>
    <row r="4" spans="1:12" x14ac:dyDescent="0.35">
      <c r="A4" s="3" t="s">
        <v>115</v>
      </c>
      <c r="B4" s="5" t="s">
        <v>116</v>
      </c>
      <c r="C4" s="264" t="s">
        <v>117</v>
      </c>
      <c r="D4" s="264"/>
      <c r="E4" s="264"/>
      <c r="F4" s="6"/>
      <c r="G4" s="264" t="s">
        <v>118</v>
      </c>
      <c r="H4" s="264"/>
      <c r="I4" s="264"/>
      <c r="J4" s="264" t="s">
        <v>119</v>
      </c>
      <c r="K4" s="264"/>
      <c r="L4" s="264"/>
    </row>
    <row r="5" spans="1:12" x14ac:dyDescent="0.35">
      <c r="A5" s="3">
        <v>1</v>
      </c>
      <c r="B5" s="5"/>
      <c r="C5" s="5" t="s">
        <v>120</v>
      </c>
      <c r="D5" s="5" t="s">
        <v>121</v>
      </c>
      <c r="E5" s="5" t="s">
        <v>84</v>
      </c>
      <c r="F5" s="5"/>
      <c r="G5" s="5" t="s">
        <v>120</v>
      </c>
      <c r="H5" s="5" t="s">
        <v>121</v>
      </c>
      <c r="I5" s="5" t="s">
        <v>84</v>
      </c>
      <c r="J5" s="5" t="s">
        <v>120</v>
      </c>
      <c r="K5" s="5" t="s">
        <v>121</v>
      </c>
      <c r="L5" s="5" t="s">
        <v>84</v>
      </c>
    </row>
    <row r="6" spans="1:12" x14ac:dyDescent="0.35">
      <c r="B6" s="7" t="s">
        <v>122</v>
      </c>
      <c r="C6" s="7">
        <v>3.95</v>
      </c>
      <c r="D6" s="7">
        <v>2.75</v>
      </c>
      <c r="E6" s="7">
        <f>C6*D6</f>
        <v>10.862500000000001</v>
      </c>
      <c r="F6" s="7" t="s">
        <v>123</v>
      </c>
      <c r="G6" s="7"/>
      <c r="H6" s="7"/>
      <c r="I6" s="7">
        <f>G6*H6</f>
        <v>0</v>
      </c>
      <c r="J6" s="7"/>
      <c r="K6" s="7"/>
      <c r="L6" s="7">
        <f>J6*K6</f>
        <v>0</v>
      </c>
    </row>
    <row r="7" spans="1:12" x14ac:dyDescent="0.35">
      <c r="B7" s="7"/>
      <c r="C7" s="7"/>
      <c r="D7" s="7"/>
      <c r="E7" s="7">
        <f t="shared" ref="E7:E33" si="0">C7*D7</f>
        <v>0</v>
      </c>
      <c r="F7" s="7" t="s">
        <v>124</v>
      </c>
      <c r="G7" s="7"/>
      <c r="H7" s="7"/>
      <c r="I7" s="7">
        <f t="shared" ref="I7:I29" si="1">G7*H7</f>
        <v>0</v>
      </c>
      <c r="J7" s="7"/>
      <c r="K7" s="7"/>
      <c r="L7" s="7">
        <f t="shared" ref="L7:L29" si="2">J7*K7</f>
        <v>0</v>
      </c>
    </row>
    <row r="8" spans="1:12" x14ac:dyDescent="0.35">
      <c r="B8" s="7"/>
      <c r="C8" s="7"/>
      <c r="D8" s="7"/>
      <c r="E8" s="7">
        <f t="shared" si="0"/>
        <v>0</v>
      </c>
      <c r="F8" s="7"/>
      <c r="G8" s="7"/>
      <c r="H8" s="7"/>
      <c r="I8" s="7">
        <f t="shared" si="1"/>
        <v>0</v>
      </c>
      <c r="J8" s="7"/>
      <c r="K8" s="7"/>
      <c r="L8" s="7">
        <f t="shared" si="2"/>
        <v>0</v>
      </c>
    </row>
    <row r="9" spans="1:12" x14ac:dyDescent="0.35">
      <c r="B9" s="7" t="s">
        <v>125</v>
      </c>
      <c r="C9" s="7">
        <v>1.5</v>
      </c>
      <c r="D9" s="7">
        <v>2.2000000000000002</v>
      </c>
      <c r="E9" s="7">
        <f t="shared" si="0"/>
        <v>3.3000000000000003</v>
      </c>
      <c r="F9" s="7" t="s">
        <v>123</v>
      </c>
      <c r="G9" s="7"/>
      <c r="H9" s="7"/>
      <c r="I9" s="7">
        <f t="shared" si="1"/>
        <v>0</v>
      </c>
      <c r="J9" s="7"/>
      <c r="K9" s="7"/>
      <c r="L9" s="7">
        <f t="shared" si="2"/>
        <v>0</v>
      </c>
    </row>
    <row r="10" spans="1:12" x14ac:dyDescent="0.35">
      <c r="B10" s="7"/>
      <c r="C10" s="7"/>
      <c r="D10" s="7"/>
      <c r="E10" s="7">
        <f t="shared" si="0"/>
        <v>0</v>
      </c>
      <c r="F10" s="7" t="s">
        <v>124</v>
      </c>
      <c r="G10" s="7"/>
      <c r="H10" s="7"/>
      <c r="I10" s="7">
        <f t="shared" si="1"/>
        <v>0</v>
      </c>
      <c r="J10" s="7"/>
      <c r="K10" s="7"/>
      <c r="L10" s="7">
        <f t="shared" si="2"/>
        <v>0</v>
      </c>
    </row>
    <row r="11" spans="1:12" x14ac:dyDescent="0.35">
      <c r="B11" s="7"/>
      <c r="C11" s="7"/>
      <c r="D11" s="7"/>
      <c r="E11" s="7">
        <f t="shared" si="0"/>
        <v>0</v>
      </c>
      <c r="F11" s="7"/>
      <c r="G11" s="7"/>
      <c r="H11" s="7"/>
      <c r="I11" s="7">
        <f t="shared" si="1"/>
        <v>0</v>
      </c>
      <c r="J11" s="7"/>
      <c r="K11" s="7"/>
      <c r="L11" s="7">
        <f t="shared" si="2"/>
        <v>0</v>
      </c>
    </row>
    <row r="12" spans="1:12" x14ac:dyDescent="0.35">
      <c r="B12" s="7"/>
      <c r="C12" s="7"/>
      <c r="D12" s="7"/>
      <c r="E12" s="7">
        <f t="shared" si="0"/>
        <v>0</v>
      </c>
      <c r="F12" s="7"/>
      <c r="G12" s="7"/>
      <c r="H12" s="7"/>
      <c r="I12" s="7">
        <f t="shared" si="1"/>
        <v>0</v>
      </c>
      <c r="J12" s="7"/>
      <c r="K12" s="7"/>
      <c r="L12" s="7">
        <f t="shared" si="2"/>
        <v>0</v>
      </c>
    </row>
    <row r="13" spans="1:12" x14ac:dyDescent="0.35">
      <c r="B13" s="7" t="s">
        <v>126</v>
      </c>
      <c r="C13" s="7">
        <v>2.75</v>
      </c>
      <c r="D13" s="7">
        <v>2.4</v>
      </c>
      <c r="E13" s="7">
        <f t="shared" si="0"/>
        <v>6.6</v>
      </c>
      <c r="F13" s="7" t="s">
        <v>123</v>
      </c>
      <c r="G13" s="7"/>
      <c r="H13" s="7"/>
      <c r="I13" s="7">
        <f t="shared" si="1"/>
        <v>0</v>
      </c>
      <c r="J13" s="7"/>
      <c r="K13" s="7"/>
      <c r="L13" s="7">
        <f t="shared" si="2"/>
        <v>0</v>
      </c>
    </row>
    <row r="14" spans="1:12" x14ac:dyDescent="0.35">
      <c r="B14" s="7"/>
      <c r="C14" s="7"/>
      <c r="D14" s="7"/>
      <c r="E14" s="7">
        <f t="shared" si="0"/>
        <v>0</v>
      </c>
      <c r="F14" s="7" t="s">
        <v>124</v>
      </c>
      <c r="G14" s="7"/>
      <c r="H14" s="7"/>
      <c r="I14" s="7">
        <f t="shared" si="1"/>
        <v>0</v>
      </c>
      <c r="J14" s="7"/>
      <c r="K14" s="7"/>
      <c r="L14" s="7">
        <f t="shared" si="2"/>
        <v>0</v>
      </c>
    </row>
    <row r="15" spans="1:12" x14ac:dyDescent="0.35">
      <c r="B15" s="7"/>
      <c r="C15" s="7"/>
      <c r="D15" s="7"/>
      <c r="E15" s="7">
        <f t="shared" si="0"/>
        <v>0</v>
      </c>
      <c r="F15" s="7"/>
      <c r="G15" s="7"/>
      <c r="H15" s="7"/>
      <c r="I15" s="7">
        <f t="shared" si="1"/>
        <v>0</v>
      </c>
      <c r="J15" s="7"/>
      <c r="K15" s="7"/>
      <c r="L15" s="7">
        <f t="shared" si="2"/>
        <v>0</v>
      </c>
    </row>
    <row r="16" spans="1:12" x14ac:dyDescent="0.35">
      <c r="B16" s="7"/>
      <c r="C16" s="7"/>
      <c r="D16" s="7"/>
      <c r="E16" s="7">
        <f t="shared" si="0"/>
        <v>0</v>
      </c>
      <c r="F16" s="7"/>
      <c r="G16" s="7"/>
      <c r="H16" s="7"/>
      <c r="I16" s="7">
        <f t="shared" si="1"/>
        <v>0</v>
      </c>
      <c r="J16" s="7"/>
      <c r="K16" s="7"/>
      <c r="L16" s="7">
        <f t="shared" si="2"/>
        <v>0</v>
      </c>
    </row>
    <row r="17" spans="2:12" x14ac:dyDescent="0.35">
      <c r="B17" s="7" t="s">
        <v>127</v>
      </c>
      <c r="C17" s="7"/>
      <c r="D17" s="7"/>
      <c r="E17" s="7">
        <f t="shared" si="0"/>
        <v>0</v>
      </c>
      <c r="F17" s="7" t="s">
        <v>123</v>
      </c>
      <c r="G17" s="7"/>
      <c r="H17" s="7"/>
      <c r="I17" s="7">
        <f t="shared" si="1"/>
        <v>0</v>
      </c>
      <c r="J17" s="7"/>
      <c r="K17" s="7"/>
      <c r="L17" s="7">
        <f t="shared" si="2"/>
        <v>0</v>
      </c>
    </row>
    <row r="18" spans="2:12" x14ac:dyDescent="0.35">
      <c r="B18" s="7"/>
      <c r="C18" s="7"/>
      <c r="D18" s="7"/>
      <c r="E18" s="7">
        <f t="shared" si="0"/>
        <v>0</v>
      </c>
      <c r="F18" s="7" t="s">
        <v>124</v>
      </c>
      <c r="G18" s="7"/>
      <c r="H18" s="7"/>
      <c r="I18" s="7">
        <f t="shared" si="1"/>
        <v>0</v>
      </c>
      <c r="J18" s="7"/>
      <c r="K18" s="7"/>
      <c r="L18" s="7">
        <f t="shared" si="2"/>
        <v>0</v>
      </c>
    </row>
    <row r="19" spans="2:12" x14ac:dyDescent="0.35">
      <c r="B19" s="7"/>
      <c r="C19" s="7"/>
      <c r="D19" s="7"/>
      <c r="E19" s="7">
        <f t="shared" si="0"/>
        <v>0</v>
      </c>
      <c r="F19" s="7"/>
      <c r="G19" s="7"/>
      <c r="H19" s="7"/>
      <c r="I19" s="7">
        <f t="shared" si="1"/>
        <v>0</v>
      </c>
      <c r="J19" s="7"/>
      <c r="K19" s="7"/>
      <c r="L19" s="7">
        <f t="shared" si="2"/>
        <v>0</v>
      </c>
    </row>
    <row r="20" spans="2:12" x14ac:dyDescent="0.35">
      <c r="B20" s="7" t="s">
        <v>127</v>
      </c>
      <c r="C20" s="7"/>
      <c r="D20" s="7"/>
      <c r="E20" s="7">
        <f t="shared" si="0"/>
        <v>0</v>
      </c>
      <c r="F20" s="7" t="s">
        <v>123</v>
      </c>
      <c r="G20" s="7"/>
      <c r="H20" s="7"/>
      <c r="I20" s="7">
        <f t="shared" si="1"/>
        <v>0</v>
      </c>
      <c r="J20" s="7"/>
      <c r="K20" s="7"/>
      <c r="L20" s="7">
        <f t="shared" si="2"/>
        <v>0</v>
      </c>
    </row>
    <row r="21" spans="2:12" x14ac:dyDescent="0.35">
      <c r="B21" s="7"/>
      <c r="C21" s="7"/>
      <c r="D21" s="7"/>
      <c r="E21" s="7">
        <f t="shared" si="0"/>
        <v>0</v>
      </c>
      <c r="F21" s="7" t="s">
        <v>124</v>
      </c>
      <c r="G21" s="7"/>
      <c r="H21" s="7"/>
      <c r="I21" s="7">
        <f t="shared" si="1"/>
        <v>0</v>
      </c>
      <c r="J21" s="7"/>
      <c r="K21" s="7"/>
      <c r="L21" s="7">
        <f t="shared" si="2"/>
        <v>0</v>
      </c>
    </row>
    <row r="22" spans="2:12" x14ac:dyDescent="0.35">
      <c r="B22" s="7"/>
      <c r="C22" s="7"/>
      <c r="D22" s="7"/>
      <c r="E22" s="7">
        <f t="shared" si="0"/>
        <v>0</v>
      </c>
      <c r="F22" s="7"/>
      <c r="G22" s="7"/>
      <c r="H22" s="7"/>
      <c r="I22" s="7">
        <f t="shared" si="1"/>
        <v>0</v>
      </c>
      <c r="J22" s="7"/>
      <c r="K22" s="7"/>
      <c r="L22" s="7">
        <f t="shared" si="2"/>
        <v>0</v>
      </c>
    </row>
    <row r="23" spans="2:12" x14ac:dyDescent="0.35">
      <c r="B23" s="7" t="s">
        <v>128</v>
      </c>
      <c r="C23" s="7">
        <v>1.25</v>
      </c>
      <c r="D23" s="7">
        <v>0.9</v>
      </c>
      <c r="E23" s="7">
        <f t="shared" si="0"/>
        <v>1.125</v>
      </c>
      <c r="F23" s="7" t="s">
        <v>129</v>
      </c>
      <c r="G23" s="7"/>
      <c r="H23" s="7"/>
      <c r="I23" s="7">
        <f t="shared" si="1"/>
        <v>0</v>
      </c>
      <c r="J23" s="7"/>
      <c r="K23" s="7"/>
      <c r="L23" s="7">
        <f t="shared" si="2"/>
        <v>0</v>
      </c>
    </row>
    <row r="24" spans="2:12" x14ac:dyDescent="0.35">
      <c r="B24" s="7" t="s">
        <v>130</v>
      </c>
      <c r="C24" s="7">
        <v>1.9</v>
      </c>
      <c r="D24" s="7">
        <v>1.2</v>
      </c>
      <c r="E24" s="7">
        <f t="shared" si="0"/>
        <v>2.2799999999999998</v>
      </c>
      <c r="F24" s="7" t="s">
        <v>129</v>
      </c>
      <c r="G24" s="7"/>
      <c r="H24" s="7"/>
      <c r="I24" s="7">
        <f t="shared" si="1"/>
        <v>0</v>
      </c>
      <c r="J24" s="7"/>
      <c r="K24" s="7"/>
      <c r="L24" s="7">
        <f t="shared" si="2"/>
        <v>0</v>
      </c>
    </row>
    <row r="25" spans="2:12" x14ac:dyDescent="0.35">
      <c r="B25" s="7" t="s">
        <v>131</v>
      </c>
      <c r="C25" s="7"/>
      <c r="D25" s="7"/>
      <c r="E25" s="7">
        <f t="shared" si="0"/>
        <v>0</v>
      </c>
      <c r="F25" s="7" t="s">
        <v>129</v>
      </c>
      <c r="G25" s="7"/>
      <c r="H25" s="7"/>
      <c r="I25" s="7">
        <f t="shared" si="1"/>
        <v>0</v>
      </c>
      <c r="J25" s="7"/>
      <c r="K25" s="7"/>
      <c r="L25" s="7">
        <f t="shared" si="2"/>
        <v>0</v>
      </c>
    </row>
    <row r="26" spans="2:12" x14ac:dyDescent="0.35">
      <c r="B26" s="7"/>
      <c r="C26" s="7"/>
      <c r="D26" s="7"/>
      <c r="E26" s="7">
        <f t="shared" si="0"/>
        <v>0</v>
      </c>
      <c r="F26" s="7"/>
      <c r="G26" s="7"/>
      <c r="H26" s="7"/>
      <c r="I26" s="7">
        <f t="shared" si="1"/>
        <v>0</v>
      </c>
      <c r="J26" s="7"/>
      <c r="K26" s="7"/>
      <c r="L26" s="7">
        <f t="shared" si="2"/>
        <v>0</v>
      </c>
    </row>
    <row r="27" spans="2:12" x14ac:dyDescent="0.35">
      <c r="B27" s="7" t="s">
        <v>132</v>
      </c>
      <c r="C27" s="7">
        <v>0.9</v>
      </c>
      <c r="D27" s="7">
        <v>2.2000000000000002</v>
      </c>
      <c r="E27" s="7">
        <f t="shared" si="0"/>
        <v>1.9800000000000002</v>
      </c>
      <c r="F27" s="7"/>
      <c r="G27" s="7"/>
      <c r="H27" s="7"/>
      <c r="I27" s="7">
        <f t="shared" si="1"/>
        <v>0</v>
      </c>
      <c r="J27" s="7"/>
      <c r="K27" s="7"/>
      <c r="L27" s="7">
        <f t="shared" si="2"/>
        <v>0</v>
      </c>
    </row>
    <row r="28" spans="2:12" x14ac:dyDescent="0.35">
      <c r="B28" s="7" t="s">
        <v>133</v>
      </c>
      <c r="C28" s="7">
        <v>0.3</v>
      </c>
      <c r="D28" s="7">
        <v>1.2</v>
      </c>
      <c r="E28" s="7">
        <f t="shared" si="0"/>
        <v>0.36</v>
      </c>
      <c r="F28" s="7"/>
      <c r="G28" s="7"/>
      <c r="H28" s="7"/>
      <c r="I28" s="7">
        <f t="shared" si="1"/>
        <v>0</v>
      </c>
      <c r="J28" s="7"/>
      <c r="K28" s="7"/>
      <c r="L28" s="7">
        <f t="shared" si="2"/>
        <v>0</v>
      </c>
    </row>
    <row r="29" spans="2:12" x14ac:dyDescent="0.35">
      <c r="B29" s="7" t="s">
        <v>134</v>
      </c>
      <c r="C29" s="7"/>
      <c r="D29" s="7"/>
      <c r="E29" s="7">
        <f t="shared" si="0"/>
        <v>0</v>
      </c>
      <c r="F29" s="7"/>
      <c r="G29" s="7"/>
      <c r="H29" s="7"/>
      <c r="I29" s="7">
        <f t="shared" si="1"/>
        <v>0</v>
      </c>
      <c r="J29" s="7"/>
      <c r="K29" s="7"/>
      <c r="L29" s="7">
        <f t="shared" si="2"/>
        <v>0</v>
      </c>
    </row>
    <row r="30" spans="2:12" x14ac:dyDescent="0.35">
      <c r="B30" s="7" t="s">
        <v>135</v>
      </c>
      <c r="C30" s="7"/>
      <c r="D30" s="7"/>
      <c r="E30" s="7">
        <f t="shared" si="0"/>
        <v>0</v>
      </c>
      <c r="F30" s="7"/>
      <c r="G30" s="7"/>
      <c r="H30" s="7"/>
      <c r="I30" s="7">
        <f>G30*H30</f>
        <v>0</v>
      </c>
      <c r="J30" s="7"/>
      <c r="K30" s="7"/>
      <c r="L30" s="7">
        <f>J30*K30</f>
        <v>0</v>
      </c>
    </row>
    <row r="31" spans="2:12" x14ac:dyDescent="0.35">
      <c r="B31" s="7"/>
      <c r="C31" s="7"/>
      <c r="D31" s="7"/>
      <c r="E31" s="7">
        <f t="shared" si="0"/>
        <v>0</v>
      </c>
      <c r="F31" s="7"/>
      <c r="G31" s="7"/>
      <c r="H31" s="7"/>
      <c r="I31" s="7">
        <f>G31*H31</f>
        <v>0</v>
      </c>
      <c r="J31" s="7"/>
      <c r="K31" s="7"/>
      <c r="L31" s="7">
        <f>J31*K31</f>
        <v>0</v>
      </c>
    </row>
    <row r="32" spans="2:12" x14ac:dyDescent="0.35">
      <c r="B32" s="7"/>
      <c r="C32" s="7"/>
      <c r="D32" s="7"/>
      <c r="E32" s="7">
        <f t="shared" si="0"/>
        <v>0</v>
      </c>
      <c r="F32" s="7"/>
      <c r="G32" s="7"/>
      <c r="H32" s="7"/>
      <c r="I32" s="7">
        <f>G32*H32</f>
        <v>0</v>
      </c>
      <c r="J32" s="7"/>
      <c r="K32" s="7"/>
      <c r="L32" s="7">
        <f>J32*K32</f>
        <v>0</v>
      </c>
    </row>
    <row r="33" spans="2:12" x14ac:dyDescent="0.35">
      <c r="B33" s="7"/>
      <c r="C33" s="7"/>
      <c r="D33" s="7"/>
      <c r="E33" s="7">
        <f t="shared" si="0"/>
        <v>0</v>
      </c>
      <c r="F33" s="7"/>
      <c r="G33" s="7"/>
      <c r="H33" s="7"/>
      <c r="I33" s="7">
        <f>G33*H33</f>
        <v>0</v>
      </c>
      <c r="J33" s="7"/>
      <c r="K33" s="7"/>
      <c r="L33" s="7">
        <f>J33*K33</f>
        <v>0</v>
      </c>
    </row>
    <row r="34" spans="2:12" x14ac:dyDescent="0.35">
      <c r="B34" s="7" t="s">
        <v>85</v>
      </c>
      <c r="C34" s="7"/>
      <c r="D34" s="7">
        <f>E34*10.764</f>
        <v>285.32673</v>
      </c>
      <c r="E34" s="7">
        <f>SUM(E6:E33)</f>
        <v>26.507500000000004</v>
      </c>
      <c r="F34" s="7"/>
      <c r="G34" s="7"/>
      <c r="H34" s="7">
        <f>I34*10.764</f>
        <v>0</v>
      </c>
      <c r="I34" s="7">
        <f>SUM(I6:I33)</f>
        <v>0</v>
      </c>
      <c r="J34" s="7"/>
      <c r="K34" s="7">
        <f>L34*10.764</f>
        <v>0</v>
      </c>
      <c r="L34" s="7">
        <f>SUM(L6:L33)</f>
        <v>0</v>
      </c>
    </row>
    <row r="36" spans="2:12" x14ac:dyDescent="0.35">
      <c r="D36">
        <f>D34+H34</f>
        <v>285.32673</v>
      </c>
      <c r="E36">
        <f>E34+I34</f>
        <v>26.507500000000004</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Report (2)</vt:lpstr>
      <vt:lpstr>VALUATION</vt:lpstr>
      <vt:lpstr>1%</vt:lpstr>
      <vt:lpstr>2(A&amp;B)% (2)</vt:lpstr>
      <vt:lpstr>Note</vt:lpstr>
      <vt:lpstr>Flat detail</vt:lpstr>
      <vt:lpstr>'Report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2025-08-05T10:07:42Z</cp:lastPrinted>
  <dcterms:created xsi:type="dcterms:W3CDTF">2019-07-16T09:29:46Z</dcterms:created>
  <dcterms:modified xsi:type="dcterms:W3CDTF">2025-08-05T10:08:51Z</dcterms:modified>
</cp:coreProperties>
</file>