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August 2025\AXIS\UPDATE\"/>
    </mc:Choice>
  </mc:AlternateContent>
  <bookViews>
    <workbookView xWindow="-120" yWindow="-120" windowWidth="20730" windowHeight="11160" tabRatio="725" activeTab="1"/>
  </bookViews>
  <sheets>
    <sheet name="Chart1" sheetId="6" r:id="rId1"/>
    <sheet name="Report" sheetId="1" r:id="rId2"/>
    <sheet name="valuation" sheetId="5" r:id="rId3"/>
    <sheet name="Note" sheetId="4" r:id="rId4"/>
  </sheets>
  <definedNames>
    <definedName name="_xlnm.Print_Area" localSheetId="1">Report!$A$1:$H$612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3" i="1" l="1"/>
  <c r="C99" i="1" l="1"/>
  <c r="C85" i="1"/>
  <c r="J97" i="1"/>
  <c r="J96" i="1"/>
  <c r="J95" i="1"/>
  <c r="J94" i="1"/>
  <c r="C71" i="1"/>
  <c r="D437" i="1"/>
  <c r="D436" i="1"/>
  <c r="D428" i="1"/>
  <c r="D427" i="1"/>
  <c r="J339" i="1"/>
  <c r="J338" i="1"/>
  <c r="H86" i="1"/>
  <c r="J90" i="1" l="1"/>
  <c r="C89" i="1" s="1"/>
  <c r="D98" i="1"/>
  <c r="D96" i="1"/>
  <c r="D94" i="1"/>
  <c r="D92" i="1"/>
  <c r="J91" i="1"/>
  <c r="J89" i="1"/>
  <c r="J85" i="1"/>
  <c r="J87" i="1" s="1"/>
  <c r="D97" i="1"/>
  <c r="D95" i="1"/>
  <c r="D93" i="1"/>
  <c r="D91" i="1"/>
  <c r="J88" i="1"/>
  <c r="D198" i="1"/>
  <c r="D58" i="1"/>
  <c r="D89" i="1" l="1"/>
  <c r="J92" i="1"/>
  <c r="J93" i="1" s="1"/>
  <c r="C90" i="1"/>
  <c r="G89" i="1" s="1"/>
  <c r="L20" i="1"/>
  <c r="E365" i="1"/>
  <c r="E364" i="1"/>
  <c r="E271" i="1"/>
  <c r="E272" i="1"/>
  <c r="E179" i="1"/>
  <c r="E178" i="1"/>
  <c r="I294" i="1"/>
  <c r="I391" i="1"/>
  <c r="J294" i="1"/>
  <c r="J296" i="1"/>
  <c r="I296" i="1"/>
  <c r="J86" i="1" l="1"/>
  <c r="J98" i="1"/>
  <c r="E89" i="1"/>
  <c r="D90" i="1"/>
  <c r="I86" i="1" s="1"/>
  <c r="I87" i="1" s="1"/>
  <c r="I422" i="1"/>
  <c r="I440" i="1"/>
  <c r="D461" i="1"/>
  <c r="D460" i="1"/>
  <c r="F460" i="1" s="1"/>
  <c r="D459" i="1"/>
  <c r="F459" i="1" s="1"/>
  <c r="D458" i="1"/>
  <c r="F458" i="1" s="1"/>
  <c r="D457" i="1"/>
  <c r="F457" i="1" s="1"/>
  <c r="D455" i="1"/>
  <c r="D454" i="1"/>
  <c r="D452" i="1"/>
  <c r="F452" i="1" s="1"/>
  <c r="D451" i="1"/>
  <c r="F451" i="1" s="1"/>
  <c r="D450" i="1"/>
  <c r="F450" i="1" s="1"/>
  <c r="D449" i="1"/>
  <c r="F449" i="1" s="1"/>
  <c r="D448" i="1"/>
  <c r="F448" i="1" s="1"/>
  <c r="D447" i="1"/>
  <c r="F447" i="1" s="1"/>
  <c r="D446" i="1"/>
  <c r="F446" i="1" s="1"/>
  <c r="D445" i="1"/>
  <c r="F445" i="1" s="1"/>
  <c r="A446" i="1"/>
  <c r="A447" i="1" s="1"/>
  <c r="A448" i="1" s="1"/>
  <c r="A449" i="1" s="1"/>
  <c r="A450" i="1" s="1"/>
  <c r="A451" i="1" s="1"/>
  <c r="A452" i="1" s="1"/>
  <c r="G445" i="1"/>
  <c r="D443" i="1"/>
  <c r="F443" i="1" s="1"/>
  <c r="D442" i="1"/>
  <c r="F442" i="1" s="1"/>
  <c r="D441" i="1"/>
  <c r="F441" i="1" s="1"/>
  <c r="D440" i="1"/>
  <c r="F440" i="1" s="1"/>
  <c r="D439" i="1"/>
  <c r="F439" i="1" s="1"/>
  <c r="F437" i="1"/>
  <c r="F436" i="1"/>
  <c r="A437" i="1"/>
  <c r="A438" i="1" s="1"/>
  <c r="A439" i="1" s="1"/>
  <c r="A440" i="1" s="1"/>
  <c r="A441" i="1" s="1"/>
  <c r="A442" i="1" s="1"/>
  <c r="A443" i="1" s="1"/>
  <c r="G436" i="1"/>
  <c r="D434" i="1"/>
  <c r="F434" i="1" s="1"/>
  <c r="D433" i="1"/>
  <c r="F433" i="1" s="1"/>
  <c r="D432" i="1"/>
  <c r="F432" i="1" s="1"/>
  <c r="D431" i="1"/>
  <c r="F431" i="1" s="1"/>
  <c r="D430" i="1"/>
  <c r="F430" i="1" s="1"/>
  <c r="D429" i="1"/>
  <c r="F429" i="1" s="1"/>
  <c r="F428" i="1"/>
  <c r="F427" i="1"/>
  <c r="A428" i="1"/>
  <c r="A429" i="1" s="1"/>
  <c r="A430" i="1" s="1"/>
  <c r="A431" i="1" s="1"/>
  <c r="A432" i="1" s="1"/>
  <c r="A433" i="1" s="1"/>
  <c r="A434" i="1" s="1"/>
  <c r="G427" i="1"/>
  <c r="D425" i="1"/>
  <c r="F425" i="1" s="1"/>
  <c r="D424" i="1"/>
  <c r="F424" i="1" s="1"/>
  <c r="D423" i="1"/>
  <c r="F423" i="1" s="1"/>
  <c r="D422" i="1"/>
  <c r="F422" i="1" s="1"/>
  <c r="D421" i="1"/>
  <c r="F421" i="1" s="1"/>
  <c r="D414" i="1"/>
  <c r="F414" i="1" s="1"/>
  <c r="D413" i="1"/>
  <c r="F413" i="1" s="1"/>
  <c r="D419" i="1"/>
  <c r="F419" i="1" s="1"/>
  <c r="D418" i="1"/>
  <c r="F418" i="1" s="1"/>
  <c r="D416" i="1"/>
  <c r="F416" i="1" s="1"/>
  <c r="D415" i="1"/>
  <c r="F415" i="1" s="1"/>
  <c r="D412" i="1"/>
  <c r="F412" i="1" s="1"/>
  <c r="D411" i="1"/>
  <c r="F411" i="1" s="1"/>
  <c r="D410" i="1"/>
  <c r="F410" i="1" s="1"/>
  <c r="D409" i="1"/>
  <c r="F409" i="1" s="1"/>
  <c r="A419" i="1"/>
  <c r="A420" i="1" s="1"/>
  <c r="A421" i="1" s="1"/>
  <c r="A422" i="1" s="1"/>
  <c r="A423" i="1" s="1"/>
  <c r="A424" i="1" s="1"/>
  <c r="A425" i="1" s="1"/>
  <c r="G418" i="1"/>
  <c r="A410" i="1"/>
  <c r="A411" i="1" s="1"/>
  <c r="A412" i="1" s="1"/>
  <c r="A413" i="1" s="1"/>
  <c r="A414" i="1" s="1"/>
  <c r="A415" i="1" s="1"/>
  <c r="A416" i="1" s="1"/>
  <c r="G409" i="1"/>
  <c r="D407" i="1"/>
  <c r="F407" i="1" s="1"/>
  <c r="D406" i="1"/>
  <c r="F406" i="1" s="1"/>
  <c r="D405" i="1"/>
  <c r="F405" i="1" s="1"/>
  <c r="D404" i="1"/>
  <c r="F404" i="1" s="1"/>
  <c r="D403" i="1"/>
  <c r="F403" i="1" s="1"/>
  <c r="D401" i="1"/>
  <c r="F401" i="1" s="1"/>
  <c r="D400" i="1"/>
  <c r="F400" i="1" s="1"/>
  <c r="A401" i="1"/>
  <c r="A402" i="1" s="1"/>
  <c r="A403" i="1" s="1"/>
  <c r="A404" i="1" s="1"/>
  <c r="A405" i="1" s="1"/>
  <c r="A406" i="1" s="1"/>
  <c r="A407" i="1" s="1"/>
  <c r="G400" i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D391" i="1"/>
  <c r="F391" i="1" s="1"/>
  <c r="A392" i="1"/>
  <c r="A393" i="1" s="1"/>
  <c r="A394" i="1" s="1"/>
  <c r="A395" i="1" s="1"/>
  <c r="A396" i="1" s="1"/>
  <c r="A397" i="1" s="1"/>
  <c r="A398" i="1" s="1"/>
  <c r="G391" i="1"/>
  <c r="D389" i="1"/>
  <c r="F389" i="1" s="1"/>
  <c r="D384" i="1"/>
  <c r="F384" i="1" s="1"/>
  <c r="D383" i="1"/>
  <c r="F383" i="1" s="1"/>
  <c r="A383" i="1"/>
  <c r="A384" i="1" s="1"/>
  <c r="A385" i="1" s="1"/>
  <c r="A386" i="1" s="1"/>
  <c r="A387" i="1" s="1"/>
  <c r="A388" i="1" s="1"/>
  <c r="A389" i="1" s="1"/>
  <c r="G382" i="1"/>
  <c r="D382" i="1"/>
  <c r="F382" i="1" s="1"/>
  <c r="D380" i="1"/>
  <c r="D375" i="1"/>
  <c r="D374" i="1"/>
  <c r="D373" i="1"/>
  <c r="D371" i="1"/>
  <c r="F371" i="1" s="1"/>
  <c r="D366" i="1"/>
  <c r="F366" i="1" s="1"/>
  <c r="D365" i="1"/>
  <c r="F365" i="1" s="1"/>
  <c r="D364" i="1"/>
  <c r="F364" i="1" s="1"/>
  <c r="A365" i="1"/>
  <c r="A366" i="1" s="1"/>
  <c r="A367" i="1" s="1"/>
  <c r="A368" i="1" s="1"/>
  <c r="A369" i="1" s="1"/>
  <c r="A370" i="1" s="1"/>
  <c r="A371" i="1" s="1"/>
  <c r="G364" i="1"/>
  <c r="D362" i="1"/>
  <c r="D357" i="1"/>
  <c r="D349" i="1"/>
  <c r="D348" i="1"/>
  <c r="D347" i="1"/>
  <c r="D346" i="1"/>
  <c r="D345" i="1"/>
  <c r="D344" i="1"/>
  <c r="D343" i="1"/>
  <c r="D341" i="1"/>
  <c r="D340" i="1"/>
  <c r="D339" i="1"/>
  <c r="D338" i="1"/>
  <c r="D337" i="1"/>
  <c r="D336" i="1"/>
  <c r="D335" i="1"/>
  <c r="D334" i="1"/>
  <c r="D331" i="1"/>
  <c r="D330" i="1"/>
  <c r="D329" i="1"/>
  <c r="D328" i="1"/>
  <c r="D327" i="1"/>
  <c r="D326" i="1"/>
  <c r="D325" i="1"/>
  <c r="D323" i="1"/>
  <c r="D322" i="1"/>
  <c r="D321" i="1"/>
  <c r="D320" i="1"/>
  <c r="D319" i="1"/>
  <c r="D318" i="1"/>
  <c r="D317" i="1"/>
  <c r="D316" i="1"/>
  <c r="D313" i="1"/>
  <c r="D312" i="1"/>
  <c r="D311" i="1"/>
  <c r="D310" i="1"/>
  <c r="D309" i="1"/>
  <c r="D308" i="1"/>
  <c r="D307" i="1"/>
  <c r="D305" i="1"/>
  <c r="D304" i="1"/>
  <c r="D303" i="1"/>
  <c r="D302" i="1"/>
  <c r="D301" i="1"/>
  <c r="D300" i="1"/>
  <c r="D299" i="1"/>
  <c r="D298" i="1"/>
  <c r="D296" i="1"/>
  <c r="D291" i="1"/>
  <c r="D290" i="1"/>
  <c r="D289" i="1"/>
  <c r="D287" i="1"/>
  <c r="F287" i="1" s="1"/>
  <c r="D282" i="1"/>
  <c r="F282" i="1" s="1"/>
  <c r="D281" i="1"/>
  <c r="F281" i="1" s="1"/>
  <c r="A281" i="1"/>
  <c r="A282" i="1" s="1"/>
  <c r="A283" i="1" s="1"/>
  <c r="A284" i="1" s="1"/>
  <c r="A285" i="1" s="1"/>
  <c r="A286" i="1" s="1"/>
  <c r="A287" i="1" s="1"/>
  <c r="G280" i="1"/>
  <c r="D280" i="1"/>
  <c r="F280" i="1" s="1"/>
  <c r="D278" i="1"/>
  <c r="D273" i="1"/>
  <c r="D272" i="1"/>
  <c r="D271" i="1"/>
  <c r="D269" i="1"/>
  <c r="D264" i="1"/>
  <c r="I236" i="1"/>
  <c r="D257" i="1"/>
  <c r="D256" i="1"/>
  <c r="D255" i="1"/>
  <c r="D254" i="1"/>
  <c r="D253" i="1"/>
  <c r="D251" i="1"/>
  <c r="D250" i="1"/>
  <c r="D248" i="1"/>
  <c r="D247" i="1"/>
  <c r="D246" i="1"/>
  <c r="D245" i="1"/>
  <c r="D244" i="1"/>
  <c r="D243" i="1"/>
  <c r="D242" i="1"/>
  <c r="D241" i="1"/>
  <c r="D239" i="1"/>
  <c r="D238" i="1"/>
  <c r="D237" i="1"/>
  <c r="D236" i="1"/>
  <c r="D235" i="1"/>
  <c r="D233" i="1"/>
  <c r="D232" i="1"/>
  <c r="D230" i="1"/>
  <c r="D229" i="1"/>
  <c r="D228" i="1"/>
  <c r="D227" i="1"/>
  <c r="D226" i="1"/>
  <c r="D225" i="1"/>
  <c r="D224" i="1"/>
  <c r="D223" i="1"/>
  <c r="D221" i="1"/>
  <c r="D220" i="1"/>
  <c r="D219" i="1"/>
  <c r="D218" i="1"/>
  <c r="D217" i="1"/>
  <c r="D215" i="1"/>
  <c r="D214" i="1"/>
  <c r="D212" i="1"/>
  <c r="D211" i="1"/>
  <c r="D210" i="1"/>
  <c r="D209" i="1"/>
  <c r="D208" i="1"/>
  <c r="D207" i="1"/>
  <c r="D206" i="1"/>
  <c r="D205" i="1"/>
  <c r="I185" i="1"/>
  <c r="D189" i="1"/>
  <c r="D188" i="1"/>
  <c r="D187" i="1"/>
  <c r="I180" i="1"/>
  <c r="D180" i="1"/>
  <c r="D179" i="1"/>
  <c r="D178" i="1"/>
  <c r="D171" i="1"/>
  <c r="F171" i="1" s="1"/>
  <c r="D170" i="1"/>
  <c r="F170" i="1" s="1"/>
  <c r="D169" i="1"/>
  <c r="F169" i="1" s="1"/>
  <c r="D168" i="1"/>
  <c r="D167" i="1"/>
  <c r="D166" i="1"/>
  <c r="D165" i="1"/>
  <c r="D164" i="1"/>
  <c r="D163" i="1"/>
  <c r="D162" i="1"/>
  <c r="D157" i="1"/>
  <c r="F157" i="1" s="1"/>
  <c r="D156" i="1"/>
  <c r="F156" i="1" s="1"/>
  <c r="D155" i="1"/>
  <c r="F155" i="1" s="1"/>
  <c r="D154" i="1"/>
  <c r="F154" i="1" s="1"/>
  <c r="D161" i="1"/>
  <c r="D160" i="1"/>
  <c r="D159" i="1"/>
  <c r="I141" i="1"/>
  <c r="I148" i="1"/>
  <c r="D153" i="1"/>
  <c r="D152" i="1"/>
  <c r="D151" i="1"/>
  <c r="D150" i="1"/>
  <c r="D149" i="1"/>
  <c r="D148" i="1"/>
  <c r="D147" i="1"/>
  <c r="D146" i="1"/>
  <c r="D145" i="1"/>
  <c r="I85" i="1" l="1"/>
  <c r="C87" i="1" s="1"/>
  <c r="E134" i="1"/>
  <c r="E135" i="1"/>
  <c r="E129" i="1"/>
  <c r="C135" i="1"/>
  <c r="C134" i="1"/>
  <c r="C129" i="1"/>
  <c r="F461" i="1" l="1"/>
  <c r="F455" i="1"/>
  <c r="A455" i="1"/>
  <c r="A456" i="1" s="1"/>
  <c r="A457" i="1" s="1"/>
  <c r="A458" i="1" s="1"/>
  <c r="A459" i="1" s="1"/>
  <c r="A460" i="1" s="1"/>
  <c r="A461" i="1" s="1"/>
  <c r="G454" i="1"/>
  <c r="F454" i="1"/>
  <c r="F380" i="1"/>
  <c r="F375" i="1"/>
  <c r="F374" i="1"/>
  <c r="A374" i="1"/>
  <c r="A375" i="1" s="1"/>
  <c r="A376" i="1" s="1"/>
  <c r="A377" i="1" s="1"/>
  <c r="A378" i="1" s="1"/>
  <c r="A379" i="1" s="1"/>
  <c r="A380" i="1" s="1"/>
  <c r="G373" i="1"/>
  <c r="F373" i="1"/>
  <c r="F362" i="1"/>
  <c r="F357" i="1"/>
  <c r="A356" i="1"/>
  <c r="A357" i="1" s="1"/>
  <c r="A358" i="1" s="1"/>
  <c r="A359" i="1" s="1"/>
  <c r="A360" i="1" s="1"/>
  <c r="A361" i="1" s="1"/>
  <c r="A362" i="1" s="1"/>
  <c r="G355" i="1"/>
  <c r="J110" i="1"/>
  <c r="J109" i="1"/>
  <c r="J108" i="1"/>
  <c r="G135" i="1" l="1"/>
  <c r="F187" i="1"/>
  <c r="D197" i="1"/>
  <c r="D196" i="1"/>
  <c r="N190" i="1"/>
  <c r="N181" i="1"/>
  <c r="I130" i="1"/>
  <c r="C133" i="1" l="1"/>
  <c r="E133" i="1"/>
  <c r="F178" i="1"/>
  <c r="K236" i="1"/>
  <c r="F331" i="1" l="1"/>
  <c r="F330" i="1"/>
  <c r="F329" i="1"/>
  <c r="F326" i="1"/>
  <c r="F325" i="1"/>
  <c r="F328" i="1"/>
  <c r="F327" i="1"/>
  <c r="A326" i="1"/>
  <c r="A327" i="1" s="1"/>
  <c r="A328" i="1" s="1"/>
  <c r="A329" i="1" s="1"/>
  <c r="A330" i="1" s="1"/>
  <c r="A331" i="1" s="1"/>
  <c r="A332" i="1" s="1"/>
  <c r="G325" i="1"/>
  <c r="F321" i="1"/>
  <c r="F320" i="1"/>
  <c r="F317" i="1"/>
  <c r="F323" i="1"/>
  <c r="F322" i="1"/>
  <c r="F319" i="1"/>
  <c r="F318" i="1"/>
  <c r="A317" i="1"/>
  <c r="A318" i="1" s="1"/>
  <c r="A319" i="1" s="1"/>
  <c r="A320" i="1" s="1"/>
  <c r="A321" i="1" s="1"/>
  <c r="A322" i="1" s="1"/>
  <c r="A323" i="1" s="1"/>
  <c r="G316" i="1"/>
  <c r="F316" i="1"/>
  <c r="F349" i="1"/>
  <c r="F348" i="1"/>
  <c r="F347" i="1"/>
  <c r="F346" i="1"/>
  <c r="F345" i="1"/>
  <c r="F344" i="1"/>
  <c r="F343" i="1"/>
  <c r="A344" i="1"/>
  <c r="A345" i="1" s="1"/>
  <c r="A346" i="1" s="1"/>
  <c r="A347" i="1" s="1"/>
  <c r="A348" i="1" s="1"/>
  <c r="A349" i="1" s="1"/>
  <c r="A350" i="1" s="1"/>
  <c r="G343" i="1"/>
  <c r="F339" i="1"/>
  <c r="F337" i="1"/>
  <c r="F336" i="1"/>
  <c r="F335" i="1"/>
  <c r="F334" i="1"/>
  <c r="F341" i="1"/>
  <c r="F340" i="1"/>
  <c r="F338" i="1"/>
  <c r="A335" i="1"/>
  <c r="A336" i="1" s="1"/>
  <c r="A337" i="1" s="1"/>
  <c r="A338" i="1" s="1"/>
  <c r="A339" i="1" s="1"/>
  <c r="A340" i="1" s="1"/>
  <c r="A341" i="1" s="1"/>
  <c r="G334" i="1"/>
  <c r="F257" i="1"/>
  <c r="G51" i="1" l="1"/>
  <c r="C51" i="1"/>
  <c r="J115" i="1" l="1"/>
  <c r="F11" i="5" l="1"/>
  <c r="F312" i="1"/>
  <c r="F311" i="1"/>
  <c r="F310" i="1"/>
  <c r="F309" i="1"/>
  <c r="F308" i="1"/>
  <c r="F307" i="1"/>
  <c r="F298" i="1"/>
  <c r="F305" i="1"/>
  <c r="F304" i="1"/>
  <c r="F303" i="1"/>
  <c r="F302" i="1"/>
  <c r="F300" i="1"/>
  <c r="F299" i="1"/>
  <c r="F296" i="1"/>
  <c r="F291" i="1"/>
  <c r="F290" i="1"/>
  <c r="F289" i="1"/>
  <c r="F278" i="1"/>
  <c r="F273" i="1"/>
  <c r="F272" i="1"/>
  <c r="F269" i="1"/>
  <c r="F256" i="1"/>
  <c r="F255" i="1"/>
  <c r="F254" i="1"/>
  <c r="F251" i="1"/>
  <c r="F250" i="1"/>
  <c r="F248" i="1"/>
  <c r="F247" i="1"/>
  <c r="F246" i="1"/>
  <c r="F245" i="1"/>
  <c r="F244" i="1"/>
  <c r="F243" i="1"/>
  <c r="F242" i="1"/>
  <c r="F241" i="1"/>
  <c r="F239" i="1"/>
  <c r="F238" i="1"/>
  <c r="F237" i="1"/>
  <c r="F236" i="1"/>
  <c r="F235" i="1"/>
  <c r="F233" i="1"/>
  <c r="F232" i="1"/>
  <c r="F230" i="1"/>
  <c r="F229" i="1"/>
  <c r="F228" i="1"/>
  <c r="F227" i="1"/>
  <c r="F226" i="1"/>
  <c r="F225" i="1"/>
  <c r="F223" i="1"/>
  <c r="F221" i="1"/>
  <c r="F220" i="1"/>
  <c r="F219" i="1"/>
  <c r="F218" i="1"/>
  <c r="F217" i="1"/>
  <c r="F215" i="1"/>
  <c r="F212" i="1"/>
  <c r="F211" i="1"/>
  <c r="F210" i="1"/>
  <c r="F209" i="1"/>
  <c r="F208" i="1"/>
  <c r="F207" i="1"/>
  <c r="F206" i="1"/>
  <c r="F205" i="1"/>
  <c r="F198" i="1"/>
  <c r="J194" i="1" s="1"/>
  <c r="F197" i="1"/>
  <c r="J193" i="1" s="1"/>
  <c r="F196" i="1"/>
  <c r="F189" i="1"/>
  <c r="F188" i="1"/>
  <c r="F168" i="1"/>
  <c r="F167" i="1"/>
  <c r="F166" i="1"/>
  <c r="F165" i="1"/>
  <c r="F164" i="1"/>
  <c r="F163" i="1"/>
  <c r="F162" i="1"/>
  <c r="F161" i="1"/>
  <c r="F160" i="1"/>
  <c r="F159" i="1"/>
  <c r="F153" i="1"/>
  <c r="F152" i="1"/>
  <c r="F151" i="1"/>
  <c r="F150" i="1"/>
  <c r="F149" i="1"/>
  <c r="F148" i="1"/>
  <c r="F147" i="1"/>
  <c r="F146" i="1"/>
  <c r="F145" i="1"/>
  <c r="F313" i="1"/>
  <c r="A308" i="1"/>
  <c r="A309" i="1" s="1"/>
  <c r="A310" i="1" s="1"/>
  <c r="A311" i="1" s="1"/>
  <c r="A312" i="1" s="1"/>
  <c r="A313" i="1" s="1"/>
  <c r="A314" i="1" s="1"/>
  <c r="G307" i="1"/>
  <c r="F301" i="1"/>
  <c r="A299" i="1"/>
  <c r="A300" i="1" s="1"/>
  <c r="A301" i="1" s="1"/>
  <c r="A302" i="1" s="1"/>
  <c r="A303" i="1" s="1"/>
  <c r="A304" i="1" s="1"/>
  <c r="A305" i="1" s="1"/>
  <c r="G298" i="1"/>
  <c r="A290" i="1"/>
  <c r="A291" i="1" s="1"/>
  <c r="A292" i="1" s="1"/>
  <c r="A293" i="1" s="1"/>
  <c r="A294" i="1" s="1"/>
  <c r="A295" i="1" s="1"/>
  <c r="A296" i="1" s="1"/>
  <c r="G289" i="1"/>
  <c r="F271" i="1"/>
  <c r="A272" i="1"/>
  <c r="A273" i="1" s="1"/>
  <c r="A274" i="1" s="1"/>
  <c r="A275" i="1" s="1"/>
  <c r="A276" i="1" s="1"/>
  <c r="A277" i="1" s="1"/>
  <c r="A278" i="1" s="1"/>
  <c r="G271" i="1"/>
  <c r="F253" i="1"/>
  <c r="A251" i="1"/>
  <c r="A252" i="1" s="1"/>
  <c r="A253" i="1" s="1"/>
  <c r="A254" i="1" s="1"/>
  <c r="A255" i="1" s="1"/>
  <c r="A256" i="1" s="1"/>
  <c r="A257" i="1" s="1"/>
  <c r="G250" i="1"/>
  <c r="A242" i="1"/>
  <c r="A243" i="1" s="1"/>
  <c r="A244" i="1" s="1"/>
  <c r="A245" i="1" s="1"/>
  <c r="A246" i="1" s="1"/>
  <c r="A247" i="1" s="1"/>
  <c r="A248" i="1" s="1"/>
  <c r="G241" i="1"/>
  <c r="A233" i="1"/>
  <c r="A234" i="1" s="1"/>
  <c r="A235" i="1" s="1"/>
  <c r="A236" i="1" s="1"/>
  <c r="A237" i="1" s="1"/>
  <c r="A238" i="1" s="1"/>
  <c r="A239" i="1" s="1"/>
  <c r="G232" i="1"/>
  <c r="A215" i="1"/>
  <c r="A216" i="1" s="1"/>
  <c r="A217" i="1" s="1"/>
  <c r="A218" i="1" s="1"/>
  <c r="A219" i="1" s="1"/>
  <c r="A220" i="1" s="1"/>
  <c r="A221" i="1" s="1"/>
  <c r="G214" i="1"/>
  <c r="F214" i="1"/>
  <c r="F224" i="1"/>
  <c r="A224" i="1"/>
  <c r="A225" i="1" s="1"/>
  <c r="A226" i="1" s="1"/>
  <c r="A227" i="1" s="1"/>
  <c r="A228" i="1" s="1"/>
  <c r="A229" i="1" s="1"/>
  <c r="A230" i="1" s="1"/>
  <c r="G223" i="1"/>
  <c r="A206" i="1"/>
  <c r="A207" i="1" s="1"/>
  <c r="A208" i="1" s="1"/>
  <c r="A209" i="1" s="1"/>
  <c r="A210" i="1" s="1"/>
  <c r="A211" i="1" s="1"/>
  <c r="A212" i="1" s="1"/>
  <c r="G205" i="1"/>
  <c r="A197" i="1"/>
  <c r="A198" i="1" s="1"/>
  <c r="A199" i="1" s="1"/>
  <c r="A200" i="1" s="1"/>
  <c r="A201" i="1" s="1"/>
  <c r="A202" i="1" s="1"/>
  <c r="A203" i="1" s="1"/>
  <c r="G196" i="1"/>
  <c r="A188" i="1"/>
  <c r="A189" i="1" s="1"/>
  <c r="G187" i="1"/>
  <c r="A263" i="1"/>
  <c r="A264" i="1" s="1"/>
  <c r="A265" i="1" s="1"/>
  <c r="A266" i="1" s="1"/>
  <c r="A267" i="1" s="1"/>
  <c r="A268" i="1" s="1"/>
  <c r="A269" i="1" s="1"/>
  <c r="G262" i="1"/>
  <c r="K170" i="1"/>
  <c r="J171" i="1"/>
  <c r="J170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G159" i="1"/>
  <c r="A146" i="1"/>
  <c r="A147" i="1" s="1"/>
  <c r="A148" i="1" s="1"/>
  <c r="A149" i="1" s="1"/>
  <c r="A150" i="1" s="1"/>
  <c r="A151" i="1" s="1"/>
  <c r="A152" i="1" s="1"/>
  <c r="G145" i="1"/>
  <c r="G129" i="1" l="1"/>
  <c r="G130" i="1" s="1"/>
  <c r="A153" i="1"/>
  <c r="A190" i="1"/>
  <c r="A191" i="1" s="1"/>
  <c r="A192" i="1" s="1"/>
  <c r="A193" i="1" s="1"/>
  <c r="A194" i="1" s="1"/>
  <c r="F264" i="1"/>
  <c r="G134" i="1" s="1"/>
  <c r="C130" i="1"/>
  <c r="E130" i="1"/>
  <c r="C136" i="1" l="1"/>
  <c r="C137" i="1" s="1"/>
  <c r="E136" i="1"/>
  <c r="E137" i="1" s="1"/>
  <c r="E44" i="1"/>
  <c r="E45" i="1" s="1"/>
  <c r="C16" i="1" l="1"/>
  <c r="E31" i="1" l="1"/>
  <c r="F179" i="1" l="1"/>
  <c r="F180" i="1"/>
  <c r="A179" i="1"/>
  <c r="A180" i="1" s="1"/>
  <c r="A181" i="1" s="1"/>
  <c r="A182" i="1" s="1"/>
  <c r="A183" i="1" s="1"/>
  <c r="A184" i="1" s="1"/>
  <c r="A185" i="1" s="1"/>
  <c r="G178" i="1"/>
  <c r="G133" i="1" l="1"/>
  <c r="G136" i="1" s="1"/>
  <c r="G137" i="1" s="1"/>
  <c r="F126" i="1"/>
  <c r="B464" i="1" l="1"/>
  <c r="B465" i="1" l="1"/>
  <c r="G11" i="5" l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K13" i="5" s="1"/>
  <c r="D489" i="1"/>
  <c r="E28" i="1"/>
  <c r="E26" i="1"/>
  <c r="E7" i="1"/>
  <c r="E3" i="1"/>
  <c r="H72" i="1"/>
  <c r="G12" i="5" l="1"/>
  <c r="D65" i="1"/>
  <c r="D84" i="1"/>
  <c r="D82" i="1"/>
  <c r="D81" i="1"/>
  <c r="D80" i="1"/>
  <c r="D78" i="1"/>
  <c r="J71" i="1"/>
  <c r="D83" i="1"/>
  <c r="D79" i="1"/>
  <c r="J75" i="1"/>
  <c r="J76" i="1"/>
  <c r="C75" i="1" s="1"/>
  <c r="J74" i="1"/>
  <c r="J77" i="1"/>
  <c r="J78" i="1" l="1"/>
  <c r="J83" i="1" s="1"/>
  <c r="C76" i="1"/>
  <c r="D77" i="1"/>
  <c r="J73" i="1"/>
  <c r="D75" i="1"/>
  <c r="H100" i="1"/>
  <c r="J79" i="1" l="1"/>
  <c r="J80" i="1" s="1"/>
  <c r="J81" i="1" s="1"/>
  <c r="J82" i="1" s="1"/>
  <c r="J104" i="1"/>
  <c r="D110" i="1"/>
  <c r="D104" i="1"/>
  <c r="J99" i="1"/>
  <c r="J101" i="1" s="1"/>
  <c r="D107" i="1"/>
  <c r="D112" i="1"/>
  <c r="D106" i="1"/>
  <c r="J105" i="1"/>
  <c r="J106" i="1" s="1"/>
  <c r="J111" i="1" s="1"/>
  <c r="D111" i="1"/>
  <c r="D105" i="1"/>
  <c r="J103" i="1"/>
  <c r="C103" i="1" s="1"/>
  <c r="D103" i="1" s="1"/>
  <c r="D109" i="1"/>
  <c r="E103" i="1"/>
  <c r="D108" i="1"/>
  <c r="J102" i="1"/>
  <c r="J84" i="1"/>
  <c r="G75" i="1" s="1"/>
  <c r="D69" i="1" s="1"/>
  <c r="D70" i="1" s="1"/>
  <c r="J107" i="1" l="1"/>
  <c r="J112" i="1" s="1"/>
  <c r="I100" i="1"/>
  <c r="I101" i="1" s="1"/>
  <c r="G103" i="1"/>
  <c r="J100" i="1"/>
  <c r="J72" i="1"/>
  <c r="D76" i="1"/>
  <c r="I72" i="1" s="1"/>
  <c r="I73" i="1" s="1"/>
  <c r="E75" i="1"/>
  <c r="F70" i="1"/>
  <c r="I99" i="1" l="1"/>
  <c r="C101" i="1" s="1"/>
  <c r="I71" i="1"/>
  <c r="C73" i="1" s="1"/>
</calcChain>
</file>

<file path=xl/sharedStrings.xml><?xml version="1.0" encoding="utf-8"?>
<sst xmlns="http://schemas.openxmlformats.org/spreadsheetml/2006/main" count="516" uniqueCount="278">
  <si>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</si>
  <si>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</si>
  <si>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</si>
  <si>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</si>
  <si>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</si>
  <si>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</si>
  <si>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</si>
  <si>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</si>
  <si>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</si>
  <si>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</si>
  <si>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</si>
  <si>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</si>
  <si>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</si>
  <si>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</si>
  <si>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</si>
  <si>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</si>
  <si>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</si>
  <si>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</si>
  <si>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</si>
  <si>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</si>
  <si>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</si>
  <si>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</si>
  <si>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</si>
  <si>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</si>
  <si>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</si>
  <si>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</si>
  <si>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</si>
  <si>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</si>
  <si>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</si>
  <si>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</si>
  <si>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</si>
  <si>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</si>
  <si>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</si>
  <si>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</si>
  <si>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</si>
  <si>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</si>
  <si>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</si>
  <si>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</si>
  <si>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</si>
  <si>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</si>
  <si>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</si>
  <si>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</si>
  <si>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</si>
  <si>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</si>
  <si>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</si>
  <si>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</si>
  <si>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</si>
  <si>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</si>
  <si>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</si>
  <si>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</si>
  <si>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</si>
  <si>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</si>
  <si>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</si>
  <si>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</si>
  <si>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</si>
  <si>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</si>
  <si>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</si>
  <si>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</si>
  <si>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</si>
  <si>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</si>
  <si>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</si>
  <si>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</si>
  <si>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</si>
  <si>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</si>
  <si>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</si>
  <si>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</si>
  <si>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</si>
  <si>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</si>
  <si>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</si>
  <si>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</si>
  <si>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</si>
  <si>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</si>
  <si>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</si>
  <si>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</si>
  <si>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</si>
  <si>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</si>
  <si>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</si>
  <si>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</si>
  <si>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</si>
  <si>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</si>
  <si>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</si>
  <si>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</si>
  <si>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</si>
  <si>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</si>
  <si>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</si>
  <si>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</si>
  <si>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</si>
  <si>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</si>
  <si>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</si>
  <si>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</si>
  <si>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</si>
  <si>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</si>
  <si>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</si>
  <si>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</si>
  <si>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</si>
  <si>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</si>
  <si>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</si>
  <si>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</si>
  <si>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</si>
  <si>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</si>
  <si>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</si>
  <si>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</si>
  <si>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</si>
  <si>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</si>
  <si>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</si>
  <si>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</si>
  <si>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</si>
  <si>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</si>
  <si>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</si>
  <si>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</si>
  <si>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</si>
  <si>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</si>
  <si>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</si>
  <si>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</si>
  <si>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</si>
  <si>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</si>
  <si>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</si>
  <si>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</si>
  <si>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</si>
  <si>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</si>
  <si>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</si>
  <si>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</si>
  <si>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</si>
  <si>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</si>
  <si>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</si>
  <si>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</si>
  <si>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</si>
  <si>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</si>
  <si>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</si>
  <si>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</si>
  <si>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</si>
  <si>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</si>
  <si>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</si>
  <si>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</si>
  <si>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</si>
  <si>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</si>
  <si>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</si>
  <si>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</si>
  <si>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</si>
  <si>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</si>
  <si>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</si>
  <si>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</si>
  <si>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</si>
  <si>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</si>
  <si>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</si>
  <si>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</si>
  <si>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</si>
  <si>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</si>
  <si>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</si>
  <si>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</si>
  <si>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</si>
  <si>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</si>
  <si>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</si>
  <si>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</si>
  <si>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</si>
  <si>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</si>
  <si>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</si>
  <si>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</si>
  <si>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</si>
  <si>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</si>
  <si>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</si>
  <si>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</si>
  <si>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</si>
  <si>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</si>
  <si>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</si>
  <si>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Goregaon</t>
  </si>
  <si>
    <t>Sunteck Lifespace Private Limited</t>
  </si>
  <si>
    <t>2242877800 / 2242877890</t>
  </si>
  <si>
    <t>Approved Plans, CC</t>
  </si>
  <si>
    <t>Old Survey No</t>
  </si>
  <si>
    <t>391 New S.N.161/1, 161/2A, 161/3A, Old S.N.392 New S.N.153B &amp; 153/1A</t>
  </si>
  <si>
    <t>Gaurav Residency- 3</t>
  </si>
  <si>
    <t>Dev Paradise</t>
  </si>
  <si>
    <t>Beverly Park Road/ Dev Paradise</t>
  </si>
  <si>
    <t>Om Jay Shivalaya chs ltd.</t>
  </si>
  <si>
    <t>Internal Road / Raj Antila</t>
  </si>
  <si>
    <t>Beverly Park Road</t>
  </si>
  <si>
    <t>Mira Road East</t>
  </si>
  <si>
    <t>Navghar</t>
  </si>
  <si>
    <t>Thane</t>
  </si>
  <si>
    <t>2.5KM from Mira Road Railway Station</t>
  </si>
  <si>
    <t>Mira-Bhayandar Municipal Corporation</t>
  </si>
  <si>
    <t>Building No.1</t>
  </si>
  <si>
    <t>Shop</t>
  </si>
  <si>
    <t>Ground Floor For Commercial, Meter Room, Society Office &amp; Stilt Parking</t>
  </si>
  <si>
    <t>MBMNP/NR/4474/2022-2023</t>
  </si>
  <si>
    <t>Podium For Parking</t>
  </si>
  <si>
    <t>Refuge Area</t>
  </si>
  <si>
    <t>7th Floor (Part Refuge Area)</t>
  </si>
  <si>
    <t>12th &amp; 17th Floor (Part Refuge Area)</t>
  </si>
  <si>
    <t>Building No.2</t>
  </si>
  <si>
    <t>Drivers Room</t>
  </si>
  <si>
    <t>1st Floor For Part Residential &amp; Parking</t>
  </si>
  <si>
    <t>Recommended rate of the Shop Per Sq. Ft. (Ground Floor)</t>
  </si>
  <si>
    <t>Recommended rate of the Shop Per Sq. Ft. (2nd Floor)</t>
  </si>
  <si>
    <t>Recommended rate of the Shop Per Sq. Ft. (1st Floor)</t>
  </si>
  <si>
    <t>Water &amp; Electricity Connection</t>
  </si>
  <si>
    <t>Miss. Chandani : 9167071248</t>
  </si>
  <si>
    <t>Other Plot</t>
  </si>
  <si>
    <t>Gaurav Panchal</t>
  </si>
  <si>
    <t>As per Layout</t>
  </si>
  <si>
    <t xml:space="preserve">Approved Floor plan No.
</t>
  </si>
  <si>
    <t xml:space="preserve">Details of Residential &amp; Commercial in Building   </t>
  </si>
  <si>
    <t>Building Details Floor Wise</t>
  </si>
  <si>
    <t>We considered Gross carpet area = Net carpet + Balcony Area</t>
  </si>
  <si>
    <t>We have updated revised approved plans, CC for Building No.2 &amp; 5th to 38th Floor plan for Building No.1 from RERA site on 04/03/2025</t>
  </si>
  <si>
    <t>3rd Floor For Part Residential &amp; Parking</t>
  </si>
  <si>
    <t>Sunteck Sky Park 1, 2 &amp; 3</t>
  </si>
  <si>
    <t>Building No.3</t>
  </si>
  <si>
    <t>Entrance Lobby Below</t>
  </si>
  <si>
    <t>MBMCB/7008/2025/APL/0014/AutoDCR</t>
  </si>
  <si>
    <t>Building No.1 to 3 = LB + UB + G + 1st to 48th Floor</t>
  </si>
  <si>
    <t>S-10</t>
  </si>
  <si>
    <t>S-11</t>
  </si>
  <si>
    <t>S-12</t>
  </si>
  <si>
    <t>Lower &amp; Upper Basement Floor For Parking</t>
  </si>
  <si>
    <t>2nd Floor For Part Residential &amp; Parking</t>
  </si>
  <si>
    <t>Society Office</t>
  </si>
  <si>
    <t>Parking/E-deck (Landscaped Garden)</t>
  </si>
  <si>
    <t>4th Floor For Residential, Society Office &amp; E-Deck</t>
  </si>
  <si>
    <t>Void</t>
  </si>
  <si>
    <t>Ground Floor For Entrance Lobby, Meter Room &amp; Parking</t>
  </si>
  <si>
    <t>10th, 11th, 13th to 16th, 18th &amp; 19th Floor</t>
  </si>
  <si>
    <t>Ground Floor For Entrance Lobby &amp; Parking</t>
  </si>
  <si>
    <t>Podium For Parking/E-Deck (Landscaped Garden)</t>
  </si>
  <si>
    <t>20th to 21st, 23rd to 26th, 28th to 31st, 33rd to 36th, 38th to 41st, 43rd to 46th &amp; 48th Floor</t>
  </si>
  <si>
    <t>22nd, 27th, 32nd, 37th, 42nd &amp; 47th Floor (Part Refuge Area)</t>
  </si>
  <si>
    <t>3BHK</t>
  </si>
  <si>
    <t>2BHK</t>
  </si>
  <si>
    <t>7th Floor For Part Refuge Area</t>
  </si>
  <si>
    <t>22nd &amp; 27th Floor Part Refuge Area</t>
  </si>
  <si>
    <t>32nd, 37th, 42nd &amp; 47th Floor For Part Refuge Area</t>
  </si>
  <si>
    <t>30th, 31st, 33rd to 36th, 38th to 41st, 43rd to 46th &amp; 48th Floor</t>
  </si>
  <si>
    <t>20th, 21st, 23rd to 26th, 28th &amp; 29th Floor</t>
  </si>
  <si>
    <t xml:space="preserve">Environmental Clearance Details:
Valid Up to: </t>
  </si>
  <si>
    <t>SIA/MH/INFRA2/433696/2023</t>
  </si>
  <si>
    <t>S.No.161, H. No.2A, 3A, S.No.153, H. No.1A, B &amp; S.No.161, H.No.1(Pt)
Proposed BUA = 193850.65 Sq.mt
3 Bldg = B + St/G + 3P + E Deck + 1st to 36th Floor</t>
  </si>
  <si>
    <t>Suraj Mali</t>
  </si>
  <si>
    <t>We have added project Sunteck Sky Park 3 on 06/08/2025</t>
  </si>
  <si>
    <t>RERA Name &amp; No.</t>
  </si>
  <si>
    <t>Sunteck Sky Park 1
(P51700050167)</t>
  </si>
  <si>
    <t>Sunteck Sky Park 3
(P51700055703)</t>
  </si>
  <si>
    <t>19.288889,72.869730</t>
  </si>
  <si>
    <t>https://maps.app.goo.gl/RyFtqGzKkkn3eXVi7</t>
  </si>
  <si>
    <t>30.00M Wide DP Road</t>
  </si>
  <si>
    <t>18.00 M Wide Road</t>
  </si>
  <si>
    <t>Beverly Park</t>
  </si>
  <si>
    <t>beacause as per ec site date of ec is diffrerent</t>
  </si>
  <si>
    <t>03 Buildings</t>
  </si>
  <si>
    <t>Approved Builtup Area of Building 1 to 3 (Sq.Mt)</t>
  </si>
  <si>
    <t>Flat - 709, Shop - 39</t>
  </si>
  <si>
    <t>As per RERA - Sunteck Sky Park 1 &amp; 2 = 31/12/2029
                      Sunteck Sky Park 3 = 31/12/2030</t>
  </si>
  <si>
    <t>1st &amp; 2nd Floor For Commercial, Driver Rest Room, Part Residential Area &amp; Parking</t>
  </si>
  <si>
    <t>1st Floor For Part Commercial Area &amp; Parking</t>
  </si>
  <si>
    <t>2nd Floor For Part Residential, Part Commercial Area &amp; Parking</t>
  </si>
  <si>
    <t>Part Commercial Area &amp; Parking</t>
  </si>
  <si>
    <t>3rd Floor For Part Residential &amp; Part Parking Area</t>
  </si>
  <si>
    <t>Parking Area</t>
  </si>
  <si>
    <t>5th, 6th, 8th &amp; 9th Floor For Residnential</t>
  </si>
  <si>
    <t xml:space="preserve">Parking Area </t>
  </si>
  <si>
    <t xml:space="preserve">1st Floor For Residential &amp; Part Parking Area </t>
  </si>
  <si>
    <t xml:space="preserve">2nd Floor For Residential &amp; Part Parking Area </t>
  </si>
  <si>
    <t xml:space="preserve">3rd Floor For Residential &amp; Part Parking Area </t>
  </si>
  <si>
    <t xml:space="preserve">4th Floor For Residential &amp; Part Parking Area </t>
  </si>
  <si>
    <t>Commercial Area Details : (Shop)</t>
  </si>
  <si>
    <t>Residential Area Details :(Flat)</t>
  </si>
  <si>
    <t>Mr. Avinash Jadhav 7718989694</t>
  </si>
  <si>
    <t>Building No.1 = LB + UB + G + 1st to 48th Floor</t>
  </si>
  <si>
    <t>Building No.2 = LB + UB + G + 1st to 48th Floor</t>
  </si>
  <si>
    <t>Building No.3 = LB + UB + G + 1st to 48th Floor</t>
  </si>
  <si>
    <t>Construction work is in process at the time of Visit (labour found)</t>
  </si>
  <si>
    <t>We have updated latest approved plans &amp; CC for Building No.1 &amp; 2 on 06/08/2025</t>
  </si>
  <si>
    <t>We have referred latest approved plans &amp; CC dtd.12/06/2025 from RERA Site.</t>
  </si>
  <si>
    <t>Building No.1, 2 &amp; 3</t>
  </si>
  <si>
    <t>Sunteck Sky Park 2 
(P51700050166)</t>
  </si>
  <si>
    <t>Please check for Fire Noc &amp; Environmental Clearance Certificate.</t>
  </si>
  <si>
    <t>https://www.suntecks-skypark.com/?utm_source=google&amp;utm_medium=cpc&amp;utm_campaign=Sunteck+Mira+Road+SkyPark+WSTN&amp;utm_term=sunteck%20sky%20park&amp;utm_Physical_Location=9303628&amp;utm_Tragetid=kwd-1999631064922&amp;utm_Target=&amp;utm_Placement=&amp;utm_Adposition=&amp;gad_source=1&amp;gad_campaignid=20360401385&amp;gbraid=0AAAAAptBhncnxY2VBvo79L-1FdUnIIMVf&amp;gclid=CjwKCAjw-svEBhB6EiwAEzSdrgRBvzvQF51cwu7grRoCRCC5ycFEkSnlHae7tEpKT1Sipiiq31cu7hoCsNEQAvD_BwE</t>
  </si>
  <si>
    <t>Banquet Hall, Tennis Court, Jain/Hindu Temple, Gym, Jogging Track, Mini Theater, Indoor Court, Landscape Garden, Swimming Pool, Indoor Games, Club House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</si>
</sst>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0"/>
    <numFmt numFmtId="170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26" xfId="0" applyFont="1" applyBorder="1"/>
    <xf numFmtId="0" fontId="25" fillId="0" borderId="1" xfId="0" applyFont="1" applyBorder="1"/>
    <xf numFmtId="0" fontId="25" fillId="0" borderId="5" xfId="0" applyFont="1" applyBorder="1"/>
    <xf numFmtId="0" fontId="7" fillId="0" borderId="0" xfId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69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5" fillId="0" borderId="0" xfId="4" applyNumberFormat="1"/>
    <xf numFmtId="167" fontId="16" fillId="0" borderId="0" xfId="1" applyNumberFormat="1" applyFont="1"/>
    <xf numFmtId="0" fontId="7" fillId="0" borderId="0" xfId="1" applyFont="1" applyAlignment="1">
      <alignment horizontal="center" vertical="center"/>
    </xf>
    <xf numFmtId="0" fontId="24" fillId="2" borderId="13" xfId="0" applyFont="1" applyFill="1" applyBorder="1"/>
    <xf numFmtId="0" fontId="25" fillId="0" borderId="9" xfId="0" applyFont="1" applyBorder="1"/>
    <xf numFmtId="164" fontId="7" fillId="0" borderId="0" xfId="1" applyNumberFormat="1" applyFont="1" applyAlignment="1">
      <alignment horizontal="center" vertical="center"/>
    </xf>
    <xf numFmtId="0" fontId="27" fillId="0" borderId="0" xfId="1" applyFont="1" applyAlignment="1">
      <alignment vertical="center"/>
    </xf>
    <xf numFmtId="0" fontId="10" fillId="0" borderId="21" xfId="1" applyFont="1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6" fillId="0" borderId="15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/>
      <protection locked="0"/>
    </xf>
    <xf numFmtId="0" fontId="6" fillId="0" borderId="0" xfId="1" applyFont="1" applyBorder="1" applyAlignment="1" applyProtection="1">
      <alignment horizontal="left" vertical="top"/>
      <protection locked="0"/>
    </xf>
    <xf numFmtId="0" fontId="6" fillId="0" borderId="22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9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27" fillId="0" borderId="0" xfId="1" applyNumberFormat="1" applyFont="1" applyAlignment="1">
      <alignment horizontal="center" vertical="center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2" fontId="27" fillId="0" borderId="0" xfId="1" applyNumberFormat="1" applyFont="1" applyAlignment="1">
      <alignment horizontal="center" vertical="center"/>
    </xf>
    <xf numFmtId="1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1" fontId="10" fillId="0" borderId="28" xfId="0" applyNumberFormat="1" applyFont="1" applyFill="1" applyBorder="1" applyAlignment="1" applyProtection="1">
      <alignment horizontal="center" vertical="top" wrapText="1"/>
      <protection locked="0"/>
    </xf>
    <xf numFmtId="1" fontId="8" fillId="0" borderId="28" xfId="0" applyNumberFormat="1" applyFont="1" applyFill="1" applyBorder="1" applyAlignment="1" applyProtection="1">
      <alignment horizontal="center" vertical="top" wrapText="1"/>
      <protection locked="0"/>
    </xf>
    <xf numFmtId="1" fontId="8" fillId="0" borderId="29" xfId="0" applyNumberFormat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10" fillId="0" borderId="0" xfId="1" applyNumberFormat="1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19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 vertical="top" wrapText="1"/>
      <protection locked="0"/>
    </xf>
    <xf numFmtId="0" fontId="7" fillId="0" borderId="19" xfId="1" applyFont="1" applyFill="1" applyBorder="1" applyAlignment="1" applyProtection="1">
      <alignment horizontal="left" vertical="top" wrapText="1"/>
      <protection locked="0"/>
    </xf>
    <xf numFmtId="0" fontId="7" fillId="0" borderId="9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vertical="top" wrapText="1"/>
      <protection locked="0"/>
    </xf>
    <xf numFmtId="14" fontId="7" fillId="0" borderId="8" xfId="1" applyNumberFormat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14" fontId="7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15" fillId="0" borderId="15" xfId="1" applyFont="1" applyFill="1" applyBorder="1" applyAlignment="1" applyProtection="1">
      <alignment horizontal="left" vertical="top" wrapText="1"/>
      <protection locked="0"/>
    </xf>
    <xf numFmtId="0" fontId="15" fillId="0" borderId="16" xfId="1" applyFont="1" applyFill="1" applyBorder="1" applyAlignment="1" applyProtection="1">
      <alignment horizontal="left" vertical="top" wrapText="1"/>
      <protection locked="0"/>
    </xf>
    <xf numFmtId="0" fontId="15" fillId="0" borderId="8" xfId="1" applyFont="1" applyFill="1" applyBorder="1" applyAlignment="1" applyProtection="1">
      <alignment horizontal="left" vertical="top" wrapText="1"/>
      <protection locked="0"/>
    </xf>
    <xf numFmtId="0" fontId="15" fillId="0" borderId="19" xfId="1" applyFont="1" applyFill="1" applyBorder="1" applyAlignment="1" applyProtection="1">
      <alignment horizontal="left" vertical="top" wrapText="1"/>
      <protection locked="0"/>
    </xf>
    <xf numFmtId="0" fontId="15" fillId="0" borderId="9" xfId="1" applyFont="1" applyFill="1" applyBorder="1" applyAlignment="1" applyProtection="1">
      <alignment horizontal="left" vertical="top" wrapText="1"/>
      <protection locked="0"/>
    </xf>
    <xf numFmtId="0" fontId="15" fillId="0" borderId="1" xfId="1" applyFont="1" applyFill="1" applyBorder="1" applyAlignment="1" applyProtection="1">
      <alignment vertical="top" wrapText="1"/>
      <protection locked="0"/>
    </xf>
    <xf numFmtId="14" fontId="15" fillId="0" borderId="8" xfId="1" applyNumberFormat="1" applyFont="1" applyFill="1" applyBorder="1" applyAlignment="1" applyProtection="1">
      <alignment horizontal="left" vertical="top" wrapText="1"/>
      <protection locked="0"/>
    </xf>
    <xf numFmtId="14" fontId="15" fillId="0" borderId="9" xfId="1" applyNumberFormat="1" applyFont="1" applyFill="1" applyBorder="1" applyAlignment="1" applyProtection="1">
      <alignment horizontal="left" vertical="top" wrapText="1"/>
      <protection locked="0"/>
    </xf>
    <xf numFmtId="0" fontId="15" fillId="0" borderId="17" xfId="1" applyFont="1" applyFill="1" applyBorder="1" applyAlignment="1" applyProtection="1">
      <alignment horizontal="left" vertical="top" wrapText="1"/>
      <protection locked="0"/>
    </xf>
    <xf numFmtId="0" fontId="15" fillId="0" borderId="18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4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4" xfId="1" applyFont="1" applyFill="1" applyBorder="1" applyAlignment="1" applyProtection="1">
      <alignment horizontal="left" vertical="top"/>
      <protection locked="0"/>
    </xf>
    <xf numFmtId="0" fontId="8" fillId="0" borderId="14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8" xfId="1" applyNumberFormat="1" applyFont="1" applyFill="1" applyBorder="1" applyAlignment="1" applyProtection="1">
      <alignment horizontal="center"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top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2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9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19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6" fillId="0" borderId="0" xfId="10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Report!$E$173:$E$489</c:f>
              <c:numCache>
                <c:formatCode>0</c:formatCode>
                <c:ptCount val="317"/>
                <c:pt idx="0">
                  <c:v>0</c:v>
                </c:pt>
                <c:pt idx="5">
                  <c:v>513.17369999999994</c:v>
                </c:pt>
                <c:pt idx="6">
                  <c:v>513.17369999999994</c:v>
                </c:pt>
                <c:pt idx="7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9">
                  <c:v>0</c:v>
                </c:pt>
                <c:pt idx="60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7">
                  <c:v>0</c:v>
                </c:pt>
                <c:pt idx="78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91">
                  <c:v>0</c:v>
                </c:pt>
                <c:pt idx="96">
                  <c:v>0</c:v>
                </c:pt>
                <c:pt idx="98">
                  <c:v>528.83531999999991</c:v>
                </c:pt>
                <c:pt idx="99">
                  <c:v>528.83531999999991</c:v>
                </c:pt>
                <c:pt idx="100">
                  <c:v>0</c:v>
                </c:pt>
                <c:pt idx="105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4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23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84">
                  <c:v>0</c:v>
                </c:pt>
                <c:pt idx="189">
                  <c:v>0</c:v>
                </c:pt>
                <c:pt idx="191">
                  <c:v>507.1727699999999</c:v>
                </c:pt>
                <c:pt idx="192">
                  <c:v>507.1727699999999</c:v>
                </c:pt>
                <c:pt idx="193">
                  <c:v>0</c:v>
                </c:pt>
                <c:pt idx="198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7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6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7">
                  <c:v>0</c:v>
                </c:pt>
                <c:pt idx="228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5">
                  <c:v>0</c:v>
                </c:pt>
                <c:pt idx="246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3">
                  <c:v>0</c:v>
                </c:pt>
                <c:pt idx="264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1">
                  <c:v>0</c:v>
                </c:pt>
                <c:pt idx="282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3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C-4D94-9846-AC44202D18B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Report!$F$173:$F$489</c:f>
              <c:numCache>
                <c:formatCode>0%</c:formatCode>
                <c:ptCount val="317"/>
                <c:pt idx="0" formatCode="0">
                  <c:v>0</c:v>
                </c:pt>
                <c:pt idx="1">
                  <c:v>0.55000000000000004</c:v>
                </c:pt>
                <c:pt idx="5" formatCode="0">
                  <c:v>1564.135677</c:v>
                </c:pt>
                <c:pt idx="6" formatCode="0">
                  <c:v>1564.135677</c:v>
                </c:pt>
                <c:pt idx="7" formatCode="0">
                  <c:v>992.376216</c:v>
                </c:pt>
                <c:pt idx="14" formatCode="0">
                  <c:v>1435.8422519999999</c:v>
                </c:pt>
                <c:pt idx="15" formatCode="0">
                  <c:v>1435.8422519999999</c:v>
                </c:pt>
                <c:pt idx="16" formatCode="0">
                  <c:v>992.376216</c:v>
                </c:pt>
                <c:pt idx="23" formatCode="0">
                  <c:v>1470.044862</c:v>
                </c:pt>
                <c:pt idx="24" formatCode="0">
                  <c:v>1470.044862</c:v>
                </c:pt>
                <c:pt idx="25" formatCode="0">
                  <c:v>992.376216</c:v>
                </c:pt>
                <c:pt idx="32" formatCode="0">
                  <c:v>1435.8422519999999</c:v>
                </c:pt>
                <c:pt idx="33" formatCode="0">
                  <c:v>1435.8422519999999</c:v>
                </c:pt>
                <c:pt idx="34" formatCode="0">
                  <c:v>992.376216</c:v>
                </c:pt>
                <c:pt idx="35" formatCode="0">
                  <c:v>992.376216</c:v>
                </c:pt>
                <c:pt idx="36" formatCode="0">
                  <c:v>1409.9817420000002</c:v>
                </c:pt>
                <c:pt idx="37" formatCode="0">
                  <c:v>1409.9817420000002</c:v>
                </c:pt>
                <c:pt idx="38" formatCode="0">
                  <c:v>996.88094999999998</c:v>
                </c:pt>
                <c:pt idx="39" formatCode="0">
                  <c:v>996.88094999999998</c:v>
                </c:pt>
                <c:pt idx="41" formatCode="0">
                  <c:v>1435.8422519999999</c:v>
                </c:pt>
                <c:pt idx="42" formatCode="0">
                  <c:v>1435.8422519999999</c:v>
                </c:pt>
                <c:pt idx="44" formatCode="0">
                  <c:v>992.376216</c:v>
                </c:pt>
                <c:pt idx="45" formatCode="0">
                  <c:v>1409.9817420000002</c:v>
                </c:pt>
                <c:pt idx="46" formatCode="0">
                  <c:v>1409.9817420000002</c:v>
                </c:pt>
                <c:pt idx="47" formatCode="0">
                  <c:v>996.88094999999998</c:v>
                </c:pt>
                <c:pt idx="48" formatCode="0">
                  <c:v>996.88094999999998</c:v>
                </c:pt>
                <c:pt idx="50" formatCode="0">
                  <c:v>1516.0932540000001</c:v>
                </c:pt>
                <c:pt idx="51" formatCode="0">
                  <c:v>1516.0932540000001</c:v>
                </c:pt>
                <c:pt idx="52" formatCode="0">
                  <c:v>992.376216</c:v>
                </c:pt>
                <c:pt idx="53" formatCode="0">
                  <c:v>992.376216</c:v>
                </c:pt>
                <c:pt idx="54" formatCode="0">
                  <c:v>1490.2327439999999</c:v>
                </c:pt>
                <c:pt idx="55" formatCode="0">
                  <c:v>1490.2327439999999</c:v>
                </c:pt>
                <c:pt idx="56" formatCode="0">
                  <c:v>996.88094999999998</c:v>
                </c:pt>
                <c:pt idx="57" formatCode="0">
                  <c:v>996.88094999999998</c:v>
                </c:pt>
                <c:pt idx="59" formatCode="0">
                  <c:v>1516.0932540000001</c:v>
                </c:pt>
                <c:pt idx="60" formatCode="0">
                  <c:v>1516.0932540000001</c:v>
                </c:pt>
                <c:pt idx="62" formatCode="0">
                  <c:v>992.376216</c:v>
                </c:pt>
                <c:pt idx="63" formatCode="0">
                  <c:v>1490.2327439999999</c:v>
                </c:pt>
                <c:pt idx="64" formatCode="0">
                  <c:v>1490.2327439999999</c:v>
                </c:pt>
                <c:pt idx="65" formatCode="0">
                  <c:v>996.88094999999998</c:v>
                </c:pt>
                <c:pt idx="66" formatCode="0">
                  <c:v>996.88094999999998</c:v>
                </c:pt>
                <c:pt idx="68" formatCode="0">
                  <c:v>1577.3242680000001</c:v>
                </c:pt>
                <c:pt idx="69" formatCode="0">
                  <c:v>1577.157426</c:v>
                </c:pt>
                <c:pt idx="70" formatCode="0">
                  <c:v>1044.2640779999999</c:v>
                </c:pt>
                <c:pt idx="71" formatCode="0">
                  <c:v>1044.2640779999999</c:v>
                </c:pt>
                <c:pt idx="72" formatCode="0">
                  <c:v>1551.296916</c:v>
                </c:pt>
                <c:pt idx="73" formatCode="0">
                  <c:v>1551.296916</c:v>
                </c:pt>
                <c:pt idx="74" formatCode="0">
                  <c:v>1050.6040740000001</c:v>
                </c:pt>
                <c:pt idx="75" formatCode="0">
                  <c:v>1050.6040740000001</c:v>
                </c:pt>
                <c:pt idx="77" formatCode="0">
                  <c:v>1577.3242679999998</c:v>
                </c:pt>
                <c:pt idx="78" formatCode="0">
                  <c:v>1577.157426</c:v>
                </c:pt>
                <c:pt idx="80" formatCode="0">
                  <c:v>1044.2640779999999</c:v>
                </c:pt>
                <c:pt idx="81" formatCode="0">
                  <c:v>1551.2969159999998</c:v>
                </c:pt>
                <c:pt idx="82" formatCode="0">
                  <c:v>1551.2969159999998</c:v>
                </c:pt>
                <c:pt idx="83" formatCode="0">
                  <c:v>1050.6040740000001</c:v>
                </c:pt>
                <c:pt idx="84" formatCode="0">
                  <c:v>1050.6040740000001</c:v>
                </c:pt>
                <c:pt idx="91" formatCode="0">
                  <c:v>992.376216</c:v>
                </c:pt>
                <c:pt idx="96" formatCode="0">
                  <c:v>992.376216</c:v>
                </c:pt>
                <c:pt idx="98" formatCode="0">
                  <c:v>1568.051082</c:v>
                </c:pt>
                <c:pt idx="99" formatCode="0">
                  <c:v>1568.051082</c:v>
                </c:pt>
                <c:pt idx="100" formatCode="0">
                  <c:v>992.376216</c:v>
                </c:pt>
                <c:pt idx="105" formatCode="0">
                  <c:v>992.376216</c:v>
                </c:pt>
                <c:pt idx="107" formatCode="0">
                  <c:v>1435.8422519999999</c:v>
                </c:pt>
                <c:pt idx="108" formatCode="0">
                  <c:v>1435.8422519999999</c:v>
                </c:pt>
                <c:pt idx="109" formatCode="0">
                  <c:v>992.376216</c:v>
                </c:pt>
                <c:pt idx="114" formatCode="0">
                  <c:v>992.376216</c:v>
                </c:pt>
                <c:pt idx="116" formatCode="0">
                  <c:v>1435.8422519999999</c:v>
                </c:pt>
                <c:pt idx="117" formatCode="0">
                  <c:v>1435.8422519999999</c:v>
                </c:pt>
                <c:pt idx="118" formatCode="0">
                  <c:v>992.376216</c:v>
                </c:pt>
                <c:pt idx="123" formatCode="0">
                  <c:v>992.376216</c:v>
                </c:pt>
                <c:pt idx="125" formatCode="0">
                  <c:v>1435.8422519999999</c:v>
                </c:pt>
                <c:pt idx="126" formatCode="0">
                  <c:v>1435.6754099999998</c:v>
                </c:pt>
                <c:pt idx="127" formatCode="0">
                  <c:v>992.376216</c:v>
                </c:pt>
                <c:pt idx="128" formatCode="0">
                  <c:v>992.376216</c:v>
                </c:pt>
                <c:pt idx="129" formatCode="0">
                  <c:v>1409.9817419999997</c:v>
                </c:pt>
                <c:pt idx="130" formatCode="0">
                  <c:v>1409.9817419999997</c:v>
                </c:pt>
                <c:pt idx="131" formatCode="0">
                  <c:v>991.70884799999999</c:v>
                </c:pt>
                <c:pt idx="132" formatCode="0">
                  <c:v>992.376216</c:v>
                </c:pt>
                <c:pt idx="134" formatCode="0">
                  <c:v>1435.8422519999999</c:v>
                </c:pt>
                <c:pt idx="135" formatCode="0">
                  <c:v>1435.6754099999998</c:v>
                </c:pt>
                <c:pt idx="136" formatCode="0">
                  <c:v>992.376216</c:v>
                </c:pt>
                <c:pt idx="137" formatCode="0">
                  <c:v>992.376216</c:v>
                </c:pt>
                <c:pt idx="138" formatCode="0">
                  <c:v>1409.9817419999997</c:v>
                </c:pt>
                <c:pt idx="139" formatCode="0">
                  <c:v>1409.9817419999997</c:v>
                </c:pt>
                <c:pt idx="140" formatCode="0">
                  <c:v>991.70884799999999</c:v>
                </c:pt>
                <c:pt idx="143" formatCode="0">
                  <c:v>1516.0932540000001</c:v>
                </c:pt>
                <c:pt idx="144" formatCode="0">
                  <c:v>1515.926412</c:v>
                </c:pt>
                <c:pt idx="145" formatCode="0">
                  <c:v>992.376216</c:v>
                </c:pt>
                <c:pt idx="146" formatCode="0">
                  <c:v>992.376216</c:v>
                </c:pt>
                <c:pt idx="147" formatCode="0">
                  <c:v>1490.2327439999999</c:v>
                </c:pt>
                <c:pt idx="148" formatCode="0">
                  <c:v>1490.2327439999999</c:v>
                </c:pt>
                <c:pt idx="149" formatCode="0">
                  <c:v>991.70884799999999</c:v>
                </c:pt>
                <c:pt idx="150" formatCode="0">
                  <c:v>992.376216</c:v>
                </c:pt>
                <c:pt idx="152" formatCode="0">
                  <c:v>1516.0932540000001</c:v>
                </c:pt>
                <c:pt idx="153" formatCode="0">
                  <c:v>1515.926412</c:v>
                </c:pt>
                <c:pt idx="154" formatCode="0">
                  <c:v>992.376216</c:v>
                </c:pt>
                <c:pt idx="155" formatCode="0">
                  <c:v>992.376216</c:v>
                </c:pt>
                <c:pt idx="156" formatCode="0">
                  <c:v>1490.2327439999999</c:v>
                </c:pt>
                <c:pt idx="157" formatCode="0">
                  <c:v>1490.2327439999999</c:v>
                </c:pt>
                <c:pt idx="158" formatCode="0">
                  <c:v>991.70884799999999</c:v>
                </c:pt>
                <c:pt idx="161" formatCode="0">
                  <c:v>1577.3242679999998</c:v>
                </c:pt>
                <c:pt idx="162" formatCode="0">
                  <c:v>1577.157426</c:v>
                </c:pt>
                <c:pt idx="163" formatCode="0">
                  <c:v>1044.2640779999999</c:v>
                </c:pt>
                <c:pt idx="164" formatCode="0">
                  <c:v>1044.2640779999999</c:v>
                </c:pt>
                <c:pt idx="165" formatCode="0">
                  <c:v>1551.2969159999998</c:v>
                </c:pt>
                <c:pt idx="166" formatCode="0">
                  <c:v>1551.2969159999998</c:v>
                </c:pt>
                <c:pt idx="167" formatCode="0">
                  <c:v>1043.59671</c:v>
                </c:pt>
                <c:pt idx="168" formatCode="0">
                  <c:v>1044.2640779999999</c:v>
                </c:pt>
                <c:pt idx="170" formatCode="0">
                  <c:v>1577.3242679999998</c:v>
                </c:pt>
                <c:pt idx="171" formatCode="0">
                  <c:v>1577.157426</c:v>
                </c:pt>
                <c:pt idx="172" formatCode="0">
                  <c:v>1044.2640779999999</c:v>
                </c:pt>
                <c:pt idx="173" formatCode="0">
                  <c:v>1044.2640779999999</c:v>
                </c:pt>
                <c:pt idx="174" formatCode="0">
                  <c:v>1551.2969159999998</c:v>
                </c:pt>
                <c:pt idx="175" formatCode="0">
                  <c:v>1551.2969159999998</c:v>
                </c:pt>
                <c:pt idx="176" formatCode="0">
                  <c:v>1043.59671</c:v>
                </c:pt>
                <c:pt idx="184" formatCode="0">
                  <c:v>992.376216</c:v>
                </c:pt>
                <c:pt idx="189" formatCode="0">
                  <c:v>992.376216</c:v>
                </c:pt>
                <c:pt idx="191" formatCode="0">
                  <c:v>1562.6354444999999</c:v>
                </c:pt>
                <c:pt idx="192" formatCode="0">
                  <c:v>1562.6354444999999</c:v>
                </c:pt>
                <c:pt idx="193" formatCode="0">
                  <c:v>992.376216</c:v>
                </c:pt>
                <c:pt idx="198" formatCode="0">
                  <c:v>992.376216</c:v>
                </c:pt>
                <c:pt idx="200" formatCode="0">
                  <c:v>1435.8422519999999</c:v>
                </c:pt>
                <c:pt idx="201" formatCode="0">
                  <c:v>1435.8422519999999</c:v>
                </c:pt>
                <c:pt idx="202" formatCode="0">
                  <c:v>992.376216</c:v>
                </c:pt>
                <c:pt idx="207" formatCode="0">
                  <c:v>992.376216</c:v>
                </c:pt>
                <c:pt idx="209" formatCode="0">
                  <c:v>1435.8422519999999</c:v>
                </c:pt>
                <c:pt idx="210" formatCode="0">
                  <c:v>1435.8422519999999</c:v>
                </c:pt>
                <c:pt idx="211" formatCode="0">
                  <c:v>992.376216</c:v>
                </c:pt>
                <c:pt idx="216" formatCode="0">
                  <c:v>992.376216</c:v>
                </c:pt>
                <c:pt idx="218" formatCode="0">
                  <c:v>1435.8422519999999</c:v>
                </c:pt>
                <c:pt idx="219" formatCode="0">
                  <c:v>1435.8422519999999</c:v>
                </c:pt>
                <c:pt idx="220" formatCode="0">
                  <c:v>992.376216</c:v>
                </c:pt>
                <c:pt idx="221" formatCode="0">
                  <c:v>992.376216</c:v>
                </c:pt>
                <c:pt idx="222" formatCode="0">
                  <c:v>1409.9817419999997</c:v>
                </c:pt>
                <c:pt idx="223" formatCode="0">
                  <c:v>1409.9817419999997</c:v>
                </c:pt>
                <c:pt idx="224" formatCode="0">
                  <c:v>992.376216</c:v>
                </c:pt>
                <c:pt idx="225" formatCode="0">
                  <c:v>992.376216</c:v>
                </c:pt>
                <c:pt idx="227" formatCode="0">
                  <c:v>1435.8422519999999</c:v>
                </c:pt>
                <c:pt idx="228" formatCode="0">
                  <c:v>1435.8422519999999</c:v>
                </c:pt>
                <c:pt idx="230" formatCode="0">
                  <c:v>992.376216</c:v>
                </c:pt>
                <c:pt idx="231" formatCode="0">
                  <c:v>1409.9817419999997</c:v>
                </c:pt>
                <c:pt idx="232" formatCode="0">
                  <c:v>1409.9817419999997</c:v>
                </c:pt>
                <c:pt idx="233" formatCode="0">
                  <c:v>992.376216</c:v>
                </c:pt>
                <c:pt idx="234" formatCode="0">
                  <c:v>992.376216</c:v>
                </c:pt>
                <c:pt idx="236" formatCode="0">
                  <c:v>1516.0932540000001</c:v>
                </c:pt>
                <c:pt idx="237" formatCode="0">
                  <c:v>1516.0932540000001</c:v>
                </c:pt>
                <c:pt idx="238" formatCode="0">
                  <c:v>992.376216</c:v>
                </c:pt>
                <c:pt idx="239" formatCode="0">
                  <c:v>992.376216</c:v>
                </c:pt>
                <c:pt idx="240" formatCode="0">
                  <c:v>1490.2327439999999</c:v>
                </c:pt>
                <c:pt idx="241" formatCode="0">
                  <c:v>1490.2327439999999</c:v>
                </c:pt>
                <c:pt idx="242" formatCode="0">
                  <c:v>992.376216</c:v>
                </c:pt>
                <c:pt idx="243" formatCode="0">
                  <c:v>992.376216</c:v>
                </c:pt>
                <c:pt idx="245" formatCode="0">
                  <c:v>1516.0932540000001</c:v>
                </c:pt>
                <c:pt idx="246" formatCode="0">
                  <c:v>1516.0932540000001</c:v>
                </c:pt>
                <c:pt idx="248" formatCode="0">
                  <c:v>992.376216</c:v>
                </c:pt>
                <c:pt idx="249" formatCode="0">
                  <c:v>1490.2327439999999</c:v>
                </c:pt>
                <c:pt idx="250" formatCode="0">
                  <c:v>1490.2327439999999</c:v>
                </c:pt>
                <c:pt idx="251" formatCode="0">
                  <c:v>992.376216</c:v>
                </c:pt>
                <c:pt idx="252" formatCode="0">
                  <c:v>992.376216</c:v>
                </c:pt>
                <c:pt idx="254" formatCode="0">
                  <c:v>1577.3242679999998</c:v>
                </c:pt>
                <c:pt idx="255" formatCode="0">
                  <c:v>1577.3242679999998</c:v>
                </c:pt>
                <c:pt idx="256" formatCode="0">
                  <c:v>1044.2640779999999</c:v>
                </c:pt>
                <c:pt idx="257" formatCode="0">
                  <c:v>1044.2640779999999</c:v>
                </c:pt>
                <c:pt idx="258" formatCode="0">
                  <c:v>1551.2969159999998</c:v>
                </c:pt>
                <c:pt idx="259" formatCode="0">
                  <c:v>1551.2969159999998</c:v>
                </c:pt>
                <c:pt idx="260" formatCode="0">
                  <c:v>1044.2640779999999</c:v>
                </c:pt>
                <c:pt idx="261" formatCode="0">
                  <c:v>1044.2640779999999</c:v>
                </c:pt>
                <c:pt idx="263" formatCode="0">
                  <c:v>1577.3242679999998</c:v>
                </c:pt>
                <c:pt idx="264" formatCode="0">
                  <c:v>1577.3242679999998</c:v>
                </c:pt>
                <c:pt idx="266" formatCode="0">
                  <c:v>1044.2640779999999</c:v>
                </c:pt>
                <c:pt idx="267" formatCode="0">
                  <c:v>1551.2969159999998</c:v>
                </c:pt>
                <c:pt idx="268" formatCode="0">
                  <c:v>1551.2969159999998</c:v>
                </c:pt>
                <c:pt idx="269" formatCode="0">
                  <c:v>1044.2640779999999</c:v>
                </c:pt>
                <c:pt idx="270" formatCode="0">
                  <c:v>1044.2640779999999</c:v>
                </c:pt>
                <c:pt idx="272" formatCode="0">
                  <c:v>1577.3242679999998</c:v>
                </c:pt>
                <c:pt idx="273" formatCode="0">
                  <c:v>1577.3242679999998</c:v>
                </c:pt>
                <c:pt idx="274" formatCode="0">
                  <c:v>1101.6577259999999</c:v>
                </c:pt>
                <c:pt idx="275" formatCode="0">
                  <c:v>1101.6577259999999</c:v>
                </c:pt>
                <c:pt idx="276" formatCode="0">
                  <c:v>1551.2969159999998</c:v>
                </c:pt>
                <c:pt idx="277" formatCode="0">
                  <c:v>1551.2969159999998</c:v>
                </c:pt>
                <c:pt idx="278" formatCode="0">
                  <c:v>1101.6577259999999</c:v>
                </c:pt>
                <c:pt idx="279" formatCode="0">
                  <c:v>1101.6577259999999</c:v>
                </c:pt>
                <c:pt idx="281" formatCode="0">
                  <c:v>1577.3242679999998</c:v>
                </c:pt>
                <c:pt idx="282" formatCode="0">
                  <c:v>1577.3242679999998</c:v>
                </c:pt>
                <c:pt idx="284" formatCode="0">
                  <c:v>1101.6577259999999</c:v>
                </c:pt>
                <c:pt idx="285" formatCode="0">
                  <c:v>1551.2969159999998</c:v>
                </c:pt>
                <c:pt idx="286" formatCode="0">
                  <c:v>1551.2969159999998</c:v>
                </c:pt>
                <c:pt idx="287" formatCode="0">
                  <c:v>1101.6577259999999</c:v>
                </c:pt>
                <c:pt idx="288" formatCode="0">
                  <c:v>1101.6577259999999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6C-4D94-9846-AC44202D18B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Report!$G$173:$G$489</c:f>
              <c:numCache>
                <c:formatCode>0</c:formatCode>
                <c:ptCount val="317"/>
                <c:pt idx="0">
                  <c:v>0</c:v>
                </c:pt>
                <c:pt idx="5">
                  <c:v>0</c:v>
                </c:pt>
                <c:pt idx="14">
                  <c:v>0</c:v>
                </c:pt>
                <c:pt idx="23">
                  <c:v>0</c:v>
                </c:pt>
                <c:pt idx="32">
                  <c:v>0</c:v>
                </c:pt>
                <c:pt idx="41">
                  <c:v>0</c:v>
                </c:pt>
                <c:pt idx="50">
                  <c:v>0</c:v>
                </c:pt>
                <c:pt idx="59">
                  <c:v>0</c:v>
                </c:pt>
                <c:pt idx="68">
                  <c:v>0</c:v>
                </c:pt>
                <c:pt idx="77">
                  <c:v>0</c:v>
                </c:pt>
                <c:pt idx="89">
                  <c:v>0</c:v>
                </c:pt>
                <c:pt idx="98">
                  <c:v>0</c:v>
                </c:pt>
                <c:pt idx="107">
                  <c:v>0</c:v>
                </c:pt>
                <c:pt idx="116">
                  <c:v>0</c:v>
                </c:pt>
                <c:pt idx="125">
                  <c:v>0</c:v>
                </c:pt>
                <c:pt idx="134">
                  <c:v>0</c:v>
                </c:pt>
                <c:pt idx="143">
                  <c:v>0</c:v>
                </c:pt>
                <c:pt idx="152">
                  <c:v>0</c:v>
                </c:pt>
                <c:pt idx="161">
                  <c:v>0</c:v>
                </c:pt>
                <c:pt idx="170">
                  <c:v>0</c:v>
                </c:pt>
                <c:pt idx="182">
                  <c:v>0</c:v>
                </c:pt>
                <c:pt idx="191">
                  <c:v>0</c:v>
                </c:pt>
                <c:pt idx="200">
                  <c:v>0</c:v>
                </c:pt>
                <c:pt idx="209">
                  <c:v>0</c:v>
                </c:pt>
                <c:pt idx="218">
                  <c:v>0</c:v>
                </c:pt>
                <c:pt idx="227">
                  <c:v>0</c:v>
                </c:pt>
                <c:pt idx="236">
                  <c:v>0</c:v>
                </c:pt>
                <c:pt idx="245">
                  <c:v>0</c:v>
                </c:pt>
                <c:pt idx="254">
                  <c:v>0</c:v>
                </c:pt>
                <c:pt idx="263">
                  <c:v>0</c:v>
                </c:pt>
                <c:pt idx="272">
                  <c:v>0</c:v>
                </c:pt>
                <c:pt idx="281">
                  <c:v>0</c:v>
                </c:pt>
                <c:pt idx="3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6C-4D94-9846-AC44202D18B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Report!$H$173:$H$489</c:f>
              <c:numCache>
                <c:formatCode>0</c:formatCode>
                <c:ptCount val="317"/>
              </c:numCache>
            </c:numRef>
          </c:val>
          <c:extLst>
            <c:ext xmlns:c16="http://schemas.microsoft.com/office/drawing/2014/chart" uri="{C3380CC4-5D6E-409C-BE32-E72D297353CC}">
              <c16:uniqueId val="{00000003-E46C-4D94-9846-AC44202D18B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Report!$I$170:$I$484</c:f>
              <c:numCache>
                <c:formatCode>General</c:formatCode>
                <c:ptCount val="315"/>
                <c:pt idx="10" formatCode="0.000">
                  <c:v>3.3250000000000002</c:v>
                </c:pt>
                <c:pt idx="12">
                  <c:v>1</c:v>
                </c:pt>
                <c:pt idx="15" formatCode="0">
                  <c:v>57.618400000000001</c:v>
                </c:pt>
                <c:pt idx="21">
                  <c:v>1</c:v>
                </c:pt>
                <c:pt idx="30">
                  <c:v>4</c:v>
                </c:pt>
                <c:pt idx="39">
                  <c:v>1</c:v>
                </c:pt>
                <c:pt idx="48">
                  <c:v>8</c:v>
                </c:pt>
                <c:pt idx="57">
                  <c:v>2</c:v>
                </c:pt>
                <c:pt idx="66">
                  <c:v>23</c:v>
                </c:pt>
                <c:pt idx="75">
                  <c:v>6</c:v>
                </c:pt>
                <c:pt idx="87">
                  <c:v>1</c:v>
                </c:pt>
                <c:pt idx="96">
                  <c:v>2</c:v>
                </c:pt>
                <c:pt idx="105">
                  <c:v>2</c:v>
                </c:pt>
                <c:pt idx="114">
                  <c:v>1</c:v>
                </c:pt>
                <c:pt idx="123">
                  <c:v>4</c:v>
                </c:pt>
                <c:pt idx="124" formatCode="0">
                  <c:v>83.111999999999995</c:v>
                </c:pt>
                <c:pt idx="126" formatCode="0">
                  <c:v>56.775400000000005</c:v>
                </c:pt>
                <c:pt idx="132">
                  <c:v>1</c:v>
                </c:pt>
                <c:pt idx="150">
                  <c:v>2</c:v>
                </c:pt>
                <c:pt idx="159">
                  <c:v>23</c:v>
                </c:pt>
                <c:pt idx="168">
                  <c:v>6</c:v>
                </c:pt>
                <c:pt idx="177" formatCode="0">
                  <c:v>10.763999999999999</c:v>
                </c:pt>
                <c:pt idx="180">
                  <c:v>1</c:v>
                </c:pt>
                <c:pt idx="189">
                  <c:v>1</c:v>
                </c:pt>
                <c:pt idx="198">
                  <c:v>1</c:v>
                </c:pt>
                <c:pt idx="207">
                  <c:v>1</c:v>
                </c:pt>
                <c:pt idx="216">
                  <c:v>4</c:v>
                </c:pt>
                <c:pt idx="221" formatCode="0">
                  <c:v>80.557900000000018</c:v>
                </c:pt>
                <c:pt idx="225">
                  <c:v>1</c:v>
                </c:pt>
                <c:pt idx="234">
                  <c:v>8</c:v>
                </c:pt>
                <c:pt idx="243">
                  <c:v>2</c:v>
                </c:pt>
                <c:pt idx="252">
                  <c:v>8</c:v>
                </c:pt>
                <c:pt idx="261">
                  <c:v>2</c:v>
                </c:pt>
                <c:pt idx="270">
                  <c:v>15</c:v>
                </c:pt>
                <c:pt idx="273" formatCode="0">
                  <c:v>12161.674683211693</c:v>
                </c:pt>
                <c:pt idx="27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6C-4D94-9846-AC44202D18B3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Report!$J$170:$J$484</c:f>
              <c:numCache>
                <c:formatCode>0.0000</c:formatCode>
                <c:ptCount val="315"/>
                <c:pt idx="0" formatCode="General">
                  <c:v>1.1567567567567567</c:v>
                </c:pt>
                <c:pt idx="1">
                  <c:v>1.1296296296296295</c:v>
                </c:pt>
                <c:pt idx="23" formatCode="General">
                  <c:v>9251.4183420886657</c:v>
                </c:pt>
                <c:pt idx="24" formatCode="General">
                  <c:v>11689.115290122994</c:v>
                </c:pt>
                <c:pt idx="124" formatCode="0.000">
                  <c:v>2.4856000000000003</c:v>
                </c:pt>
                <c:pt idx="126" formatCode="0.00">
                  <c:v>2.1945000000000001</c:v>
                </c:pt>
                <c:pt idx="168" formatCode="0.00">
                  <c:v>57.25</c:v>
                </c:pt>
                <c:pt idx="169" formatCode="0.00">
                  <c:v>57.290000000000006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6C-4D94-9846-AC44202D18B3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Report!$A$173:$D$489</c:f>
              <c:multiLvlStrCache>
                <c:ptCount val="317"/>
                <c:lvl>
                  <c:pt idx="0">
                    <c:v>Gross Carpet area</c:v>
                  </c:pt>
                  <c:pt idx="5">
                    <c:v>926</c:v>
                  </c:pt>
                  <c:pt idx="6">
                    <c:v>926</c:v>
                  </c:pt>
                  <c:pt idx="7">
                    <c:v>640</c:v>
                  </c:pt>
                  <c:pt idx="14">
                    <c:v>926</c:v>
                  </c:pt>
                  <c:pt idx="15">
                    <c:v>926</c:v>
                  </c:pt>
                  <c:pt idx="16">
                    <c:v>640</c:v>
                  </c:pt>
                  <c:pt idx="23">
                    <c:v>948</c:v>
                  </c:pt>
                  <c:pt idx="24">
                    <c:v>948</c:v>
                  </c:pt>
                  <c:pt idx="25">
                    <c:v>640</c:v>
                  </c:pt>
                  <c:pt idx="32">
                    <c:v>926</c:v>
                  </c:pt>
                  <c:pt idx="33">
                    <c:v>926</c:v>
                  </c:pt>
                  <c:pt idx="34">
                    <c:v>640</c:v>
                  </c:pt>
                  <c:pt idx="35">
                    <c:v>640</c:v>
                  </c:pt>
                  <c:pt idx="36">
                    <c:v>910</c:v>
                  </c:pt>
                  <c:pt idx="37">
                    <c:v>910</c:v>
                  </c:pt>
                  <c:pt idx="38">
                    <c:v>643</c:v>
                  </c:pt>
                  <c:pt idx="39">
                    <c:v>643</c:v>
                  </c:pt>
                  <c:pt idx="41">
                    <c:v>926</c:v>
                  </c:pt>
                  <c:pt idx="42">
                    <c:v>926</c:v>
                  </c:pt>
                  <c:pt idx="44">
                    <c:v>640</c:v>
                  </c:pt>
                  <c:pt idx="45">
                    <c:v>910</c:v>
                  </c:pt>
                  <c:pt idx="46">
                    <c:v>910</c:v>
                  </c:pt>
                  <c:pt idx="47">
                    <c:v>643</c:v>
                  </c:pt>
                  <c:pt idx="48">
                    <c:v>643</c:v>
                  </c:pt>
                  <c:pt idx="50">
                    <c:v>978</c:v>
                  </c:pt>
                  <c:pt idx="51">
                    <c:v>978</c:v>
                  </c:pt>
                  <c:pt idx="52">
                    <c:v>640</c:v>
                  </c:pt>
                  <c:pt idx="53">
                    <c:v>640</c:v>
                  </c:pt>
                  <c:pt idx="54">
                    <c:v>961</c:v>
                  </c:pt>
                  <c:pt idx="55">
                    <c:v>961</c:v>
                  </c:pt>
                  <c:pt idx="56">
                    <c:v>643</c:v>
                  </c:pt>
                  <c:pt idx="57">
                    <c:v>643</c:v>
                  </c:pt>
                  <c:pt idx="59">
                    <c:v>978</c:v>
                  </c:pt>
                  <c:pt idx="60">
                    <c:v>978</c:v>
                  </c:pt>
                  <c:pt idx="62">
                    <c:v>640</c:v>
                  </c:pt>
                  <c:pt idx="63">
                    <c:v>961</c:v>
                  </c:pt>
                  <c:pt idx="64">
                    <c:v>961</c:v>
                  </c:pt>
                  <c:pt idx="65">
                    <c:v>643</c:v>
                  </c:pt>
                  <c:pt idx="66">
                    <c:v>643</c:v>
                  </c:pt>
                  <c:pt idx="68">
                    <c:v>1018</c:v>
                  </c:pt>
                  <c:pt idx="69">
                    <c:v>1018</c:v>
                  </c:pt>
                  <c:pt idx="70">
                    <c:v>674</c:v>
                  </c:pt>
                  <c:pt idx="71">
                    <c:v>674</c:v>
                  </c:pt>
                  <c:pt idx="72">
                    <c:v>1001</c:v>
                  </c:pt>
                  <c:pt idx="73">
                    <c:v>1001</c:v>
                  </c:pt>
                  <c:pt idx="74">
                    <c:v>678</c:v>
                  </c:pt>
                  <c:pt idx="75">
                    <c:v>678</c:v>
                  </c:pt>
                  <c:pt idx="77">
                    <c:v>1018</c:v>
                  </c:pt>
                  <c:pt idx="78">
                    <c:v>1018</c:v>
                  </c:pt>
                  <c:pt idx="80">
                    <c:v>674</c:v>
                  </c:pt>
                  <c:pt idx="81">
                    <c:v>1001</c:v>
                  </c:pt>
                  <c:pt idx="82">
                    <c:v>1001</c:v>
                  </c:pt>
                  <c:pt idx="83">
                    <c:v>678</c:v>
                  </c:pt>
                  <c:pt idx="84">
                    <c:v>678</c:v>
                  </c:pt>
                  <c:pt idx="91">
                    <c:v>640</c:v>
                  </c:pt>
                  <c:pt idx="96">
                    <c:v>640</c:v>
                  </c:pt>
                  <c:pt idx="98">
                    <c:v>926</c:v>
                  </c:pt>
                  <c:pt idx="99">
                    <c:v>926</c:v>
                  </c:pt>
                  <c:pt idx="100">
                    <c:v>640</c:v>
                  </c:pt>
                  <c:pt idx="105">
                    <c:v>640</c:v>
                  </c:pt>
                  <c:pt idx="107">
                    <c:v>926</c:v>
                  </c:pt>
                  <c:pt idx="108">
                    <c:v>926</c:v>
                  </c:pt>
                  <c:pt idx="109">
                    <c:v>640</c:v>
                  </c:pt>
                  <c:pt idx="114">
                    <c:v>640</c:v>
                  </c:pt>
                  <c:pt idx="116">
                    <c:v>926</c:v>
                  </c:pt>
                  <c:pt idx="117">
                    <c:v>926</c:v>
                  </c:pt>
                  <c:pt idx="118">
                    <c:v>640</c:v>
                  </c:pt>
                  <c:pt idx="123">
                    <c:v>640</c:v>
                  </c:pt>
                  <c:pt idx="125">
                    <c:v>926</c:v>
                  </c:pt>
                  <c:pt idx="126">
                    <c:v>926</c:v>
                  </c:pt>
                  <c:pt idx="127">
                    <c:v>640</c:v>
                  </c:pt>
                  <c:pt idx="128">
                    <c:v>640</c:v>
                  </c:pt>
                  <c:pt idx="129">
                    <c:v>910</c:v>
                  </c:pt>
                  <c:pt idx="130">
                    <c:v>910</c:v>
                  </c:pt>
                  <c:pt idx="131">
                    <c:v>640</c:v>
                  </c:pt>
                  <c:pt idx="132">
                    <c:v>640</c:v>
                  </c:pt>
                  <c:pt idx="134">
                    <c:v>926</c:v>
                  </c:pt>
                  <c:pt idx="135">
                    <c:v>926</c:v>
                  </c:pt>
                  <c:pt idx="136">
                    <c:v>640</c:v>
                  </c:pt>
                  <c:pt idx="137">
                    <c:v>640</c:v>
                  </c:pt>
                  <c:pt idx="138">
                    <c:v>910</c:v>
                  </c:pt>
                  <c:pt idx="139">
                    <c:v>910</c:v>
                  </c:pt>
                  <c:pt idx="140">
                    <c:v>640</c:v>
                  </c:pt>
                  <c:pt idx="143">
                    <c:v>978</c:v>
                  </c:pt>
                  <c:pt idx="144">
                    <c:v>978</c:v>
                  </c:pt>
                  <c:pt idx="145">
                    <c:v>640</c:v>
                  </c:pt>
                  <c:pt idx="146">
                    <c:v>640</c:v>
                  </c:pt>
                  <c:pt idx="147">
                    <c:v>961</c:v>
                  </c:pt>
                  <c:pt idx="148">
                    <c:v>961</c:v>
                  </c:pt>
                  <c:pt idx="149">
                    <c:v>640</c:v>
                  </c:pt>
                  <c:pt idx="150">
                    <c:v>640</c:v>
                  </c:pt>
                  <c:pt idx="152">
                    <c:v>978</c:v>
                  </c:pt>
                  <c:pt idx="153">
                    <c:v>978</c:v>
                  </c:pt>
                  <c:pt idx="154">
                    <c:v>640</c:v>
                  </c:pt>
                  <c:pt idx="155">
                    <c:v>640</c:v>
                  </c:pt>
                  <c:pt idx="156">
                    <c:v>961</c:v>
                  </c:pt>
                  <c:pt idx="157">
                    <c:v>961</c:v>
                  </c:pt>
                  <c:pt idx="158">
                    <c:v>640</c:v>
                  </c:pt>
                  <c:pt idx="161">
                    <c:v>1018</c:v>
                  </c:pt>
                  <c:pt idx="162">
                    <c:v>1018</c:v>
                  </c:pt>
                  <c:pt idx="163">
                    <c:v>674</c:v>
                  </c:pt>
                  <c:pt idx="164">
                    <c:v>674</c:v>
                  </c:pt>
                  <c:pt idx="165">
                    <c:v>1001</c:v>
                  </c:pt>
                  <c:pt idx="166">
                    <c:v>1001</c:v>
                  </c:pt>
                  <c:pt idx="167">
                    <c:v>673</c:v>
                  </c:pt>
                  <c:pt idx="168">
                    <c:v>674</c:v>
                  </c:pt>
                  <c:pt idx="170">
                    <c:v>1018</c:v>
                  </c:pt>
                  <c:pt idx="171">
                    <c:v>1018</c:v>
                  </c:pt>
                  <c:pt idx="172">
                    <c:v>674</c:v>
                  </c:pt>
                  <c:pt idx="173">
                    <c:v>674</c:v>
                  </c:pt>
                  <c:pt idx="174">
                    <c:v>1001</c:v>
                  </c:pt>
                  <c:pt idx="175">
                    <c:v>1001</c:v>
                  </c:pt>
                  <c:pt idx="176">
                    <c:v>673</c:v>
                  </c:pt>
                  <c:pt idx="184">
                    <c:v>640</c:v>
                  </c:pt>
                  <c:pt idx="189">
                    <c:v>640</c:v>
                  </c:pt>
                  <c:pt idx="191">
                    <c:v>926</c:v>
                  </c:pt>
                  <c:pt idx="192">
                    <c:v>926</c:v>
                  </c:pt>
                  <c:pt idx="193">
                    <c:v>640</c:v>
                  </c:pt>
                  <c:pt idx="198">
                    <c:v>640</c:v>
                  </c:pt>
                  <c:pt idx="200">
                    <c:v>926</c:v>
                  </c:pt>
                  <c:pt idx="201">
                    <c:v>926</c:v>
                  </c:pt>
                  <c:pt idx="202">
                    <c:v>640</c:v>
                  </c:pt>
                  <c:pt idx="207">
                    <c:v>640</c:v>
                  </c:pt>
                  <c:pt idx="209">
                    <c:v>926</c:v>
                  </c:pt>
                  <c:pt idx="210">
                    <c:v>926</c:v>
                  </c:pt>
                  <c:pt idx="211">
                    <c:v>640</c:v>
                  </c:pt>
                  <c:pt idx="216">
                    <c:v>640</c:v>
                  </c:pt>
                  <c:pt idx="218">
                    <c:v>926</c:v>
                  </c:pt>
                  <c:pt idx="219">
                    <c:v>926</c:v>
                  </c:pt>
                  <c:pt idx="220">
                    <c:v>640</c:v>
                  </c:pt>
                  <c:pt idx="221">
                    <c:v>640</c:v>
                  </c:pt>
                  <c:pt idx="222">
                    <c:v>910</c:v>
                  </c:pt>
                  <c:pt idx="223">
                    <c:v>910</c:v>
                  </c:pt>
                  <c:pt idx="224">
                    <c:v>640</c:v>
                  </c:pt>
                  <c:pt idx="225">
                    <c:v>640</c:v>
                  </c:pt>
                  <c:pt idx="227">
                    <c:v>926</c:v>
                  </c:pt>
                  <c:pt idx="228">
                    <c:v>926</c:v>
                  </c:pt>
                  <c:pt idx="230">
                    <c:v>640</c:v>
                  </c:pt>
                  <c:pt idx="231">
                    <c:v>910</c:v>
                  </c:pt>
                  <c:pt idx="232">
                    <c:v>910</c:v>
                  </c:pt>
                  <c:pt idx="233">
                    <c:v>640</c:v>
                  </c:pt>
                  <c:pt idx="234">
                    <c:v>640</c:v>
                  </c:pt>
                  <c:pt idx="236">
                    <c:v>978</c:v>
                  </c:pt>
                  <c:pt idx="237">
                    <c:v>978</c:v>
                  </c:pt>
                  <c:pt idx="238">
                    <c:v>640</c:v>
                  </c:pt>
                  <c:pt idx="239">
                    <c:v>640</c:v>
                  </c:pt>
                  <c:pt idx="240">
                    <c:v>961</c:v>
                  </c:pt>
                  <c:pt idx="241">
                    <c:v>961</c:v>
                  </c:pt>
                  <c:pt idx="242">
                    <c:v>640</c:v>
                  </c:pt>
                  <c:pt idx="243">
                    <c:v>640</c:v>
                  </c:pt>
                  <c:pt idx="245">
                    <c:v>978</c:v>
                  </c:pt>
                  <c:pt idx="246">
                    <c:v>978</c:v>
                  </c:pt>
                  <c:pt idx="248">
                    <c:v>640</c:v>
                  </c:pt>
                  <c:pt idx="249">
                    <c:v>961</c:v>
                  </c:pt>
                  <c:pt idx="250">
                    <c:v>961</c:v>
                  </c:pt>
                  <c:pt idx="251">
                    <c:v>640</c:v>
                  </c:pt>
                  <c:pt idx="252">
                    <c:v>640</c:v>
                  </c:pt>
                  <c:pt idx="254">
                    <c:v>1018</c:v>
                  </c:pt>
                  <c:pt idx="255">
                    <c:v>1018</c:v>
                  </c:pt>
                  <c:pt idx="256">
                    <c:v>674</c:v>
                  </c:pt>
                  <c:pt idx="257">
                    <c:v>674</c:v>
                  </c:pt>
                  <c:pt idx="258">
                    <c:v>1001</c:v>
                  </c:pt>
                  <c:pt idx="259">
                    <c:v>1001</c:v>
                  </c:pt>
                  <c:pt idx="260">
                    <c:v>674</c:v>
                  </c:pt>
                  <c:pt idx="261">
                    <c:v>674</c:v>
                  </c:pt>
                  <c:pt idx="263">
                    <c:v>1018</c:v>
                  </c:pt>
                  <c:pt idx="264">
                    <c:v>1018</c:v>
                  </c:pt>
                  <c:pt idx="266">
                    <c:v>674</c:v>
                  </c:pt>
                  <c:pt idx="267">
                    <c:v>1001</c:v>
                  </c:pt>
                  <c:pt idx="268">
                    <c:v>1001</c:v>
                  </c:pt>
                  <c:pt idx="269">
                    <c:v>674</c:v>
                  </c:pt>
                  <c:pt idx="270">
                    <c:v>674</c:v>
                  </c:pt>
                  <c:pt idx="272">
                    <c:v>1018</c:v>
                  </c:pt>
                  <c:pt idx="273">
                    <c:v>1018</c:v>
                  </c:pt>
                  <c:pt idx="274">
                    <c:v>711</c:v>
                  </c:pt>
                  <c:pt idx="275">
                    <c:v>711</c:v>
                  </c:pt>
                  <c:pt idx="276">
                    <c:v>1001</c:v>
                  </c:pt>
                  <c:pt idx="277">
                    <c:v>1001</c:v>
                  </c:pt>
                  <c:pt idx="278">
                    <c:v>711</c:v>
                  </c:pt>
                  <c:pt idx="279">
                    <c:v>711</c:v>
                  </c:pt>
                  <c:pt idx="281">
                    <c:v>1018</c:v>
                  </c:pt>
                  <c:pt idx="282">
                    <c:v>1018</c:v>
                  </c:pt>
                  <c:pt idx="284">
                    <c:v>711</c:v>
                  </c:pt>
                  <c:pt idx="285">
                    <c:v>1001</c:v>
                  </c:pt>
                  <c:pt idx="286">
                    <c:v>1001</c:v>
                  </c:pt>
                  <c:pt idx="287">
                    <c:v>711</c:v>
                  </c:pt>
                  <c:pt idx="288">
                    <c:v>711</c:v>
                  </c:pt>
                  <c:pt idx="316">
                    <c:v>Sunteck Sky Park 1, 2 &amp; 3</c:v>
                  </c:pt>
                </c:lvl>
                <c:lvl>
                  <c:pt idx="0">
                    <c:v>Description</c:v>
                  </c:pt>
                  <c:pt idx="5">
                    <c:v>3BHK</c:v>
                  </c:pt>
                  <c:pt idx="6">
                    <c:v>3BHK</c:v>
                  </c:pt>
                  <c:pt idx="7">
                    <c:v>2BHK</c:v>
                  </c:pt>
                  <c:pt idx="8">
                    <c:v>Part Commercial Area &amp; Parking</c:v>
                  </c:pt>
                  <c:pt idx="14">
                    <c:v>3BHK</c:v>
                  </c:pt>
                  <c:pt idx="15">
                    <c:v>3BHK</c:v>
                  </c:pt>
                  <c:pt idx="16">
                    <c:v>2BHK</c:v>
                  </c:pt>
                  <c:pt idx="17">
                    <c:v>Parking Area</c:v>
                  </c:pt>
                  <c:pt idx="23">
                    <c:v>3BHK</c:v>
                  </c:pt>
                  <c:pt idx="24">
                    <c:v>3BHK</c:v>
                  </c:pt>
                  <c:pt idx="25">
                    <c:v>2BHK</c:v>
                  </c:pt>
                  <c:pt idx="26">
                    <c:v>Society Office</c:v>
                  </c:pt>
                  <c:pt idx="27">
                    <c:v>Parking/E-deck (Landscaped Garden)</c:v>
                  </c:pt>
                  <c:pt idx="30">
                    <c:v>Void</c:v>
                  </c:pt>
                  <c:pt idx="32">
                    <c:v>3BHK</c:v>
                  </c:pt>
                  <c:pt idx="33">
                    <c:v>3BHK</c:v>
                  </c:pt>
                  <c:pt idx="34">
                    <c:v>2BHK</c:v>
                  </c:pt>
                  <c:pt idx="35">
                    <c:v>2BHK</c:v>
                  </c:pt>
                  <c:pt idx="36">
                    <c:v>3BHK</c:v>
                  </c:pt>
                  <c:pt idx="37">
                    <c:v>3BHK</c:v>
                  </c:pt>
                  <c:pt idx="38">
                    <c:v>2BHK</c:v>
                  </c:pt>
                  <c:pt idx="39">
                    <c:v>2BHK</c:v>
                  </c:pt>
                  <c:pt idx="41">
                    <c:v>3BHK</c:v>
                  </c:pt>
                  <c:pt idx="42">
                    <c:v>3BHK</c:v>
                  </c:pt>
                  <c:pt idx="43">
                    <c:v>Refuge Area</c:v>
                  </c:pt>
                  <c:pt idx="44">
                    <c:v>2BHK</c:v>
                  </c:pt>
                  <c:pt idx="45">
                    <c:v>3BHK</c:v>
                  </c:pt>
                  <c:pt idx="46">
                    <c:v>3BHK</c:v>
                  </c:pt>
                  <c:pt idx="47">
                    <c:v>2BHK</c:v>
                  </c:pt>
                  <c:pt idx="48">
                    <c:v>2BHK</c:v>
                  </c:pt>
                  <c:pt idx="50">
                    <c:v>3BHK</c:v>
                  </c:pt>
                  <c:pt idx="51">
                    <c:v>3BHK</c:v>
                  </c:pt>
                  <c:pt idx="52">
                    <c:v>2BHK</c:v>
                  </c:pt>
                  <c:pt idx="53">
                    <c:v>2BHK</c:v>
                  </c:pt>
                  <c:pt idx="54">
                    <c:v>3BHK</c:v>
                  </c:pt>
                  <c:pt idx="55">
                    <c:v>3BHK</c:v>
                  </c:pt>
                  <c:pt idx="56">
                    <c:v>2BHK</c:v>
                  </c:pt>
                  <c:pt idx="57">
                    <c:v>2BHK</c:v>
                  </c:pt>
                  <c:pt idx="59">
                    <c:v>3BHK</c:v>
                  </c:pt>
                  <c:pt idx="60">
                    <c:v>3BHK</c:v>
                  </c:pt>
                  <c:pt idx="61">
                    <c:v>Refuge Area</c:v>
                  </c:pt>
                  <c:pt idx="62">
                    <c:v>2BHK</c:v>
                  </c:pt>
                  <c:pt idx="63">
                    <c:v>3BHK</c:v>
                  </c:pt>
                  <c:pt idx="64">
                    <c:v>3BHK</c:v>
                  </c:pt>
                  <c:pt idx="65">
                    <c:v>2BHK</c:v>
                  </c:pt>
                  <c:pt idx="66">
                    <c:v>2BHK</c:v>
                  </c:pt>
                  <c:pt idx="68">
                    <c:v>3BHK</c:v>
                  </c:pt>
                  <c:pt idx="69">
                    <c:v>3BHK</c:v>
                  </c:pt>
                  <c:pt idx="70">
                    <c:v>2BHK</c:v>
                  </c:pt>
                  <c:pt idx="71">
                    <c:v>2BHK</c:v>
                  </c:pt>
                  <c:pt idx="72">
                    <c:v>3BHK</c:v>
                  </c:pt>
                  <c:pt idx="73">
                    <c:v>3BHK</c:v>
                  </c:pt>
                  <c:pt idx="74">
                    <c:v>2BHK</c:v>
                  </c:pt>
                  <c:pt idx="75">
                    <c:v>2BHK</c:v>
                  </c:pt>
                  <c:pt idx="77">
                    <c:v>3BHK</c:v>
                  </c:pt>
                  <c:pt idx="78">
                    <c:v>3BHK</c:v>
                  </c:pt>
                  <c:pt idx="79">
                    <c:v>Refuge Area</c:v>
                  </c:pt>
                  <c:pt idx="80">
                    <c:v>2BHK</c:v>
                  </c:pt>
                  <c:pt idx="81">
                    <c:v>3BHK</c:v>
                  </c:pt>
                  <c:pt idx="82">
                    <c:v>3BHK</c:v>
                  </c:pt>
                  <c:pt idx="83">
                    <c:v>2BHK</c:v>
                  </c:pt>
                  <c:pt idx="84">
                    <c:v>2BHK</c:v>
                  </c:pt>
                  <c:pt idx="89">
                    <c:v>Entrance Lobby Below</c:v>
                  </c:pt>
                  <c:pt idx="91">
                    <c:v>2BHK</c:v>
                  </c:pt>
                  <c:pt idx="92">
                    <c:v>Drivers Room</c:v>
                  </c:pt>
                  <c:pt idx="93">
                    <c:v>Podium For Parking</c:v>
                  </c:pt>
                  <c:pt idx="96">
                    <c:v>2BHK</c:v>
                  </c:pt>
                  <c:pt idx="98">
                    <c:v>3BHK</c:v>
                  </c:pt>
                  <c:pt idx="99">
                    <c:v>3BHK</c:v>
                  </c:pt>
                  <c:pt idx="100">
                    <c:v>2BHK</c:v>
                  </c:pt>
                  <c:pt idx="101">
                    <c:v>Podium For Parking</c:v>
                  </c:pt>
                  <c:pt idx="105">
                    <c:v>2BHK</c:v>
                  </c:pt>
                  <c:pt idx="107">
                    <c:v>3BHK</c:v>
                  </c:pt>
                  <c:pt idx="108">
                    <c:v>3BHK</c:v>
                  </c:pt>
                  <c:pt idx="109">
                    <c:v>2BHK</c:v>
                  </c:pt>
                  <c:pt idx="110">
                    <c:v>Podium For Parking</c:v>
                  </c:pt>
                  <c:pt idx="114">
                    <c:v>2BHK</c:v>
                  </c:pt>
                  <c:pt idx="116">
                    <c:v>3BHK</c:v>
                  </c:pt>
                  <c:pt idx="117">
                    <c:v>3BHK</c:v>
                  </c:pt>
                  <c:pt idx="118">
                    <c:v>2BHK</c:v>
                  </c:pt>
                  <c:pt idx="119">
                    <c:v>Society Office</c:v>
                  </c:pt>
                  <c:pt idx="120">
                    <c:v>Podium For Parking/E-Deck (Landscaped Garden)</c:v>
                  </c:pt>
                  <c:pt idx="123">
                    <c:v>2BHK</c:v>
                  </c:pt>
                  <c:pt idx="125">
                    <c:v>3BHK</c:v>
                  </c:pt>
                  <c:pt idx="126">
                    <c:v>3BHK</c:v>
                  </c:pt>
                  <c:pt idx="127">
                    <c:v>2BHK</c:v>
                  </c:pt>
                  <c:pt idx="128">
                    <c:v>2BHK</c:v>
                  </c:pt>
                  <c:pt idx="129">
                    <c:v>3BHK</c:v>
                  </c:pt>
                  <c:pt idx="130">
                    <c:v>3BHK</c:v>
                  </c:pt>
                  <c:pt idx="131">
                    <c:v>2BHK</c:v>
                  </c:pt>
                  <c:pt idx="132">
                    <c:v>2BHK</c:v>
                  </c:pt>
                  <c:pt idx="134">
                    <c:v>3BHK</c:v>
                  </c:pt>
                  <c:pt idx="135">
                    <c:v>3BHK</c:v>
                  </c:pt>
                  <c:pt idx="136">
                    <c:v>2BHK</c:v>
                  </c:pt>
                  <c:pt idx="137">
                    <c:v>2BHK</c:v>
                  </c:pt>
                  <c:pt idx="138">
                    <c:v>3BHK</c:v>
                  </c:pt>
                  <c:pt idx="139">
                    <c:v>3BHK</c:v>
                  </c:pt>
                  <c:pt idx="140">
                    <c:v>2BHK</c:v>
                  </c:pt>
                  <c:pt idx="141">
                    <c:v>Refuge Area</c:v>
                  </c:pt>
                  <c:pt idx="143">
                    <c:v>3BHK</c:v>
                  </c:pt>
                  <c:pt idx="144">
                    <c:v>3BHK</c:v>
                  </c:pt>
                  <c:pt idx="145">
                    <c:v>2BHK</c:v>
                  </c:pt>
                  <c:pt idx="146">
                    <c:v>2BHK</c:v>
                  </c:pt>
                  <c:pt idx="147">
                    <c:v>3BHK</c:v>
                  </c:pt>
                  <c:pt idx="148">
                    <c:v>3BHK</c:v>
                  </c:pt>
                  <c:pt idx="149">
                    <c:v>2BHK</c:v>
                  </c:pt>
                  <c:pt idx="150">
                    <c:v>2BHK</c:v>
                  </c:pt>
                  <c:pt idx="152">
                    <c:v>3BHK</c:v>
                  </c:pt>
                  <c:pt idx="153">
                    <c:v>3BHK</c:v>
                  </c:pt>
                  <c:pt idx="154">
                    <c:v>2BHK</c:v>
                  </c:pt>
                  <c:pt idx="155">
                    <c:v>2BHK</c:v>
                  </c:pt>
                  <c:pt idx="156">
                    <c:v>3BHK</c:v>
                  </c:pt>
                  <c:pt idx="157">
                    <c:v>3BHK</c:v>
                  </c:pt>
                  <c:pt idx="158">
                    <c:v>2BHK</c:v>
                  </c:pt>
                  <c:pt idx="159">
                    <c:v>Refuge Area</c:v>
                  </c:pt>
                  <c:pt idx="161">
                    <c:v>3BHK</c:v>
                  </c:pt>
                  <c:pt idx="162">
                    <c:v>3BHK</c:v>
                  </c:pt>
                  <c:pt idx="163">
                    <c:v>2BHK</c:v>
                  </c:pt>
                  <c:pt idx="164">
                    <c:v>2BHK</c:v>
                  </c:pt>
                  <c:pt idx="165">
                    <c:v>3BHK</c:v>
                  </c:pt>
                  <c:pt idx="166">
                    <c:v>3BHK</c:v>
                  </c:pt>
                  <c:pt idx="167">
                    <c:v>2BHK</c:v>
                  </c:pt>
                  <c:pt idx="168">
                    <c:v>2BHK</c:v>
                  </c:pt>
                  <c:pt idx="170">
                    <c:v>3BHK</c:v>
                  </c:pt>
                  <c:pt idx="171">
                    <c:v>3BHK</c:v>
                  </c:pt>
                  <c:pt idx="172">
                    <c:v>2BHK</c:v>
                  </c:pt>
                  <c:pt idx="173">
                    <c:v>2BHK</c:v>
                  </c:pt>
                  <c:pt idx="174">
                    <c:v>3BHK</c:v>
                  </c:pt>
                  <c:pt idx="175">
                    <c:v>3BHK</c:v>
                  </c:pt>
                  <c:pt idx="176">
                    <c:v>2BHK</c:v>
                  </c:pt>
                  <c:pt idx="177">
                    <c:v>Refuge Area</c:v>
                  </c:pt>
                  <c:pt idx="182">
                    <c:v>Entrance Lobby Below</c:v>
                  </c:pt>
                  <c:pt idx="184">
                    <c:v>2BHK</c:v>
                  </c:pt>
                  <c:pt idx="185">
                    <c:v>Drivers Room</c:v>
                  </c:pt>
                  <c:pt idx="186">
                    <c:v>Parking Area </c:v>
                  </c:pt>
                  <c:pt idx="189">
                    <c:v>2BHK</c:v>
                  </c:pt>
                  <c:pt idx="191">
                    <c:v>3BHK</c:v>
                  </c:pt>
                  <c:pt idx="192">
                    <c:v>3BHK</c:v>
                  </c:pt>
                  <c:pt idx="193">
                    <c:v>2BHK</c:v>
                  </c:pt>
                  <c:pt idx="194">
                    <c:v>Parking Area</c:v>
                  </c:pt>
                  <c:pt idx="198">
                    <c:v>2BHK</c:v>
                  </c:pt>
                  <c:pt idx="200">
                    <c:v>3BHK</c:v>
                  </c:pt>
                  <c:pt idx="201">
                    <c:v>3BHK</c:v>
                  </c:pt>
                  <c:pt idx="202">
                    <c:v>2BHK</c:v>
                  </c:pt>
                  <c:pt idx="203">
                    <c:v>Parking Area</c:v>
                  </c:pt>
                  <c:pt idx="207">
                    <c:v>2BHK</c:v>
                  </c:pt>
                  <c:pt idx="209">
                    <c:v>3BHK</c:v>
                  </c:pt>
                  <c:pt idx="210">
                    <c:v>3BHK</c:v>
                  </c:pt>
                  <c:pt idx="211">
                    <c:v>2BHK</c:v>
                  </c:pt>
                  <c:pt idx="212">
                    <c:v>Parking Area</c:v>
                  </c:pt>
                  <c:pt idx="216">
                    <c:v>2BHK</c:v>
                  </c:pt>
                  <c:pt idx="218">
                    <c:v>3BHK</c:v>
                  </c:pt>
                  <c:pt idx="219">
                    <c:v>3BHK</c:v>
                  </c:pt>
                  <c:pt idx="220">
                    <c:v>2BHK</c:v>
                  </c:pt>
                  <c:pt idx="221">
                    <c:v>2BHK</c:v>
                  </c:pt>
                  <c:pt idx="222">
                    <c:v>3BHK</c:v>
                  </c:pt>
                  <c:pt idx="223">
                    <c:v>3BHK</c:v>
                  </c:pt>
                  <c:pt idx="224">
                    <c:v>2BHK</c:v>
                  </c:pt>
                  <c:pt idx="225">
                    <c:v>2BHK</c:v>
                  </c:pt>
                  <c:pt idx="227">
                    <c:v>3BHK</c:v>
                  </c:pt>
                  <c:pt idx="228">
                    <c:v>3BHK</c:v>
                  </c:pt>
                  <c:pt idx="229">
                    <c:v>Refuge Area</c:v>
                  </c:pt>
                  <c:pt idx="230">
                    <c:v>2BHK</c:v>
                  </c:pt>
                  <c:pt idx="231">
                    <c:v>3BHK</c:v>
                  </c:pt>
                  <c:pt idx="232">
                    <c:v>3BHK</c:v>
                  </c:pt>
                  <c:pt idx="233">
                    <c:v>2BHK</c:v>
                  </c:pt>
                  <c:pt idx="234">
                    <c:v>2BHK</c:v>
                  </c:pt>
                  <c:pt idx="236">
                    <c:v>3BHK</c:v>
                  </c:pt>
                  <c:pt idx="237">
                    <c:v>3BHK</c:v>
                  </c:pt>
                  <c:pt idx="238">
                    <c:v>2BHK</c:v>
                  </c:pt>
                  <c:pt idx="239">
                    <c:v>2BHK</c:v>
                  </c:pt>
                  <c:pt idx="240">
                    <c:v>3BHK</c:v>
                  </c:pt>
                  <c:pt idx="241">
                    <c:v>3BHK</c:v>
                  </c:pt>
                  <c:pt idx="242">
                    <c:v>2BHK</c:v>
                  </c:pt>
                  <c:pt idx="243">
                    <c:v>2BHK</c:v>
                  </c:pt>
                  <c:pt idx="245">
                    <c:v>3BHK</c:v>
                  </c:pt>
                  <c:pt idx="246">
                    <c:v>3BHK</c:v>
                  </c:pt>
                  <c:pt idx="247">
                    <c:v>Refuge Area</c:v>
                  </c:pt>
                  <c:pt idx="248">
                    <c:v>2BHK</c:v>
                  </c:pt>
                  <c:pt idx="249">
                    <c:v>3BHK</c:v>
                  </c:pt>
                  <c:pt idx="250">
                    <c:v>3BHK</c:v>
                  </c:pt>
                  <c:pt idx="251">
                    <c:v>2BHK</c:v>
                  </c:pt>
                  <c:pt idx="252">
                    <c:v>2BHK</c:v>
                  </c:pt>
                  <c:pt idx="254">
                    <c:v>3BHK</c:v>
                  </c:pt>
                  <c:pt idx="255">
                    <c:v>3BHK</c:v>
                  </c:pt>
                  <c:pt idx="256">
                    <c:v>2BHK</c:v>
                  </c:pt>
                  <c:pt idx="257">
                    <c:v>2BHK</c:v>
                  </c:pt>
                  <c:pt idx="258">
                    <c:v>3BHK</c:v>
                  </c:pt>
                  <c:pt idx="259">
                    <c:v>3BHK</c:v>
                  </c:pt>
                  <c:pt idx="260">
                    <c:v>2BHK</c:v>
                  </c:pt>
                  <c:pt idx="261">
                    <c:v>2BHK</c:v>
                  </c:pt>
                  <c:pt idx="263">
                    <c:v>3BHK</c:v>
                  </c:pt>
                  <c:pt idx="264">
                    <c:v>3BHK</c:v>
                  </c:pt>
                  <c:pt idx="265">
                    <c:v>Refuge Area</c:v>
                  </c:pt>
                  <c:pt idx="266">
                    <c:v>2BHK</c:v>
                  </c:pt>
                  <c:pt idx="267">
                    <c:v>3BHK</c:v>
                  </c:pt>
                  <c:pt idx="268">
                    <c:v>3BHK</c:v>
                  </c:pt>
                  <c:pt idx="269">
                    <c:v>2BHK</c:v>
                  </c:pt>
                  <c:pt idx="270">
                    <c:v>2BHK</c:v>
                  </c:pt>
                  <c:pt idx="272">
                    <c:v>3BHK</c:v>
                  </c:pt>
                  <c:pt idx="273">
                    <c:v>3BHK</c:v>
                  </c:pt>
                  <c:pt idx="274">
                    <c:v>2BHK</c:v>
                  </c:pt>
                  <c:pt idx="275">
                    <c:v>2BHK</c:v>
                  </c:pt>
                  <c:pt idx="276">
                    <c:v>3BHK</c:v>
                  </c:pt>
                  <c:pt idx="277">
                    <c:v>3BHK</c:v>
                  </c:pt>
                  <c:pt idx="278">
                    <c:v>2BHK</c:v>
                  </c:pt>
                  <c:pt idx="279">
                    <c:v>2BHK</c:v>
                  </c:pt>
                  <c:pt idx="281">
                    <c:v>3BHK</c:v>
                  </c:pt>
                  <c:pt idx="282">
                    <c:v>3BHK</c:v>
                  </c:pt>
                  <c:pt idx="283">
                    <c:v>Refuge Area</c:v>
                  </c:pt>
                  <c:pt idx="284">
                    <c:v>2BHK</c:v>
                  </c:pt>
                  <c:pt idx="285">
                    <c:v>3BHK</c:v>
                  </c:pt>
                  <c:pt idx="286">
                    <c:v>3BHK</c:v>
                  </c:pt>
                  <c:pt idx="287">
                    <c:v>2BHK</c:v>
                  </c:pt>
                  <c:pt idx="288">
                    <c:v>2BHK</c:v>
                  </c:pt>
                  <c:pt idx="311">
                    <c:v>Suraj Mali</c:v>
                  </c:pt>
                </c:lvl>
                <c:lvl>
                  <c:pt idx="0">
                    <c:v>Flat No.
(Sale Plan)</c:v>
                  </c:pt>
                  <c:pt idx="290">
                    <c:v>Construction work is in process at the time of Visit (labour found)</c:v>
                  </c:pt>
                  <c:pt idx="291">
                    <c:v>We have considered Saleable area of Flats as per our Calculation.</c:v>
                  </c:pt>
                  <c:pt idx="292">
                    <c:v>We have considered Saleable area of Commercial as per our Calculation.</c:v>
                  </c:pt>
                  <c:pt idx="293">
                    <c:v>We considered Carpet area as per Approved Plan.</c:v>
                  </c:pt>
                  <c:pt idx="294">
                    <c:v>We considered Gross carpet area = Net carpet + Balcony Area</c:v>
                  </c:pt>
                  <c:pt idx="295">
                    <c:v>We have considered proposed No. of Floor for Stage Calculation.</c:v>
                  </c:pt>
                  <c:pt idx="296">
                    <c:v>We have considered rate by verifying it from market inquire.</c:v>
                  </c:pt>
                  <c:pt idx="297">
                    <c:v>Recommended rate should be considered as all inclusive rate if other charges are not mentioned. (Excluding GST &amp; other government Taxes)</c:v>
                  </c:pt>
                  <c:pt idx="298">
                    <c:v>Car parking is subjected to authentic documentation.</c:v>
                  </c:pt>
                  <c:pt idx="299">
                    <c:v>We have updated revised approved plans, CC for Building No.2 &amp; 5th to 38th Floor plan for Building No.1 from RERA site on 04/03/2025</c:v>
                  </c:pt>
                  <c:pt idx="300">
                    <c:v>We have referred latest approved plans &amp; CC dtd.12/06/2025 from RERA Site.</c:v>
                  </c:pt>
                  <c:pt idx="301">
                    <c:v>We have added project Sunteck Sky Park 3 on 06/08/2025</c:v>
                  </c:pt>
                  <c:pt idx="302">
                    <c:v>We have updated latest approved plans &amp; CC for Building No.1 &amp; 2 on 06/08/2025</c:v>
                  </c:pt>
                  <c:pt idx="303">
                    <c:v>Please check for Fire Noc &amp; Environmental Clearance Certificate.</c:v>
                  </c:pt>
                </c:lvl>
                <c:lvl>
                  <c:pt idx="0">
                    <c:v>Flat No.
(Approved Plan)</c:v>
                  </c:pt>
                  <c:pt idx="2">
                    <c:v>Building No.1</c:v>
                  </c:pt>
                  <c:pt idx="3">
                    <c:v>1st Floor For Part Commercial Area &amp; Parking</c:v>
                  </c:pt>
                  <c:pt idx="4">
                    <c:v>2nd Floor For Part Residential, Part Commercial Area &amp; Parking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3rd Floor For Part Residential &amp; Part Parking Area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4th Floor For Residential, Society Office &amp; E-Deck</c:v>
                  </c:pt>
                  <c:pt idx="23">
                    <c:v>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5th, 6th, 8th &amp; 9th Floor For Residnential</c:v>
                  </c:pt>
                  <c:pt idx="32">
                    <c:v>1</c:v>
                  </c:pt>
                  <c:pt idx="33">
                    <c:v>2</c:v>
                  </c:pt>
                  <c:pt idx="34">
                    <c:v>3</c:v>
                  </c:pt>
                  <c:pt idx="35">
                    <c:v>4</c:v>
                  </c:pt>
                  <c:pt idx="36">
                    <c:v>5</c:v>
                  </c:pt>
                  <c:pt idx="37">
                    <c:v>6</c:v>
                  </c:pt>
                  <c:pt idx="38">
                    <c:v>7</c:v>
                  </c:pt>
                  <c:pt idx="39">
                    <c:v>8</c:v>
                  </c:pt>
                  <c:pt idx="40">
                    <c:v>7th Floor (Part Refuge Area)</c:v>
                  </c:pt>
                  <c:pt idx="41">
                    <c:v>1</c:v>
                  </c:pt>
                  <c:pt idx="42">
                    <c:v>2</c:v>
                  </c:pt>
                  <c:pt idx="43">
                    <c:v>3</c:v>
                  </c:pt>
                  <c:pt idx="44">
                    <c:v>4</c:v>
                  </c:pt>
                  <c:pt idx="45">
                    <c:v>5</c:v>
                  </c:pt>
                  <c:pt idx="46">
                    <c:v>6</c:v>
                  </c:pt>
                  <c:pt idx="47">
                    <c:v>7</c:v>
                  </c:pt>
                  <c:pt idx="48">
                    <c:v>8</c:v>
                  </c:pt>
                  <c:pt idx="49">
                    <c:v>10th, 11th, 13th to 16th, 18th &amp; 19th Floor</c:v>
                  </c:pt>
                  <c:pt idx="50">
                    <c:v>1</c:v>
                  </c:pt>
                  <c:pt idx="51">
                    <c:v>2</c:v>
                  </c:pt>
                  <c:pt idx="52">
                    <c:v>3</c:v>
                  </c:pt>
                  <c:pt idx="53">
                    <c:v>4</c:v>
                  </c:pt>
                  <c:pt idx="54">
                    <c:v>5</c:v>
                  </c:pt>
                  <c:pt idx="55">
                    <c:v>6</c:v>
                  </c:pt>
                  <c:pt idx="56">
                    <c:v>7</c:v>
                  </c:pt>
                  <c:pt idx="57">
                    <c:v>8</c:v>
                  </c:pt>
                  <c:pt idx="58">
                    <c:v>12th &amp; 17th Floor (Part Refuge Area)</c:v>
                  </c:pt>
                  <c:pt idx="59">
                    <c:v>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20th to 21st, 23rd to 26th, 28th to 31st, 33rd to 36th, 38th to 41st, 43rd to 46th &amp; 48th Floor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4</c:v>
                  </c:pt>
                  <c:pt idx="72">
                    <c:v>5</c:v>
                  </c:pt>
                  <c:pt idx="73">
                    <c:v>6</c:v>
                  </c:pt>
                  <c:pt idx="74">
                    <c:v>7</c:v>
                  </c:pt>
                  <c:pt idx="75">
                    <c:v>8</c:v>
                  </c:pt>
                  <c:pt idx="76">
                    <c:v>22nd, 27th, 32nd, 37th, 42nd &amp; 47th Floor (Part Refuge Area)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4</c:v>
                  </c:pt>
                  <c:pt idx="81">
                    <c:v>5</c:v>
                  </c:pt>
                  <c:pt idx="82">
                    <c:v>6</c:v>
                  </c:pt>
                  <c:pt idx="83">
                    <c:v>7</c:v>
                  </c:pt>
                  <c:pt idx="84">
                    <c:v>8</c:v>
                  </c:pt>
                  <c:pt idx="85">
                    <c:v>Building No.2</c:v>
                  </c:pt>
                  <c:pt idx="86">
                    <c:v>Lower &amp; Upper Basement Floor For Parking</c:v>
                  </c:pt>
                  <c:pt idx="87">
                    <c:v>Ground Floor For Entrance Lobby &amp; Parking</c:v>
                  </c:pt>
                  <c:pt idx="88">
                    <c:v>1st Floor For Part Residential &amp; Parking</c:v>
                  </c:pt>
                  <c:pt idx="89">
                    <c:v>1</c:v>
                  </c:pt>
                  <c:pt idx="90">
                    <c:v>2</c:v>
                  </c:pt>
                  <c:pt idx="91">
                    <c:v>3</c:v>
                  </c:pt>
                  <c:pt idx="92">
                    <c:v>4</c:v>
                  </c:pt>
                  <c:pt idx="93">
                    <c:v>5</c:v>
                  </c:pt>
                  <c:pt idx="94">
                    <c:v>6</c:v>
                  </c:pt>
                  <c:pt idx="95">
                    <c:v>7</c:v>
                  </c:pt>
                  <c:pt idx="96">
                    <c:v>8</c:v>
                  </c:pt>
                  <c:pt idx="97">
                    <c:v>2nd Floor For Part Residential &amp; Parking</c:v>
                  </c:pt>
                  <c:pt idx="98">
                    <c:v>1</c:v>
                  </c:pt>
                  <c:pt idx="99">
                    <c:v>2</c:v>
                  </c:pt>
                  <c:pt idx="100">
                    <c:v>3</c:v>
                  </c:pt>
                  <c:pt idx="101">
                    <c:v>4</c:v>
                  </c:pt>
                  <c:pt idx="102">
                    <c:v>5</c:v>
                  </c:pt>
                  <c:pt idx="103">
                    <c:v>6</c:v>
                  </c:pt>
                  <c:pt idx="104">
                    <c:v>7</c:v>
                  </c:pt>
                  <c:pt idx="105">
                    <c:v>8</c:v>
                  </c:pt>
                  <c:pt idx="106">
                    <c:v>3rd Floor For Part Residential &amp; Parking</c:v>
                  </c:pt>
                  <c:pt idx="107">
                    <c:v>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4th Floor For Residential, Society Office &amp; E-Deck</c:v>
                  </c:pt>
                  <c:pt idx="116">
                    <c:v>1</c:v>
                  </c:pt>
                  <c:pt idx="117">
                    <c:v>2</c:v>
                  </c:pt>
                  <c:pt idx="118">
                    <c:v>3</c:v>
                  </c:pt>
                  <c:pt idx="119">
                    <c:v>4</c:v>
                  </c:pt>
                  <c:pt idx="120">
                    <c:v>5</c:v>
                  </c:pt>
                  <c:pt idx="121">
                    <c:v>6</c:v>
                  </c:pt>
                  <c:pt idx="122">
                    <c:v>7</c:v>
                  </c:pt>
                  <c:pt idx="123">
                    <c:v>8</c:v>
                  </c:pt>
                  <c:pt idx="124">
                    <c:v>5th, 6th, 8th &amp; 9th Floor For Residnential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4</c:v>
                  </c:pt>
                  <c:pt idx="129">
                    <c:v>5</c:v>
                  </c:pt>
                  <c:pt idx="130">
                    <c:v>6</c:v>
                  </c:pt>
                  <c:pt idx="131">
                    <c:v>7</c:v>
                  </c:pt>
                  <c:pt idx="132">
                    <c:v>8</c:v>
                  </c:pt>
                  <c:pt idx="133">
                    <c:v>7th Floor (Part Refuge Area)</c:v>
                  </c:pt>
                  <c:pt idx="134">
                    <c:v>1</c:v>
                  </c:pt>
                  <c:pt idx="135">
                    <c:v>2</c:v>
                  </c:pt>
                  <c:pt idx="136">
                    <c:v>3</c:v>
                  </c:pt>
                  <c:pt idx="137">
                    <c:v>4</c:v>
                  </c:pt>
                  <c:pt idx="138">
                    <c:v>5</c:v>
                  </c:pt>
                  <c:pt idx="139">
                    <c:v>6</c:v>
                  </c:pt>
                  <c:pt idx="140">
                    <c:v>7</c:v>
                  </c:pt>
                  <c:pt idx="141">
                    <c:v>8</c:v>
                  </c:pt>
                  <c:pt idx="142">
                    <c:v>10th, 11th, 13th to 16th, 18th &amp; 19th Floor</c:v>
                  </c:pt>
                  <c:pt idx="143">
                    <c:v>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12th &amp; 17th Floor (Part Refuge Area)</c:v>
                  </c:pt>
                  <c:pt idx="152">
                    <c:v>1</c:v>
                  </c:pt>
                  <c:pt idx="153">
                    <c:v>2</c:v>
                  </c:pt>
                  <c:pt idx="154">
                    <c:v>3</c:v>
                  </c:pt>
                  <c:pt idx="155">
                    <c:v>4</c:v>
                  </c:pt>
                  <c:pt idx="156">
                    <c:v>5</c:v>
                  </c:pt>
                  <c:pt idx="157">
                    <c:v>6</c:v>
                  </c:pt>
                  <c:pt idx="158">
                    <c:v>7</c:v>
                  </c:pt>
                  <c:pt idx="159">
                    <c:v>8</c:v>
                  </c:pt>
                  <c:pt idx="160">
                    <c:v>20th to 21st, 23rd to 26th, 28th to 31st, 33rd to 36th, 38th to 41st, 43rd to 46th &amp; 48th Floor</c:v>
                  </c:pt>
                  <c:pt idx="161">
                    <c:v>1</c:v>
                  </c:pt>
                  <c:pt idx="162">
                    <c:v>2</c:v>
                  </c:pt>
                  <c:pt idx="163">
                    <c:v>3</c:v>
                  </c:pt>
                  <c:pt idx="164">
                    <c:v>4</c:v>
                  </c:pt>
                  <c:pt idx="165">
                    <c:v>5</c:v>
                  </c:pt>
                  <c:pt idx="166">
                    <c:v>6</c:v>
                  </c:pt>
                  <c:pt idx="167">
                    <c:v>7</c:v>
                  </c:pt>
                  <c:pt idx="168">
                    <c:v>8</c:v>
                  </c:pt>
                  <c:pt idx="169">
                    <c:v>22nd, 27th, 32nd, 37th, 42nd &amp; 47th Floor (Part Refuge Area)</c:v>
                  </c:pt>
                  <c:pt idx="170">
                    <c:v>1</c:v>
                  </c:pt>
                  <c:pt idx="171">
                    <c:v>2</c:v>
                  </c:pt>
                  <c:pt idx="172">
                    <c:v>3</c:v>
                  </c:pt>
                  <c:pt idx="173">
                    <c:v>4</c:v>
                  </c:pt>
                  <c:pt idx="174">
                    <c:v>5</c:v>
                  </c:pt>
                  <c:pt idx="175">
                    <c:v>6</c:v>
                  </c:pt>
                  <c:pt idx="176">
                    <c:v>7</c:v>
                  </c:pt>
                  <c:pt idx="177">
                    <c:v>8</c:v>
                  </c:pt>
                  <c:pt idx="178">
                    <c:v>Building No.3</c:v>
                  </c:pt>
                  <c:pt idx="179">
                    <c:v>Lower &amp; Upper Basement Floor For Parking</c:v>
                  </c:pt>
                  <c:pt idx="180">
                    <c:v>Ground Floor For Entrance Lobby, Meter Room &amp; Parking</c:v>
                  </c:pt>
                  <c:pt idx="181">
                    <c:v>1st Floor For Residential &amp; Part Parking Area </c:v>
                  </c:pt>
                  <c:pt idx="182">
                    <c:v>1</c:v>
                  </c:pt>
                  <c:pt idx="183">
                    <c:v>2</c:v>
                  </c:pt>
                  <c:pt idx="184">
                    <c:v>3</c:v>
                  </c:pt>
                  <c:pt idx="185">
                    <c:v>4</c:v>
                  </c:pt>
                  <c:pt idx="186">
                    <c:v>5</c:v>
                  </c:pt>
                  <c:pt idx="187">
                    <c:v>6</c:v>
                  </c:pt>
                  <c:pt idx="188">
                    <c:v>7</c:v>
                  </c:pt>
                  <c:pt idx="189">
                    <c:v>8</c:v>
                  </c:pt>
                  <c:pt idx="190">
                    <c:v>2nd Floor For Residential &amp; Part Parking Area </c:v>
                  </c:pt>
                  <c:pt idx="191">
                    <c:v>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3rd Floor For Residential &amp; Part Parking Area </c:v>
                  </c:pt>
                  <c:pt idx="200">
                    <c:v>1</c:v>
                  </c:pt>
                  <c:pt idx="201">
                    <c:v>2</c:v>
                  </c:pt>
                  <c:pt idx="202">
                    <c:v>3</c:v>
                  </c:pt>
                  <c:pt idx="203">
                    <c:v>4</c:v>
                  </c:pt>
                  <c:pt idx="204">
                    <c:v>5</c:v>
                  </c:pt>
                  <c:pt idx="205">
                    <c:v>6</c:v>
                  </c:pt>
                  <c:pt idx="206">
                    <c:v>7</c:v>
                  </c:pt>
                  <c:pt idx="207">
                    <c:v>8</c:v>
                  </c:pt>
                  <c:pt idx="208">
                    <c:v>4th Floor For Residential &amp; Part Parking Area </c:v>
                  </c:pt>
                  <c:pt idx="209">
                    <c:v>1</c:v>
                  </c:pt>
                  <c:pt idx="210">
                    <c:v>2</c:v>
                  </c:pt>
                  <c:pt idx="211">
                    <c:v>3</c:v>
                  </c:pt>
                  <c:pt idx="212">
                    <c:v>4</c:v>
                  </c:pt>
                  <c:pt idx="213">
                    <c:v>5</c:v>
                  </c:pt>
                  <c:pt idx="214">
                    <c:v>6</c:v>
                  </c:pt>
                  <c:pt idx="215">
                    <c:v>7</c:v>
                  </c:pt>
                  <c:pt idx="216">
                    <c:v>8</c:v>
                  </c:pt>
                  <c:pt idx="217">
                    <c:v>5th, 6th, 8th &amp; 9th Floor For Residnential</c:v>
                  </c:pt>
                  <c:pt idx="218">
                    <c:v>1</c:v>
                  </c:pt>
                  <c:pt idx="219">
                    <c:v>2</c:v>
                  </c:pt>
                  <c:pt idx="220">
                    <c:v>3</c:v>
                  </c:pt>
                  <c:pt idx="221">
                    <c:v>4</c:v>
                  </c:pt>
                  <c:pt idx="222">
                    <c:v>5</c:v>
                  </c:pt>
                  <c:pt idx="223">
                    <c:v>6</c:v>
                  </c:pt>
                  <c:pt idx="224">
                    <c:v>7</c:v>
                  </c:pt>
                  <c:pt idx="225">
                    <c:v>8</c:v>
                  </c:pt>
                  <c:pt idx="226">
                    <c:v>7th Floor For Part Refuge Area</c:v>
                  </c:pt>
                  <c:pt idx="227">
                    <c:v>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10th, 11th, 13th to 16th, 18th &amp; 19th Floor</c:v>
                  </c:pt>
                  <c:pt idx="236">
                    <c:v>1</c:v>
                  </c:pt>
                  <c:pt idx="237">
                    <c:v>2</c:v>
                  </c:pt>
                  <c:pt idx="238">
                    <c:v>3</c:v>
                  </c:pt>
                  <c:pt idx="239">
                    <c:v>4</c:v>
                  </c:pt>
                  <c:pt idx="240">
                    <c:v>5</c:v>
                  </c:pt>
                  <c:pt idx="241">
                    <c:v>6</c:v>
                  </c:pt>
                  <c:pt idx="242">
                    <c:v>7</c:v>
                  </c:pt>
                  <c:pt idx="243">
                    <c:v>8</c:v>
                  </c:pt>
                  <c:pt idx="244">
                    <c:v>12th &amp; 17th Floor (Part Refuge Area)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3</c:v>
                  </c:pt>
                  <c:pt idx="248">
                    <c:v>4</c:v>
                  </c:pt>
                  <c:pt idx="249">
                    <c:v>5</c:v>
                  </c:pt>
                  <c:pt idx="250">
                    <c:v>6</c:v>
                  </c:pt>
                  <c:pt idx="251">
                    <c:v>7</c:v>
                  </c:pt>
                  <c:pt idx="252">
                    <c:v>8</c:v>
                  </c:pt>
                  <c:pt idx="253">
                    <c:v>20th, 21st, 23rd to 26th, 28th &amp; 29th Floor</c:v>
                  </c:pt>
                  <c:pt idx="254">
                    <c:v>1</c:v>
                  </c:pt>
                  <c:pt idx="255">
                    <c:v>2</c:v>
                  </c:pt>
                  <c:pt idx="256">
                    <c:v>3</c:v>
                  </c:pt>
                  <c:pt idx="257">
                    <c:v>4</c:v>
                  </c:pt>
                  <c:pt idx="258">
                    <c:v>5</c:v>
                  </c:pt>
                  <c:pt idx="259">
                    <c:v>6</c:v>
                  </c:pt>
                  <c:pt idx="260">
                    <c:v>7</c:v>
                  </c:pt>
                  <c:pt idx="261">
                    <c:v>8</c:v>
                  </c:pt>
                  <c:pt idx="262">
                    <c:v>22nd &amp; 27th Floor Part Refuge Area</c:v>
                  </c:pt>
                  <c:pt idx="263">
                    <c:v>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30th, 31st, 33rd to 36th, 38th to 41st, 43rd to 46th &amp; 48th Floor</c:v>
                  </c:pt>
                  <c:pt idx="272">
                    <c:v>1</c:v>
                  </c:pt>
                  <c:pt idx="273">
                    <c:v>2</c:v>
                  </c:pt>
                  <c:pt idx="274">
                    <c:v>3</c:v>
                  </c:pt>
                  <c:pt idx="275">
                    <c:v>4</c:v>
                  </c:pt>
                  <c:pt idx="276">
                    <c:v>5</c:v>
                  </c:pt>
                  <c:pt idx="277">
                    <c:v>6</c:v>
                  </c:pt>
                  <c:pt idx="278">
                    <c:v>7</c:v>
                  </c:pt>
                  <c:pt idx="279">
                    <c:v>8</c:v>
                  </c:pt>
                  <c:pt idx="280">
                    <c:v>32nd, 37th, 42nd &amp; 47th Floor For Part Refuge Area</c:v>
                  </c:pt>
                  <c:pt idx="281">
                    <c:v>1</c:v>
                  </c:pt>
                  <c:pt idx="282">
                    <c:v>2</c:v>
                  </c:pt>
                  <c:pt idx="283">
                    <c:v>3</c:v>
                  </c:pt>
                  <c:pt idx="284">
                    <c:v>4</c:v>
                  </c:pt>
                  <c:pt idx="285">
                    <c:v>5</c:v>
                  </c:pt>
                  <c:pt idx="286">
                    <c:v>6</c:v>
                  </c:pt>
                  <c:pt idx="287">
                    <c:v>7</c:v>
                  </c:pt>
                  <c:pt idx="288">
                    <c:v>8</c:v>
                  </c:pt>
                  <c:pt idx="289">
                    <c:v>Remarks:  </c:v>
                  </c:pt>
                  <c:pt idx="290">
                    <c:v>*</c:v>
                  </c:pt>
                  <c:pt idx="291">
                    <c:v>*</c:v>
                  </c:pt>
                  <c:pt idx="292">
                    <c:v>*</c:v>
                  </c:pt>
                  <c:pt idx="293">
                    <c:v>*</c:v>
                  </c:pt>
                  <c:pt idx="294">
                    <c:v>*</c:v>
                  </c:pt>
                  <c:pt idx="295">
                    <c:v>*</c:v>
                  </c:pt>
                  <c:pt idx="296">
                    <c:v>*</c:v>
                  </c:pt>
                  <c:pt idx="297">
                    <c:v>*</c:v>
                  </c:pt>
                  <c:pt idx="298">
                    <c:v>*</c:v>
                  </c:pt>
                  <c:pt idx="299">
                    <c:v>*</c:v>
                  </c:pt>
                  <c:pt idx="300">
                    <c:v>*</c:v>
                  </c:pt>
                  <c:pt idx="301">
                    <c:v>*</c:v>
                  </c:pt>
                  <c:pt idx="302">
                    <c:v>*</c:v>
                  </c:pt>
                  <c:pt idx="303">
                    <c:v>*</c:v>
                  </c:pt>
                  <c:pt idx="304">
                    <c:v>Undertaking :</c:v>
                  </c:pt>
                  <c:pt idx="305">
                    <c:v>1) We have personally visited the property &amp; identified the same based on the documents provided.</c:v>
                  </c:pt>
                  <c:pt idx="306">
                    <c:v>2) I/We have no direct or Indirect Interest in the property being valued</c:v>
                  </c:pt>
                  <c:pt idx="307">
                    <c:v>3) The information furnished above is true and correct to my/our knowledge.</c:v>
                  </c:pt>
                  <c:pt idx="308">
                    <c:v>4) Legal title of the property is not verified by us.</c:v>
                  </c:pt>
                  <c:pt idx="309">
                    <c:v>5) Gross carpet area =  Net Carpet area + Fungible area.</c:v>
                  </c:pt>
                  <c:pt idx="310">
                    <c:v>6) Fungible Area= Enclosed Balcony + Flower Bed + Covered Balcony + Service Slab + Duct + Chajja + Wheather Shed area.</c:v>
                  </c:pt>
                  <c:pt idx="311">
                    <c:v>Inspected By :</c:v>
                  </c:pt>
                  <c:pt idx="312">
                    <c:v>Authorized Signatory
Name &amp; Seal of the agency</c:v>
                  </c:pt>
                  <c:pt idx="316">
                    <c:v>PHOTOGRAPHS OF PROPERTY : 
</c:v>
                  </c:pt>
                </c:lvl>
              </c:multiLvlStrCache>
            </c:multiLvlStrRef>
          </c:cat>
          <c:val>
            <c:numRef>
              <c:f>Report!$K$170:$K$484</c:f>
              <c:numCache>
                <c:formatCode>General</c:formatCode>
                <c:ptCount val="315"/>
                <c:pt idx="0">
                  <c:v>4.03</c:v>
                </c:pt>
                <c:pt idx="6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6C-4D94-9846-AC44202D1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5907903"/>
        <c:axId val="2055916639"/>
      </c:barChart>
      <c:catAx>
        <c:axId val="205590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916639"/>
        <c:crosses val="autoZero"/>
        <c:auto val="1"/>
        <c:lblAlgn val="ctr"/>
        <c:lblOffset val="100"/>
        <c:noMultiLvlLbl val="0"/>
      </c:catAx>
      <c:valAx>
        <c:axId val="205591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90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9B652A-F3C4-48EF-B823-20A88DD04F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571</xdr:row>
      <xdr:rowOff>163579</xdr:rowOff>
    </xdr:from>
    <xdr:to>
      <xdr:col>7</xdr:col>
      <xdr:colOff>701514</xdr:colOff>
      <xdr:row>604</xdr:row>
      <xdr:rowOff>130250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52AF1D7E-3A87-407B-B5A2-E0A94ED2309D}"/>
            </a:ext>
          </a:extLst>
        </xdr:cNvPr>
        <xdr:cNvGrpSpPr/>
      </xdr:nvGrpSpPr>
      <xdr:grpSpPr>
        <a:xfrm>
          <a:off x="238125" y="118178329"/>
          <a:ext cx="6159339" cy="6567496"/>
          <a:chOff x="1216152" y="776158"/>
          <a:chExt cx="4425696" cy="5308470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715E45F2-2125-4BEA-A837-646E4A6587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16152" y="776158"/>
            <a:ext cx="4425696" cy="260058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F7062BC5-DE31-47B5-934D-F03A301CB7EB}"/>
              </a:ext>
            </a:extLst>
          </xdr:cNvPr>
          <xdr:cNvSpPr/>
        </xdr:nvSpPr>
        <xdr:spPr>
          <a:xfrm rot="1275141">
            <a:off x="2850095" y="1686216"/>
            <a:ext cx="860868" cy="370738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31" name="TextBox 28">
            <a:extLst>
              <a:ext uri="{FF2B5EF4-FFF2-40B4-BE49-F238E27FC236}">
                <a16:creationId xmlns:a16="http://schemas.microsoft.com/office/drawing/2014/main" id="{448C2354-2D43-4007-A379-1995094B173B}"/>
              </a:ext>
            </a:extLst>
          </xdr:cNvPr>
          <xdr:cNvSpPr txBox="1"/>
        </xdr:nvSpPr>
        <xdr:spPr>
          <a:xfrm rot="1022374">
            <a:off x="2731590" y="1246890"/>
            <a:ext cx="1342098" cy="50376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Sunteck Sky Park 1, 2 &amp; 3</a:t>
            </a:r>
            <a:endParaRPr lang="en-IN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3C1DA8AA-C069-47F1-82B8-DD807840F1C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420876" y="3484045"/>
            <a:ext cx="4016248" cy="2600583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429484</xdr:colOff>
      <xdr:row>44</xdr:row>
      <xdr:rowOff>104078</xdr:rowOff>
    </xdr:from>
    <xdr:to>
      <xdr:col>14</xdr:col>
      <xdr:colOff>124620</xdr:colOff>
      <xdr:row>53</xdr:row>
      <xdr:rowOff>129389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8E9149-40E6-4D94-9B0D-08FF9CD45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0784" y="10124378"/>
          <a:ext cx="4724336" cy="1663611"/>
        </a:xfrm>
        <a:prstGeom prst="rect">
          <a:avLst/>
        </a:prstGeom>
      </xdr:spPr>
    </xdr:pic>
    <xdr:clientData/>
  </xdr:twoCellAnchor>
  <xdr:twoCellAnchor>
    <xdr:from>
      <xdr:col>8</xdr:col>
      <xdr:colOff>623961</xdr:colOff>
      <xdr:row>34</xdr:row>
      <xdr:rowOff>59184</xdr:rowOff>
    </xdr:from>
    <xdr:to>
      <xdr:col>11</xdr:col>
      <xdr:colOff>130303</xdr:colOff>
      <xdr:row>44</xdr:row>
      <xdr:rowOff>12628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FB99212-5E7A-4C54-99D2-BB66C7ED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8586" y="8336409"/>
          <a:ext cx="2135242" cy="1953694"/>
        </a:xfrm>
        <a:prstGeom prst="rect">
          <a:avLst/>
        </a:prstGeom>
      </xdr:spPr>
    </xdr:pic>
    <xdr:clientData/>
  </xdr:twoCellAnchor>
  <xdr:twoCellAnchor>
    <xdr:from>
      <xdr:col>8</xdr:col>
      <xdr:colOff>837778</xdr:colOff>
      <xdr:row>14</xdr:row>
      <xdr:rowOff>216219</xdr:rowOff>
    </xdr:from>
    <xdr:to>
      <xdr:col>20</xdr:col>
      <xdr:colOff>553128</xdr:colOff>
      <xdr:row>15</xdr:row>
      <xdr:rowOff>391303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9C8B9A6-0E27-4E9F-8690-CC3EEC4D6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56191" y="3835719"/>
          <a:ext cx="8552894" cy="597497"/>
        </a:xfrm>
        <a:prstGeom prst="rect">
          <a:avLst/>
        </a:prstGeom>
      </xdr:spPr>
    </xdr:pic>
    <xdr:clientData/>
  </xdr:twoCellAnchor>
  <xdr:twoCellAnchor>
    <xdr:from>
      <xdr:col>8</xdr:col>
      <xdr:colOff>937674</xdr:colOff>
      <xdr:row>133</xdr:row>
      <xdr:rowOff>47557</xdr:rowOff>
    </xdr:from>
    <xdr:to>
      <xdr:col>16</xdr:col>
      <xdr:colOff>441233</xdr:colOff>
      <xdr:row>143</xdr:row>
      <xdr:rowOff>185968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200709F-6ED6-4699-B5DB-F289A28A1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70703" y="26795998"/>
          <a:ext cx="5924530" cy="2581294"/>
        </a:xfrm>
        <a:prstGeom prst="rect">
          <a:avLst/>
        </a:prstGeom>
      </xdr:spPr>
    </xdr:pic>
    <xdr:clientData/>
  </xdr:twoCellAnchor>
  <xdr:twoCellAnchor>
    <xdr:from>
      <xdr:col>8</xdr:col>
      <xdr:colOff>532129</xdr:colOff>
      <xdr:row>155</xdr:row>
      <xdr:rowOff>184620</xdr:rowOff>
    </xdr:from>
    <xdr:to>
      <xdr:col>16</xdr:col>
      <xdr:colOff>575723</xdr:colOff>
      <xdr:row>166</xdr:row>
      <xdr:rowOff>16636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94559AA4-BDF3-46E9-87D3-178743CAE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23429" y="29750220"/>
          <a:ext cx="6520594" cy="1927516"/>
        </a:xfrm>
        <a:prstGeom prst="rect">
          <a:avLst/>
        </a:prstGeom>
      </xdr:spPr>
    </xdr:pic>
    <xdr:clientData/>
  </xdr:twoCellAnchor>
  <xdr:twoCellAnchor>
    <xdr:from>
      <xdr:col>8</xdr:col>
      <xdr:colOff>578772</xdr:colOff>
      <xdr:row>175</xdr:row>
      <xdr:rowOff>122623</xdr:rowOff>
    </xdr:from>
    <xdr:to>
      <xdr:col>19</xdr:col>
      <xdr:colOff>382041</xdr:colOff>
      <xdr:row>178</xdr:row>
      <xdr:rowOff>112288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A34E31A-6668-47F4-A400-D65F0829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90408" y="36923759"/>
          <a:ext cx="8029406" cy="613120"/>
        </a:xfrm>
        <a:prstGeom prst="rect">
          <a:avLst/>
        </a:prstGeom>
      </xdr:spPr>
    </xdr:pic>
    <xdr:clientData/>
  </xdr:twoCellAnchor>
  <xdr:twoCellAnchor>
    <xdr:from>
      <xdr:col>8</xdr:col>
      <xdr:colOff>406807</xdr:colOff>
      <xdr:row>186</xdr:row>
      <xdr:rowOff>73269</xdr:rowOff>
    </xdr:from>
    <xdr:to>
      <xdr:col>19</xdr:col>
      <xdr:colOff>258122</xdr:colOff>
      <xdr:row>189</xdr:row>
      <xdr:rowOff>89917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42C173C-DE08-4D30-9868-6FC18A05D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98107" y="36344469"/>
          <a:ext cx="8157115" cy="588148"/>
        </a:xfrm>
        <a:prstGeom prst="rect">
          <a:avLst/>
        </a:prstGeom>
      </xdr:spPr>
    </xdr:pic>
    <xdr:clientData/>
  </xdr:twoCellAnchor>
  <xdr:twoCellAnchor>
    <xdr:from>
      <xdr:col>8</xdr:col>
      <xdr:colOff>507066</xdr:colOff>
      <xdr:row>192</xdr:row>
      <xdr:rowOff>188512</xdr:rowOff>
    </xdr:from>
    <xdr:to>
      <xdr:col>19</xdr:col>
      <xdr:colOff>297383</xdr:colOff>
      <xdr:row>195</xdr:row>
      <xdr:rowOff>178177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2433E0E-1C19-4102-8674-4FFD49693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98366" y="37602712"/>
          <a:ext cx="8096117" cy="561165"/>
        </a:xfrm>
        <a:prstGeom prst="rect">
          <a:avLst/>
        </a:prstGeom>
      </xdr:spPr>
    </xdr:pic>
    <xdr:clientData/>
  </xdr:twoCellAnchor>
  <xdr:twoCellAnchor>
    <xdr:from>
      <xdr:col>8</xdr:col>
      <xdr:colOff>1133677</xdr:colOff>
      <xdr:row>199</xdr:row>
      <xdr:rowOff>75330</xdr:rowOff>
    </xdr:from>
    <xdr:to>
      <xdr:col>15</xdr:col>
      <xdr:colOff>468156</xdr:colOff>
      <xdr:row>210</xdr:row>
      <xdr:rowOff>32102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42B4473-B389-4773-ADD2-678F3BFB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977" y="38823030"/>
          <a:ext cx="5011379" cy="2052272"/>
        </a:xfrm>
        <a:prstGeom prst="rect">
          <a:avLst/>
        </a:prstGeom>
      </xdr:spPr>
    </xdr:pic>
    <xdr:clientData/>
  </xdr:twoCellAnchor>
  <xdr:twoCellAnchor>
    <xdr:from>
      <xdr:col>8</xdr:col>
      <xdr:colOff>1133677</xdr:colOff>
      <xdr:row>210</xdr:row>
      <xdr:rowOff>104144</xdr:rowOff>
    </xdr:from>
    <xdr:to>
      <xdr:col>20</xdr:col>
      <xdr:colOff>301442</xdr:colOff>
      <xdr:row>217</xdr:row>
      <xdr:rowOff>56045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0008FBE-D08A-4BD2-A3ED-670026F0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24977" y="40947344"/>
          <a:ext cx="8083165" cy="1285401"/>
        </a:xfrm>
        <a:prstGeom prst="rect">
          <a:avLst/>
        </a:prstGeom>
      </xdr:spPr>
    </xdr:pic>
    <xdr:clientData/>
  </xdr:twoCellAnchor>
  <xdr:twoCellAnchor>
    <xdr:from>
      <xdr:col>9</xdr:col>
      <xdr:colOff>2705</xdr:colOff>
      <xdr:row>218</xdr:row>
      <xdr:rowOff>44055</xdr:rowOff>
    </xdr:from>
    <xdr:to>
      <xdr:col>20</xdr:col>
      <xdr:colOff>351570</xdr:colOff>
      <xdr:row>225</xdr:row>
      <xdr:rowOff>166849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3505133-F907-4CAD-96BB-307E2A41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75105" y="42411255"/>
          <a:ext cx="8083165" cy="1456294"/>
        </a:xfrm>
        <a:prstGeom prst="rect">
          <a:avLst/>
        </a:prstGeom>
      </xdr:spPr>
    </xdr:pic>
    <xdr:clientData/>
  </xdr:twoCellAnchor>
  <xdr:twoCellAnchor>
    <xdr:from>
      <xdr:col>8</xdr:col>
      <xdr:colOff>523775</xdr:colOff>
      <xdr:row>228</xdr:row>
      <xdr:rowOff>90155</xdr:rowOff>
    </xdr:from>
    <xdr:to>
      <xdr:col>19</xdr:col>
      <xdr:colOff>323702</xdr:colOff>
      <xdr:row>235</xdr:row>
      <xdr:rowOff>60044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39C22F9-3B75-4CD1-8E62-B84967EE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15075" y="44362355"/>
          <a:ext cx="8105727" cy="1303389"/>
        </a:xfrm>
        <a:prstGeom prst="rect">
          <a:avLst/>
        </a:prstGeom>
      </xdr:spPr>
    </xdr:pic>
    <xdr:clientData/>
  </xdr:twoCellAnchor>
  <xdr:twoCellAnchor>
    <xdr:from>
      <xdr:col>9</xdr:col>
      <xdr:colOff>19416</xdr:colOff>
      <xdr:row>236</xdr:row>
      <xdr:rowOff>45707</xdr:rowOff>
    </xdr:from>
    <xdr:to>
      <xdr:col>20</xdr:col>
      <xdr:colOff>197868</xdr:colOff>
      <xdr:row>243</xdr:row>
      <xdr:rowOff>147976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9E0215C-526D-4AF8-813F-2751BE56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91816" y="45841907"/>
          <a:ext cx="7912752" cy="1435769"/>
        </a:xfrm>
        <a:prstGeom prst="rect">
          <a:avLst/>
        </a:prstGeom>
      </xdr:spPr>
    </xdr:pic>
    <xdr:clientData/>
  </xdr:twoCellAnchor>
  <xdr:twoCellAnchor>
    <xdr:from>
      <xdr:col>9</xdr:col>
      <xdr:colOff>77899</xdr:colOff>
      <xdr:row>246</xdr:row>
      <xdr:rowOff>68345</xdr:rowOff>
    </xdr:from>
    <xdr:to>
      <xdr:col>22</xdr:col>
      <xdr:colOff>270864</xdr:colOff>
      <xdr:row>253</xdr:row>
      <xdr:rowOff>183317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B90A737-8E26-4EB5-BF71-DAF1CCDC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50299" y="47769545"/>
          <a:ext cx="9146465" cy="1448472"/>
        </a:xfrm>
        <a:prstGeom prst="rect">
          <a:avLst/>
        </a:prstGeom>
      </xdr:spPr>
    </xdr:pic>
    <xdr:clientData/>
  </xdr:twoCellAnchor>
  <xdr:twoCellAnchor>
    <xdr:from>
      <xdr:col>11</xdr:col>
      <xdr:colOff>215342</xdr:colOff>
      <xdr:row>255</xdr:row>
      <xdr:rowOff>179825</xdr:rowOff>
    </xdr:from>
    <xdr:to>
      <xdr:col>16</xdr:col>
      <xdr:colOff>603673</xdr:colOff>
      <xdr:row>266</xdr:row>
      <xdr:rowOff>136596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79511FD-9D05-49CE-8293-FAAEF48C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3642" y="49595525"/>
          <a:ext cx="4198331" cy="2052271"/>
        </a:xfrm>
        <a:prstGeom prst="rect">
          <a:avLst/>
        </a:prstGeom>
      </xdr:spPr>
    </xdr:pic>
    <xdr:clientData/>
  </xdr:twoCellAnchor>
  <xdr:twoCellAnchor>
    <xdr:from>
      <xdr:col>8</xdr:col>
      <xdr:colOff>381743</xdr:colOff>
      <xdr:row>259</xdr:row>
      <xdr:rowOff>86048</xdr:rowOff>
    </xdr:from>
    <xdr:to>
      <xdr:col>20</xdr:col>
      <xdr:colOff>196679</xdr:colOff>
      <xdr:row>261</xdr:row>
      <xdr:rowOff>131299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830294B-841F-406C-99AC-6B83AB498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73043" y="50263748"/>
          <a:ext cx="8730336" cy="426251"/>
        </a:xfrm>
        <a:prstGeom prst="rect">
          <a:avLst/>
        </a:prstGeom>
      </xdr:spPr>
    </xdr:pic>
    <xdr:clientData/>
  </xdr:twoCellAnchor>
  <xdr:twoCellAnchor>
    <xdr:from>
      <xdr:col>8</xdr:col>
      <xdr:colOff>456936</xdr:colOff>
      <xdr:row>267</xdr:row>
      <xdr:rowOff>41598</xdr:rowOff>
    </xdr:from>
    <xdr:to>
      <xdr:col>20</xdr:col>
      <xdr:colOff>262263</xdr:colOff>
      <xdr:row>271</xdr:row>
      <xdr:rowOff>57800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380BDD1-8737-4897-AC6A-B2C6D646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48236" y="51743298"/>
          <a:ext cx="8720727" cy="778202"/>
        </a:xfrm>
        <a:prstGeom prst="rect">
          <a:avLst/>
        </a:prstGeom>
      </xdr:spPr>
    </xdr:pic>
    <xdr:clientData/>
  </xdr:twoCellAnchor>
  <xdr:twoCellAnchor>
    <xdr:from>
      <xdr:col>8</xdr:col>
      <xdr:colOff>388844</xdr:colOff>
      <xdr:row>276</xdr:row>
      <xdr:rowOff>97075</xdr:rowOff>
    </xdr:from>
    <xdr:to>
      <xdr:col>20</xdr:col>
      <xdr:colOff>165343</xdr:colOff>
      <xdr:row>280</xdr:row>
      <xdr:rowOff>104282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AB67174-708F-4E9C-9C89-369EF1A8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80144" y="53513275"/>
          <a:ext cx="8691899" cy="769207"/>
        </a:xfrm>
        <a:prstGeom prst="rect">
          <a:avLst/>
        </a:prstGeom>
      </xdr:spPr>
    </xdr:pic>
    <xdr:clientData/>
  </xdr:twoCellAnchor>
  <xdr:twoCellAnchor>
    <xdr:from>
      <xdr:col>8</xdr:col>
      <xdr:colOff>373388</xdr:colOff>
      <xdr:row>285</xdr:row>
      <xdr:rowOff>66711</xdr:rowOff>
    </xdr:from>
    <xdr:to>
      <xdr:col>20</xdr:col>
      <xdr:colOff>159496</xdr:colOff>
      <xdr:row>289</xdr:row>
      <xdr:rowOff>93081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2F466DD-C48C-477E-81B9-97295F115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64688" y="55197411"/>
          <a:ext cx="8701508" cy="788370"/>
        </a:xfrm>
        <a:prstGeom prst="rect">
          <a:avLst/>
        </a:prstGeom>
      </xdr:spPr>
    </xdr:pic>
    <xdr:clientData/>
  </xdr:twoCellAnchor>
  <xdr:twoCellAnchor>
    <xdr:from>
      <xdr:col>9</xdr:col>
      <xdr:colOff>582734</xdr:colOff>
      <xdr:row>291</xdr:row>
      <xdr:rowOff>124676</xdr:rowOff>
    </xdr:from>
    <xdr:to>
      <xdr:col>20</xdr:col>
      <xdr:colOff>327963</xdr:colOff>
      <xdr:row>298</xdr:row>
      <xdr:rowOff>158965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4BE4B47-8F84-4FF7-9D22-A7C86D02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69409" y="58636751"/>
          <a:ext cx="7422379" cy="1434464"/>
        </a:xfrm>
        <a:prstGeom prst="rect">
          <a:avLst/>
        </a:prstGeom>
      </xdr:spPr>
    </xdr:pic>
    <xdr:clientData/>
  </xdr:twoCellAnchor>
  <xdr:twoCellAnchor>
    <xdr:from>
      <xdr:col>8</xdr:col>
      <xdr:colOff>456518</xdr:colOff>
      <xdr:row>301</xdr:row>
      <xdr:rowOff>17164</xdr:rowOff>
    </xdr:from>
    <xdr:to>
      <xdr:col>18</xdr:col>
      <xdr:colOff>347339</xdr:colOff>
      <xdr:row>309</xdr:row>
      <xdr:rowOff>28629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7FCF4DD-E39C-405B-9D77-4D6C0E93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047818" y="58195864"/>
          <a:ext cx="7587021" cy="1535465"/>
        </a:xfrm>
        <a:prstGeom prst="rect">
          <a:avLst/>
        </a:prstGeom>
      </xdr:spPr>
    </xdr:pic>
    <xdr:clientData/>
  </xdr:twoCellAnchor>
  <xdr:twoCellAnchor>
    <xdr:from>
      <xdr:col>8</xdr:col>
      <xdr:colOff>431873</xdr:colOff>
      <xdr:row>312</xdr:row>
      <xdr:rowOff>0</xdr:rowOff>
    </xdr:from>
    <xdr:to>
      <xdr:col>18</xdr:col>
      <xdr:colOff>369940</xdr:colOff>
      <xdr:row>317</xdr:row>
      <xdr:rowOff>157506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4F652F4-F59F-4C87-AFCB-B2AAC082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023173" y="60015244"/>
          <a:ext cx="7634267" cy="1368962"/>
        </a:xfrm>
        <a:prstGeom prst="rect">
          <a:avLst/>
        </a:prstGeom>
      </xdr:spPr>
    </xdr:pic>
    <xdr:clientData/>
  </xdr:twoCellAnchor>
  <xdr:twoCellAnchor>
    <xdr:from>
      <xdr:col>8</xdr:col>
      <xdr:colOff>393440</xdr:colOff>
      <xdr:row>319</xdr:row>
      <xdr:rowOff>55157</xdr:rowOff>
    </xdr:from>
    <xdr:to>
      <xdr:col>20</xdr:col>
      <xdr:colOff>150720</xdr:colOff>
      <xdr:row>326</xdr:row>
      <xdr:rowOff>107169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17FBF89-9EDE-4EFE-9EBA-F819C843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84740" y="61662857"/>
          <a:ext cx="8672680" cy="1385512"/>
        </a:xfrm>
        <a:prstGeom prst="rect">
          <a:avLst/>
        </a:prstGeom>
      </xdr:spPr>
    </xdr:pic>
    <xdr:clientData/>
  </xdr:twoCellAnchor>
  <xdr:twoCellAnchor>
    <xdr:from>
      <xdr:col>8</xdr:col>
      <xdr:colOff>393440</xdr:colOff>
      <xdr:row>328</xdr:row>
      <xdr:rowOff>149616</xdr:rowOff>
    </xdr:from>
    <xdr:to>
      <xdr:col>18</xdr:col>
      <xdr:colOff>279032</xdr:colOff>
      <xdr:row>335</xdr:row>
      <xdr:rowOff>183905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7B3153B9-C2B1-411C-9C6E-29EA7F19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84740" y="63471816"/>
          <a:ext cx="7581792" cy="1367789"/>
        </a:xfrm>
        <a:prstGeom prst="rect">
          <a:avLst/>
        </a:prstGeom>
      </xdr:spPr>
    </xdr:pic>
    <xdr:clientData/>
  </xdr:twoCellAnchor>
  <xdr:twoCellAnchor>
    <xdr:from>
      <xdr:col>8</xdr:col>
      <xdr:colOff>620220</xdr:colOff>
      <xdr:row>341</xdr:row>
      <xdr:rowOff>136732</xdr:rowOff>
    </xdr:from>
    <xdr:to>
      <xdr:col>20</xdr:col>
      <xdr:colOff>367891</xdr:colOff>
      <xdr:row>348</xdr:row>
      <xdr:rowOff>160588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9CBA114-DC19-4D36-8A28-19365467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24434" y="70295161"/>
          <a:ext cx="8592314" cy="1452606"/>
        </a:xfrm>
        <a:prstGeom prst="rect">
          <a:avLst/>
        </a:prstGeom>
      </xdr:spPr>
    </xdr:pic>
    <xdr:clientData/>
  </xdr:twoCellAnchor>
  <xdr:twoCellAnchor>
    <xdr:from>
      <xdr:col>8</xdr:col>
      <xdr:colOff>715936</xdr:colOff>
      <xdr:row>351</xdr:row>
      <xdr:rowOff>131286</xdr:rowOff>
    </xdr:from>
    <xdr:to>
      <xdr:col>20</xdr:col>
      <xdr:colOff>232982</xdr:colOff>
      <xdr:row>354</xdr:row>
      <xdr:rowOff>4025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169FA4C2-02BD-43F0-B9D8-F4FDAA3CF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07236" y="67834986"/>
          <a:ext cx="8432446" cy="444239"/>
        </a:xfrm>
        <a:prstGeom prst="rect">
          <a:avLst/>
        </a:prstGeom>
      </xdr:spPr>
    </xdr:pic>
    <xdr:clientData/>
  </xdr:twoCellAnchor>
  <xdr:twoCellAnchor>
    <xdr:from>
      <xdr:col>8</xdr:col>
      <xdr:colOff>557194</xdr:colOff>
      <xdr:row>359</xdr:row>
      <xdr:rowOff>63377</xdr:rowOff>
    </xdr:from>
    <xdr:to>
      <xdr:col>20</xdr:col>
      <xdr:colOff>74240</xdr:colOff>
      <xdr:row>363</xdr:row>
      <xdr:rowOff>79579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8DA6CB1-BFD2-4D1E-B81F-B6CE302E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48494" y="69291077"/>
          <a:ext cx="8432446" cy="778202"/>
        </a:xfrm>
        <a:prstGeom prst="rect">
          <a:avLst/>
        </a:prstGeom>
      </xdr:spPr>
    </xdr:pic>
    <xdr:clientData/>
  </xdr:twoCellAnchor>
  <xdr:twoCellAnchor>
    <xdr:from>
      <xdr:col>8</xdr:col>
      <xdr:colOff>632387</xdr:colOff>
      <xdr:row>368</xdr:row>
      <xdr:rowOff>159216</xdr:rowOff>
    </xdr:from>
    <xdr:to>
      <xdr:col>20</xdr:col>
      <xdr:colOff>120604</xdr:colOff>
      <xdr:row>373</xdr:row>
      <xdr:rowOff>2907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3222BD8-6E9B-49E3-BC00-AA19519AE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223687" y="71101416"/>
          <a:ext cx="8403617" cy="796191"/>
        </a:xfrm>
        <a:prstGeom prst="rect">
          <a:avLst/>
        </a:prstGeom>
      </xdr:spPr>
    </xdr:pic>
    <xdr:clientData/>
  </xdr:twoCellAnchor>
  <xdr:twoCellAnchor>
    <xdr:from>
      <xdr:col>8</xdr:col>
      <xdr:colOff>624031</xdr:colOff>
      <xdr:row>377</xdr:row>
      <xdr:rowOff>65028</xdr:rowOff>
    </xdr:from>
    <xdr:to>
      <xdr:col>20</xdr:col>
      <xdr:colOff>131468</xdr:colOff>
      <xdr:row>381</xdr:row>
      <xdr:rowOff>69887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E844CE68-32B3-4938-8917-31E6109AD934}"/>
            </a:ext>
          </a:extLst>
        </xdr:cNvPr>
        <xdr:cNvGrpSpPr/>
      </xdr:nvGrpSpPr>
      <xdr:grpSpPr>
        <a:xfrm>
          <a:off x="7148656" y="78760578"/>
          <a:ext cx="8346637" cy="804959"/>
          <a:chOff x="6949108" y="75247499"/>
          <a:chExt cx="8345065" cy="807251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62E80A88-A5E6-484D-8AD6-DF091646E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/>
          <a:stretch>
            <a:fillRect/>
          </a:stretch>
        </xdr:blipFill>
        <xdr:spPr>
          <a:xfrm>
            <a:off x="6949108" y="75264065"/>
            <a:ext cx="8345065" cy="790685"/>
          </a:xfrm>
          <a:prstGeom prst="rect">
            <a:avLst/>
          </a:prstGeom>
        </xdr:spPr>
      </xdr:pic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A648F4AA-6F9E-4A85-BA51-8F3775CB4653}"/>
              </a:ext>
            </a:extLst>
          </xdr:cNvPr>
          <xdr:cNvSpPr txBox="1"/>
        </xdr:nvSpPr>
        <xdr:spPr>
          <a:xfrm>
            <a:off x="8464827" y="75247499"/>
            <a:ext cx="71391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4th Floor</a:t>
            </a:r>
          </a:p>
        </xdr:txBody>
      </xdr:sp>
    </xdr:grpSp>
    <xdr:clientData/>
  </xdr:twoCellAnchor>
  <xdr:twoCellAnchor>
    <xdr:from>
      <xdr:col>8</xdr:col>
      <xdr:colOff>590615</xdr:colOff>
      <xdr:row>403</xdr:row>
      <xdr:rowOff>76970</xdr:rowOff>
    </xdr:from>
    <xdr:to>
      <xdr:col>20</xdr:col>
      <xdr:colOff>126880</xdr:colOff>
      <xdr:row>411</xdr:row>
      <xdr:rowOff>101552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C6448-9A80-4EBD-9C7D-218939976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81915" y="77686670"/>
          <a:ext cx="8451665" cy="1548582"/>
        </a:xfrm>
        <a:prstGeom prst="rect">
          <a:avLst/>
        </a:prstGeom>
      </xdr:spPr>
    </xdr:pic>
    <xdr:clientData/>
  </xdr:twoCellAnchor>
  <xdr:twoCellAnchor>
    <xdr:from>
      <xdr:col>8</xdr:col>
      <xdr:colOff>842617</xdr:colOff>
      <xdr:row>385</xdr:row>
      <xdr:rowOff>199612</xdr:rowOff>
    </xdr:from>
    <xdr:to>
      <xdr:col>19</xdr:col>
      <xdr:colOff>413320</xdr:colOff>
      <xdr:row>393</xdr:row>
      <xdr:rowOff>111381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C35A856A-C013-4840-9B93-022313A5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367242" y="77514037"/>
          <a:ext cx="7800303" cy="1511969"/>
        </a:xfrm>
        <a:prstGeom prst="rect">
          <a:avLst/>
        </a:prstGeom>
      </xdr:spPr>
    </xdr:pic>
    <xdr:clientData/>
  </xdr:twoCellAnchor>
  <xdr:twoCellAnchor>
    <xdr:from>
      <xdr:col>8</xdr:col>
      <xdr:colOff>348326</xdr:colOff>
      <xdr:row>394</xdr:row>
      <xdr:rowOff>92958</xdr:rowOff>
    </xdr:from>
    <xdr:to>
      <xdr:col>18</xdr:col>
      <xdr:colOff>132884</xdr:colOff>
      <xdr:row>402</xdr:row>
      <xdr:rowOff>107869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089BD9E-ABBE-4E58-9376-CC5C8FEEB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39626" y="75988158"/>
          <a:ext cx="7480758" cy="1538911"/>
        </a:xfrm>
        <a:prstGeom prst="rect">
          <a:avLst/>
        </a:prstGeom>
      </xdr:spPr>
    </xdr:pic>
    <xdr:clientData/>
  </xdr:twoCellAnchor>
  <xdr:twoCellAnchor>
    <xdr:from>
      <xdr:col>8</xdr:col>
      <xdr:colOff>490355</xdr:colOff>
      <xdr:row>421</xdr:row>
      <xdr:rowOff>47342</xdr:rowOff>
    </xdr:from>
    <xdr:to>
      <xdr:col>19</xdr:col>
      <xdr:colOff>568953</xdr:colOff>
      <xdr:row>429</xdr:row>
      <xdr:rowOff>53936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C146444-2D09-46E2-A070-F93476E49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081655" y="81086042"/>
          <a:ext cx="8384398" cy="1530594"/>
        </a:xfrm>
        <a:prstGeom prst="rect">
          <a:avLst/>
        </a:prstGeom>
      </xdr:spPr>
    </xdr:pic>
    <xdr:clientData/>
  </xdr:twoCellAnchor>
  <xdr:twoCellAnchor>
    <xdr:from>
      <xdr:col>8</xdr:col>
      <xdr:colOff>582259</xdr:colOff>
      <xdr:row>412</xdr:row>
      <xdr:rowOff>63330</xdr:rowOff>
    </xdr:from>
    <xdr:to>
      <xdr:col>20</xdr:col>
      <xdr:colOff>70476</xdr:colOff>
      <xdr:row>419</xdr:row>
      <xdr:rowOff>69197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F0B0C42-D0E7-4588-9446-6B7F49C1C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73559" y="79387530"/>
          <a:ext cx="8403617" cy="1339367"/>
        </a:xfrm>
        <a:prstGeom prst="rect">
          <a:avLst/>
        </a:prstGeom>
      </xdr:spPr>
    </xdr:pic>
    <xdr:clientData/>
  </xdr:twoCellAnchor>
  <xdr:twoCellAnchor>
    <xdr:from>
      <xdr:col>8</xdr:col>
      <xdr:colOff>565549</xdr:colOff>
      <xdr:row>430</xdr:row>
      <xdr:rowOff>64981</xdr:rowOff>
    </xdr:from>
    <xdr:to>
      <xdr:col>20</xdr:col>
      <xdr:colOff>72986</xdr:colOff>
      <xdr:row>437</xdr:row>
      <xdr:rowOff>52859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382168F-2981-4630-BF78-5064E34A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156849" y="82818181"/>
          <a:ext cx="8422837" cy="1321378"/>
        </a:xfrm>
        <a:prstGeom prst="rect">
          <a:avLst/>
        </a:prstGeom>
      </xdr:spPr>
    </xdr:pic>
    <xdr:clientData/>
  </xdr:twoCellAnchor>
  <xdr:twoCellAnchor>
    <xdr:from>
      <xdr:col>8</xdr:col>
      <xdr:colOff>711425</xdr:colOff>
      <xdr:row>445</xdr:row>
      <xdr:rowOff>144250</xdr:rowOff>
    </xdr:from>
    <xdr:to>
      <xdr:col>19</xdr:col>
      <xdr:colOff>255214</xdr:colOff>
      <xdr:row>453</xdr:row>
      <xdr:rowOff>44813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F4B93C27-374E-4723-86CA-AE279509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244454" y="93186691"/>
          <a:ext cx="7780113" cy="1514210"/>
        </a:xfrm>
        <a:prstGeom prst="rect">
          <a:avLst/>
        </a:prstGeom>
      </xdr:spPr>
    </xdr:pic>
    <xdr:clientData/>
  </xdr:twoCellAnchor>
  <xdr:twoCellAnchor>
    <xdr:from>
      <xdr:col>8</xdr:col>
      <xdr:colOff>674162</xdr:colOff>
      <xdr:row>448</xdr:row>
      <xdr:rowOff>160474</xdr:rowOff>
    </xdr:from>
    <xdr:to>
      <xdr:col>19</xdr:col>
      <xdr:colOff>256414</xdr:colOff>
      <xdr:row>455</xdr:row>
      <xdr:rowOff>67403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F188473-4E86-4F7F-8E51-8418199D4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265462" y="86342674"/>
          <a:ext cx="7888052" cy="1240429"/>
        </a:xfrm>
        <a:prstGeom prst="rect">
          <a:avLst/>
        </a:prstGeom>
      </xdr:spPr>
    </xdr:pic>
    <xdr:clientData/>
  </xdr:twoCellAnchor>
  <xdr:twoCellAnchor>
    <xdr:from>
      <xdr:col>8</xdr:col>
      <xdr:colOff>245046</xdr:colOff>
      <xdr:row>124</xdr:row>
      <xdr:rowOff>175092</xdr:rowOff>
    </xdr:from>
    <xdr:to>
      <xdr:col>15</xdr:col>
      <xdr:colOff>692417</xdr:colOff>
      <xdr:row>131</xdr:row>
      <xdr:rowOff>186770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37A6591-A789-43BD-A052-B208600C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69671" y="24063792"/>
          <a:ext cx="6067121" cy="1411853"/>
        </a:xfrm>
        <a:prstGeom prst="rect">
          <a:avLst/>
        </a:prstGeom>
      </xdr:spPr>
    </xdr:pic>
    <xdr:clientData/>
  </xdr:twoCellAnchor>
  <xdr:twoCellAnchor>
    <xdr:from>
      <xdr:col>0</xdr:col>
      <xdr:colOff>196466</xdr:colOff>
      <xdr:row>528</xdr:row>
      <xdr:rowOff>150908</xdr:rowOff>
    </xdr:from>
    <xdr:to>
      <xdr:col>7</xdr:col>
      <xdr:colOff>556590</xdr:colOff>
      <xdr:row>558</xdr:row>
      <xdr:rowOff>101330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8A8598D-5570-4B79-B978-5E79AD0E6498}"/>
            </a:ext>
          </a:extLst>
        </xdr:cNvPr>
        <xdr:cNvGrpSpPr/>
      </xdr:nvGrpSpPr>
      <xdr:grpSpPr>
        <a:xfrm>
          <a:off x="196466" y="109564583"/>
          <a:ext cx="6056074" cy="5951172"/>
          <a:chOff x="490620" y="105122570"/>
          <a:chExt cx="6056074" cy="5951173"/>
        </a:xfrm>
      </xdr:grpSpPr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9F57BCC5-6BF6-4E97-895C-B344EB80C55D}"/>
              </a:ext>
            </a:extLst>
          </xdr:cNvPr>
          <xdr:cNvGrpSpPr/>
        </xdr:nvGrpSpPr>
        <xdr:grpSpPr>
          <a:xfrm>
            <a:off x="490620" y="105122570"/>
            <a:ext cx="6056074" cy="5951173"/>
            <a:chOff x="729000" y="789676"/>
            <a:chExt cx="5400000" cy="4046018"/>
          </a:xfrm>
        </xdr:grpSpPr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A841F965-0B88-4177-9A65-86C2206DF1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1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29000" y="789676"/>
              <a:ext cx="5400000" cy="40460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3" name="Rectangle 72">
              <a:extLst>
                <a:ext uri="{FF2B5EF4-FFF2-40B4-BE49-F238E27FC236}">
                  <a16:creationId xmlns:a16="http://schemas.microsoft.com/office/drawing/2014/main" id="{6362271C-5DBF-4FDA-AAB0-EC6B3B3DE3C1}"/>
                </a:ext>
              </a:extLst>
            </xdr:cNvPr>
            <xdr:cNvSpPr/>
          </xdr:nvSpPr>
          <xdr:spPr>
            <a:xfrm>
              <a:off x="3191435" y="1828800"/>
              <a:ext cx="914400" cy="749300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4" name="TextBox 4">
              <a:extLst>
                <a:ext uri="{FF2B5EF4-FFF2-40B4-BE49-F238E27FC236}">
                  <a16:creationId xmlns:a16="http://schemas.microsoft.com/office/drawing/2014/main" id="{1312A652-BA30-440B-B51C-F4780608BA22}"/>
                </a:ext>
              </a:extLst>
            </xdr:cNvPr>
            <xdr:cNvSpPr txBox="1"/>
          </xdr:nvSpPr>
          <xdr:spPr>
            <a:xfrm>
              <a:off x="3129336" y="1597974"/>
              <a:ext cx="1162498" cy="2412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 No. 3</a:t>
              </a:r>
              <a:endParaRPr lang="en-IN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5" name="TextBox 9">
              <a:extLst>
                <a:ext uri="{FF2B5EF4-FFF2-40B4-BE49-F238E27FC236}">
                  <a16:creationId xmlns:a16="http://schemas.microsoft.com/office/drawing/2014/main" id="{EFA195C6-ADD1-4342-82BD-E5ED6961A9E4}"/>
                </a:ext>
              </a:extLst>
            </xdr:cNvPr>
            <xdr:cNvSpPr txBox="1"/>
          </xdr:nvSpPr>
          <xdr:spPr>
            <a:xfrm>
              <a:off x="1331700" y="2921701"/>
              <a:ext cx="1218142" cy="2412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 No. 1</a:t>
              </a:r>
              <a:endParaRPr lang="en-IN" sz="1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6" name="TextBox 10">
              <a:extLst>
                <a:ext uri="{FF2B5EF4-FFF2-40B4-BE49-F238E27FC236}">
                  <a16:creationId xmlns:a16="http://schemas.microsoft.com/office/drawing/2014/main" id="{6FB6B2C0-DFAE-4E6C-8B93-D258E057B151}"/>
                </a:ext>
              </a:extLst>
            </xdr:cNvPr>
            <xdr:cNvSpPr txBox="1"/>
          </xdr:nvSpPr>
          <xdr:spPr>
            <a:xfrm rot="19723965">
              <a:off x="1975288" y="1814031"/>
              <a:ext cx="1173557" cy="2412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 No. 2</a:t>
              </a:r>
              <a:endParaRPr lang="en-IN" sz="1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7" name="TextBox 11">
              <a:extLst>
                <a:ext uri="{FF2B5EF4-FFF2-40B4-BE49-F238E27FC236}">
                  <a16:creationId xmlns:a16="http://schemas.microsoft.com/office/drawing/2014/main" id="{661BBB5A-A07D-4293-8529-B8580EB1BFA7}"/>
                </a:ext>
              </a:extLst>
            </xdr:cNvPr>
            <xdr:cNvSpPr txBox="1"/>
          </xdr:nvSpPr>
          <xdr:spPr>
            <a:xfrm>
              <a:off x="4150051" y="2516134"/>
              <a:ext cx="1213876" cy="19263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 No. 4</a:t>
              </a:r>
              <a:endParaRPr lang="en-IN" sz="16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78" name="Arrow: Right 77">
              <a:extLst>
                <a:ext uri="{FF2B5EF4-FFF2-40B4-BE49-F238E27FC236}">
                  <a16:creationId xmlns:a16="http://schemas.microsoft.com/office/drawing/2014/main" id="{B40D904D-DCDA-41F4-B4D4-B2F574E3D005}"/>
                </a:ext>
              </a:extLst>
            </xdr:cNvPr>
            <xdr:cNvSpPr/>
          </xdr:nvSpPr>
          <xdr:spPr>
            <a:xfrm rot="13508985">
              <a:off x="5377990" y="1552676"/>
              <a:ext cx="457200" cy="355600"/>
            </a:xfrm>
            <a:prstGeom prst="rightArrow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79" name="TextBox 6">
              <a:extLst>
                <a:ext uri="{FF2B5EF4-FFF2-40B4-BE49-F238E27FC236}">
                  <a16:creationId xmlns:a16="http://schemas.microsoft.com/office/drawing/2014/main" id="{75DAD24E-F160-4283-AC77-D091105F222A}"/>
                </a:ext>
              </a:extLst>
            </xdr:cNvPr>
            <xdr:cNvSpPr txBox="1"/>
          </xdr:nvSpPr>
          <xdr:spPr>
            <a:xfrm>
              <a:off x="5690406" y="1845617"/>
              <a:ext cx="333746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N</a:t>
              </a:r>
              <a:endParaRPr lang="en-IN" b="1"/>
            </a:p>
          </xdr:txBody>
        </xdr:sp>
        <xdr:sp macro="" textlink="">
          <xdr:nvSpPr>
            <xdr:cNvPr id="70" name="TextBox 10">
              <a:extLst>
                <a:ext uri="{FF2B5EF4-FFF2-40B4-BE49-F238E27FC236}">
                  <a16:creationId xmlns:a16="http://schemas.microsoft.com/office/drawing/2014/main" id="{6FB6B2C0-DFAE-4E6C-8B93-D258E057B151}"/>
                </a:ext>
              </a:extLst>
            </xdr:cNvPr>
            <xdr:cNvSpPr txBox="1"/>
          </xdr:nvSpPr>
          <xdr:spPr>
            <a:xfrm>
              <a:off x="1077179" y="1307877"/>
              <a:ext cx="1173557" cy="24120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8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Bldg No. 5</a:t>
              </a:r>
              <a:endParaRPr lang="en-IN" sz="18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83" name="Rectangle 82">
              <a:extLst>
                <a:ext uri="{FF2B5EF4-FFF2-40B4-BE49-F238E27FC236}">
                  <a16:creationId xmlns:a16="http://schemas.microsoft.com/office/drawing/2014/main" id="{6362271C-5DBF-4FDA-AAB0-EC6B3B3DE3C1}"/>
                </a:ext>
              </a:extLst>
            </xdr:cNvPr>
            <xdr:cNvSpPr/>
          </xdr:nvSpPr>
          <xdr:spPr>
            <a:xfrm rot="21139683">
              <a:off x="4119481" y="1768364"/>
              <a:ext cx="914400" cy="749300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98758979-E458-4EBD-AAA1-265E27EA16E2}"/>
              </a:ext>
            </a:extLst>
          </xdr:cNvPr>
          <xdr:cNvSpPr/>
        </xdr:nvSpPr>
        <xdr:spPr>
          <a:xfrm>
            <a:off x="1326437" y="107197354"/>
            <a:ext cx="1034182" cy="1097352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id="{A9689EF7-7A68-4E45-9214-121E7B39D87B}"/>
              </a:ext>
            </a:extLst>
          </xdr:cNvPr>
          <xdr:cNvSpPr/>
        </xdr:nvSpPr>
        <xdr:spPr>
          <a:xfrm rot="19775910">
            <a:off x="2302037" y="106911694"/>
            <a:ext cx="1043707" cy="993522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98758979-E458-4EBD-AAA1-265E27EA16E2}"/>
              </a:ext>
            </a:extLst>
          </xdr:cNvPr>
          <xdr:cNvSpPr/>
        </xdr:nvSpPr>
        <xdr:spPr>
          <a:xfrm>
            <a:off x="1203333" y="106250777"/>
            <a:ext cx="456425" cy="677185"/>
          </a:xfrm>
          <a:prstGeom prst="rect">
            <a:avLst/>
          </a:prstGeom>
          <a:noFill/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10</xdr:col>
      <xdr:colOff>40749</xdr:colOff>
      <xdr:row>182</xdr:row>
      <xdr:rowOff>174200</xdr:rowOff>
    </xdr:from>
    <xdr:to>
      <xdr:col>13</xdr:col>
      <xdr:colOff>156595</xdr:colOff>
      <xdr:row>192</xdr:row>
      <xdr:rowOff>90988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474704" y="38430064"/>
          <a:ext cx="2332573" cy="1994968"/>
        </a:xfrm>
        <a:prstGeom prst="rect">
          <a:avLst/>
        </a:prstGeom>
      </xdr:spPr>
    </xdr:pic>
    <xdr:clientData/>
  </xdr:twoCellAnchor>
  <xdr:twoCellAnchor editAs="oneCell">
    <xdr:from>
      <xdr:col>9</xdr:col>
      <xdr:colOff>526799</xdr:colOff>
      <xdr:row>191</xdr:row>
      <xdr:rowOff>83493</xdr:rowOff>
    </xdr:from>
    <xdr:to>
      <xdr:col>17</xdr:col>
      <xdr:colOff>53786</xdr:colOff>
      <xdr:row>210</xdr:row>
      <xdr:rowOff>95250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187620" y="39625850"/>
          <a:ext cx="5378059" cy="388979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489</xdr:row>
      <xdr:rowOff>134469</xdr:rowOff>
    </xdr:from>
    <xdr:to>
      <xdr:col>7</xdr:col>
      <xdr:colOff>638735</xdr:colOff>
      <xdr:row>522</xdr:row>
      <xdr:rowOff>44823</xdr:rowOff>
    </xdr:to>
    <xdr:grpSp>
      <xdr:nvGrpSpPr>
        <xdr:cNvPr id="6" name="Group 5"/>
        <xdr:cNvGrpSpPr/>
      </xdr:nvGrpSpPr>
      <xdr:grpSpPr>
        <a:xfrm>
          <a:off x="190500" y="101747169"/>
          <a:ext cx="6144185" cy="6511179"/>
          <a:chOff x="190500" y="102567440"/>
          <a:chExt cx="6152029" cy="6566648"/>
        </a:xfrm>
      </xdr:grpSpPr>
      <xdr:grpSp>
        <xdr:nvGrpSpPr>
          <xdr:cNvPr id="90" name="Group 89"/>
          <xdr:cNvGrpSpPr/>
        </xdr:nvGrpSpPr>
        <xdr:grpSpPr>
          <a:xfrm>
            <a:off x="190500" y="102567440"/>
            <a:ext cx="6152029" cy="6566648"/>
            <a:chOff x="0" y="614294"/>
            <a:chExt cx="6888838" cy="7200889"/>
          </a:xfrm>
        </xdr:grpSpPr>
        <xdr:pic>
          <xdr:nvPicPr>
            <xdr:cNvPr id="91" name="Picture 90" descr="https://vsjcllp.vsjadon.com/upload/insp-242775-152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602803" y="5277183"/>
              <a:ext cx="1903500" cy="2538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2" name="Picture 91" descr="https://vsjcllp.vsjadon.com/upload/insp-242775-843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57150" y="5277183"/>
              <a:ext cx="1903500" cy="2538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3" name="Picture 92" descr="https://vsjcllp.vsjadon.com/upload/insp-242775-845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3912" y="5277183"/>
              <a:ext cx="1903500" cy="2538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4" name="Picture 93" descr="https://vsjcllp.vsjadon.com/upload/insp-242775-846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614294"/>
              <a:ext cx="3368917" cy="449188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95" name="Picture 94" descr="https://vsjcllp.vsjadon.com/upload/insp-242775-847.jpe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19921" y="614294"/>
              <a:ext cx="3368917" cy="449188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96" name="TextBox 48"/>
          <xdr:cNvSpPr txBox="1"/>
        </xdr:nvSpPr>
        <xdr:spPr>
          <a:xfrm>
            <a:off x="1692088" y="104371589"/>
            <a:ext cx="1447942" cy="33855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 No.1</a:t>
            </a:r>
            <a:endParaRPr lang="en-IN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7" name="TextBox 48"/>
          <xdr:cNvSpPr txBox="1"/>
        </xdr:nvSpPr>
        <xdr:spPr>
          <a:xfrm>
            <a:off x="4840941" y="104001796"/>
            <a:ext cx="1447942" cy="33855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 No.2</a:t>
            </a:r>
            <a:endParaRPr lang="en-IN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8" name="TextBox 48"/>
          <xdr:cNvSpPr txBox="1"/>
        </xdr:nvSpPr>
        <xdr:spPr>
          <a:xfrm>
            <a:off x="772718" y="107002049"/>
            <a:ext cx="1447942" cy="33855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 No.3</a:t>
            </a:r>
            <a:endParaRPr lang="en-IN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yFtqGzKkkn3eXVi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71"/>
  <sheetViews>
    <sheetView tabSelected="1" view="pageBreakPreview" topLeftCell="A577" zoomScaleNormal="100" zoomScaleSheetLayoutView="100" workbookViewId="0">
      <selection activeCell="I589" sqref="I589"/>
    </sheetView>
  </sheetViews>
  <sheetFormatPr defaultColWidth="9.140625" defaultRowHeight="15.75" x14ac:dyDescent="0.25"/>
  <cols>
    <col min="1" max="1" width="11.42578125" style="32" customWidth="1"/>
    <col min="2" max="2" width="12" style="32" customWidth="1"/>
    <col min="3" max="3" width="12.7109375" style="32" customWidth="1"/>
    <col min="4" max="4" width="14.140625" style="32" customWidth="1"/>
    <col min="5" max="7" width="11.7109375" style="32" customWidth="1"/>
    <col min="8" max="8" width="12.42578125" style="32" customWidth="1"/>
    <col min="9" max="9" width="17.42578125" style="15" customWidth="1"/>
    <col min="10" max="10" width="11.42578125" style="15" customWidth="1"/>
    <col min="11" max="11" width="10.5703125" style="15" bestFit="1" customWidth="1"/>
    <col min="12" max="12" width="10.5703125" style="15" customWidth="1"/>
    <col min="13" max="13" width="11.85546875" style="15" customWidth="1"/>
    <col min="14" max="14" width="12.5703125" style="15" customWidth="1"/>
    <col min="15" max="15" width="9.85546875" style="15" customWidth="1"/>
    <col min="16" max="16" width="11.7109375" style="15" customWidth="1"/>
    <col min="17" max="247" width="9.140625" style="15"/>
    <col min="248" max="248" width="8.7109375" style="15" customWidth="1"/>
    <col min="249" max="249" width="9.85546875" style="15" customWidth="1"/>
    <col min="250" max="250" width="14.42578125" style="15" customWidth="1"/>
    <col min="251" max="251" width="7.28515625" style="15" customWidth="1"/>
    <col min="252" max="252" width="5.5703125" style="15" customWidth="1"/>
    <col min="253" max="253" width="9" style="15" customWidth="1"/>
    <col min="254" max="255" width="9.85546875" style="15" customWidth="1"/>
    <col min="256" max="256" width="11.140625" style="15" customWidth="1"/>
    <col min="257" max="257" width="2.85546875" style="15" customWidth="1"/>
    <col min="258" max="258" width="3.5703125" style="15" customWidth="1"/>
    <col min="259" max="503" width="9.140625" style="15"/>
    <col min="504" max="504" width="8.7109375" style="15" customWidth="1"/>
    <col min="505" max="505" width="9.85546875" style="15" customWidth="1"/>
    <col min="506" max="506" width="14.42578125" style="15" customWidth="1"/>
    <col min="507" max="507" width="7.28515625" style="15" customWidth="1"/>
    <col min="508" max="508" width="5.5703125" style="15" customWidth="1"/>
    <col min="509" max="509" width="9" style="15" customWidth="1"/>
    <col min="510" max="511" width="9.85546875" style="15" customWidth="1"/>
    <col min="512" max="512" width="11.140625" style="15" customWidth="1"/>
    <col min="513" max="513" width="2.85546875" style="15" customWidth="1"/>
    <col min="514" max="514" width="3.5703125" style="15" customWidth="1"/>
    <col min="515" max="759" width="9.140625" style="15"/>
    <col min="760" max="760" width="8.7109375" style="15" customWidth="1"/>
    <col min="761" max="761" width="9.85546875" style="15" customWidth="1"/>
    <col min="762" max="762" width="14.42578125" style="15" customWidth="1"/>
    <col min="763" max="763" width="7.28515625" style="15" customWidth="1"/>
    <col min="764" max="764" width="5.5703125" style="15" customWidth="1"/>
    <col min="765" max="765" width="9" style="15" customWidth="1"/>
    <col min="766" max="767" width="9.85546875" style="15" customWidth="1"/>
    <col min="768" max="768" width="11.140625" style="15" customWidth="1"/>
    <col min="769" max="769" width="2.85546875" style="15" customWidth="1"/>
    <col min="770" max="770" width="3.5703125" style="15" customWidth="1"/>
    <col min="771" max="1015" width="9.140625" style="15"/>
    <col min="1016" max="1016" width="8.7109375" style="15" customWidth="1"/>
    <col min="1017" max="1017" width="9.85546875" style="15" customWidth="1"/>
    <col min="1018" max="1018" width="14.42578125" style="15" customWidth="1"/>
    <col min="1019" max="1019" width="7.28515625" style="15" customWidth="1"/>
    <col min="1020" max="1020" width="5.5703125" style="15" customWidth="1"/>
    <col min="1021" max="1021" width="9" style="15" customWidth="1"/>
    <col min="1022" max="1023" width="9.85546875" style="15" customWidth="1"/>
    <col min="1024" max="1024" width="11.140625" style="15" customWidth="1"/>
    <col min="1025" max="1025" width="2.85546875" style="15" customWidth="1"/>
    <col min="1026" max="1026" width="3.5703125" style="15" customWidth="1"/>
    <col min="1027" max="1271" width="9.140625" style="15"/>
    <col min="1272" max="1272" width="8.7109375" style="15" customWidth="1"/>
    <col min="1273" max="1273" width="9.85546875" style="15" customWidth="1"/>
    <col min="1274" max="1274" width="14.42578125" style="15" customWidth="1"/>
    <col min="1275" max="1275" width="7.28515625" style="15" customWidth="1"/>
    <col min="1276" max="1276" width="5.5703125" style="15" customWidth="1"/>
    <col min="1277" max="1277" width="9" style="15" customWidth="1"/>
    <col min="1278" max="1279" width="9.85546875" style="15" customWidth="1"/>
    <col min="1280" max="1280" width="11.140625" style="15" customWidth="1"/>
    <col min="1281" max="1281" width="2.85546875" style="15" customWidth="1"/>
    <col min="1282" max="1282" width="3.5703125" style="15" customWidth="1"/>
    <col min="1283" max="1527" width="9.140625" style="15"/>
    <col min="1528" max="1528" width="8.7109375" style="15" customWidth="1"/>
    <col min="1529" max="1529" width="9.85546875" style="15" customWidth="1"/>
    <col min="1530" max="1530" width="14.42578125" style="15" customWidth="1"/>
    <col min="1531" max="1531" width="7.28515625" style="15" customWidth="1"/>
    <col min="1532" max="1532" width="5.5703125" style="15" customWidth="1"/>
    <col min="1533" max="1533" width="9" style="15" customWidth="1"/>
    <col min="1534" max="1535" width="9.85546875" style="15" customWidth="1"/>
    <col min="1536" max="1536" width="11.140625" style="15" customWidth="1"/>
    <col min="1537" max="1537" width="2.85546875" style="15" customWidth="1"/>
    <col min="1538" max="1538" width="3.5703125" style="15" customWidth="1"/>
    <col min="1539" max="1783" width="9.140625" style="15"/>
    <col min="1784" max="1784" width="8.7109375" style="15" customWidth="1"/>
    <col min="1785" max="1785" width="9.85546875" style="15" customWidth="1"/>
    <col min="1786" max="1786" width="14.42578125" style="15" customWidth="1"/>
    <col min="1787" max="1787" width="7.28515625" style="15" customWidth="1"/>
    <col min="1788" max="1788" width="5.5703125" style="15" customWidth="1"/>
    <col min="1789" max="1789" width="9" style="15" customWidth="1"/>
    <col min="1790" max="1791" width="9.85546875" style="15" customWidth="1"/>
    <col min="1792" max="1792" width="11.140625" style="15" customWidth="1"/>
    <col min="1793" max="1793" width="2.85546875" style="15" customWidth="1"/>
    <col min="1794" max="1794" width="3.5703125" style="15" customWidth="1"/>
    <col min="1795" max="2039" width="9.140625" style="15"/>
    <col min="2040" max="2040" width="8.7109375" style="15" customWidth="1"/>
    <col min="2041" max="2041" width="9.85546875" style="15" customWidth="1"/>
    <col min="2042" max="2042" width="14.42578125" style="15" customWidth="1"/>
    <col min="2043" max="2043" width="7.28515625" style="15" customWidth="1"/>
    <col min="2044" max="2044" width="5.5703125" style="15" customWidth="1"/>
    <col min="2045" max="2045" width="9" style="15" customWidth="1"/>
    <col min="2046" max="2047" width="9.85546875" style="15" customWidth="1"/>
    <col min="2048" max="2048" width="11.140625" style="15" customWidth="1"/>
    <col min="2049" max="2049" width="2.85546875" style="15" customWidth="1"/>
    <col min="2050" max="2050" width="3.5703125" style="15" customWidth="1"/>
    <col min="2051" max="2295" width="9.140625" style="15"/>
    <col min="2296" max="2296" width="8.7109375" style="15" customWidth="1"/>
    <col min="2297" max="2297" width="9.85546875" style="15" customWidth="1"/>
    <col min="2298" max="2298" width="14.42578125" style="15" customWidth="1"/>
    <col min="2299" max="2299" width="7.28515625" style="15" customWidth="1"/>
    <col min="2300" max="2300" width="5.5703125" style="15" customWidth="1"/>
    <col min="2301" max="2301" width="9" style="15" customWidth="1"/>
    <col min="2302" max="2303" width="9.85546875" style="15" customWidth="1"/>
    <col min="2304" max="2304" width="11.140625" style="15" customWidth="1"/>
    <col min="2305" max="2305" width="2.85546875" style="15" customWidth="1"/>
    <col min="2306" max="2306" width="3.5703125" style="15" customWidth="1"/>
    <col min="2307" max="2551" width="9.140625" style="15"/>
    <col min="2552" max="2552" width="8.7109375" style="15" customWidth="1"/>
    <col min="2553" max="2553" width="9.85546875" style="15" customWidth="1"/>
    <col min="2554" max="2554" width="14.42578125" style="15" customWidth="1"/>
    <col min="2555" max="2555" width="7.28515625" style="15" customWidth="1"/>
    <col min="2556" max="2556" width="5.5703125" style="15" customWidth="1"/>
    <col min="2557" max="2557" width="9" style="15" customWidth="1"/>
    <col min="2558" max="2559" width="9.85546875" style="15" customWidth="1"/>
    <col min="2560" max="2560" width="11.140625" style="15" customWidth="1"/>
    <col min="2561" max="2561" width="2.85546875" style="15" customWidth="1"/>
    <col min="2562" max="2562" width="3.5703125" style="15" customWidth="1"/>
    <col min="2563" max="2807" width="9.140625" style="15"/>
    <col min="2808" max="2808" width="8.7109375" style="15" customWidth="1"/>
    <col min="2809" max="2809" width="9.85546875" style="15" customWidth="1"/>
    <col min="2810" max="2810" width="14.42578125" style="15" customWidth="1"/>
    <col min="2811" max="2811" width="7.28515625" style="15" customWidth="1"/>
    <col min="2812" max="2812" width="5.5703125" style="15" customWidth="1"/>
    <col min="2813" max="2813" width="9" style="15" customWidth="1"/>
    <col min="2814" max="2815" width="9.85546875" style="15" customWidth="1"/>
    <col min="2816" max="2816" width="11.140625" style="15" customWidth="1"/>
    <col min="2817" max="2817" width="2.85546875" style="15" customWidth="1"/>
    <col min="2818" max="2818" width="3.5703125" style="15" customWidth="1"/>
    <col min="2819" max="3063" width="9.140625" style="15"/>
    <col min="3064" max="3064" width="8.7109375" style="15" customWidth="1"/>
    <col min="3065" max="3065" width="9.85546875" style="15" customWidth="1"/>
    <col min="3066" max="3066" width="14.42578125" style="15" customWidth="1"/>
    <col min="3067" max="3067" width="7.28515625" style="15" customWidth="1"/>
    <col min="3068" max="3068" width="5.5703125" style="15" customWidth="1"/>
    <col min="3069" max="3069" width="9" style="15" customWidth="1"/>
    <col min="3070" max="3071" width="9.85546875" style="15" customWidth="1"/>
    <col min="3072" max="3072" width="11.140625" style="15" customWidth="1"/>
    <col min="3073" max="3073" width="2.85546875" style="15" customWidth="1"/>
    <col min="3074" max="3074" width="3.5703125" style="15" customWidth="1"/>
    <col min="3075" max="3319" width="9.140625" style="15"/>
    <col min="3320" max="3320" width="8.7109375" style="15" customWidth="1"/>
    <col min="3321" max="3321" width="9.85546875" style="15" customWidth="1"/>
    <col min="3322" max="3322" width="14.42578125" style="15" customWidth="1"/>
    <col min="3323" max="3323" width="7.28515625" style="15" customWidth="1"/>
    <col min="3324" max="3324" width="5.5703125" style="15" customWidth="1"/>
    <col min="3325" max="3325" width="9" style="15" customWidth="1"/>
    <col min="3326" max="3327" width="9.85546875" style="15" customWidth="1"/>
    <col min="3328" max="3328" width="11.140625" style="15" customWidth="1"/>
    <col min="3329" max="3329" width="2.85546875" style="15" customWidth="1"/>
    <col min="3330" max="3330" width="3.5703125" style="15" customWidth="1"/>
    <col min="3331" max="3575" width="9.140625" style="15"/>
    <col min="3576" max="3576" width="8.7109375" style="15" customWidth="1"/>
    <col min="3577" max="3577" width="9.85546875" style="15" customWidth="1"/>
    <col min="3578" max="3578" width="14.42578125" style="15" customWidth="1"/>
    <col min="3579" max="3579" width="7.28515625" style="15" customWidth="1"/>
    <col min="3580" max="3580" width="5.5703125" style="15" customWidth="1"/>
    <col min="3581" max="3581" width="9" style="15" customWidth="1"/>
    <col min="3582" max="3583" width="9.85546875" style="15" customWidth="1"/>
    <col min="3584" max="3584" width="11.140625" style="15" customWidth="1"/>
    <col min="3585" max="3585" width="2.85546875" style="15" customWidth="1"/>
    <col min="3586" max="3586" width="3.5703125" style="15" customWidth="1"/>
    <col min="3587" max="3831" width="9.140625" style="15"/>
    <col min="3832" max="3832" width="8.7109375" style="15" customWidth="1"/>
    <col min="3833" max="3833" width="9.85546875" style="15" customWidth="1"/>
    <col min="3834" max="3834" width="14.42578125" style="15" customWidth="1"/>
    <col min="3835" max="3835" width="7.28515625" style="15" customWidth="1"/>
    <col min="3836" max="3836" width="5.5703125" style="15" customWidth="1"/>
    <col min="3837" max="3837" width="9" style="15" customWidth="1"/>
    <col min="3838" max="3839" width="9.85546875" style="15" customWidth="1"/>
    <col min="3840" max="3840" width="11.140625" style="15" customWidth="1"/>
    <col min="3841" max="3841" width="2.85546875" style="15" customWidth="1"/>
    <col min="3842" max="3842" width="3.5703125" style="15" customWidth="1"/>
    <col min="3843" max="4087" width="9.140625" style="15"/>
    <col min="4088" max="4088" width="8.7109375" style="15" customWidth="1"/>
    <col min="4089" max="4089" width="9.85546875" style="15" customWidth="1"/>
    <col min="4090" max="4090" width="14.42578125" style="15" customWidth="1"/>
    <col min="4091" max="4091" width="7.28515625" style="15" customWidth="1"/>
    <col min="4092" max="4092" width="5.5703125" style="15" customWidth="1"/>
    <col min="4093" max="4093" width="9" style="15" customWidth="1"/>
    <col min="4094" max="4095" width="9.85546875" style="15" customWidth="1"/>
    <col min="4096" max="4096" width="11.140625" style="15" customWidth="1"/>
    <col min="4097" max="4097" width="2.85546875" style="15" customWidth="1"/>
    <col min="4098" max="4098" width="3.5703125" style="15" customWidth="1"/>
    <col min="4099" max="4343" width="9.140625" style="15"/>
    <col min="4344" max="4344" width="8.7109375" style="15" customWidth="1"/>
    <col min="4345" max="4345" width="9.85546875" style="15" customWidth="1"/>
    <col min="4346" max="4346" width="14.42578125" style="15" customWidth="1"/>
    <col min="4347" max="4347" width="7.28515625" style="15" customWidth="1"/>
    <col min="4348" max="4348" width="5.5703125" style="15" customWidth="1"/>
    <col min="4349" max="4349" width="9" style="15" customWidth="1"/>
    <col min="4350" max="4351" width="9.85546875" style="15" customWidth="1"/>
    <col min="4352" max="4352" width="11.140625" style="15" customWidth="1"/>
    <col min="4353" max="4353" width="2.85546875" style="15" customWidth="1"/>
    <col min="4354" max="4354" width="3.5703125" style="15" customWidth="1"/>
    <col min="4355" max="4599" width="9.140625" style="15"/>
    <col min="4600" max="4600" width="8.7109375" style="15" customWidth="1"/>
    <col min="4601" max="4601" width="9.85546875" style="15" customWidth="1"/>
    <col min="4602" max="4602" width="14.42578125" style="15" customWidth="1"/>
    <col min="4603" max="4603" width="7.28515625" style="15" customWidth="1"/>
    <col min="4604" max="4604" width="5.5703125" style="15" customWidth="1"/>
    <col min="4605" max="4605" width="9" style="15" customWidth="1"/>
    <col min="4606" max="4607" width="9.85546875" style="15" customWidth="1"/>
    <col min="4608" max="4608" width="11.140625" style="15" customWidth="1"/>
    <col min="4609" max="4609" width="2.85546875" style="15" customWidth="1"/>
    <col min="4610" max="4610" width="3.5703125" style="15" customWidth="1"/>
    <col min="4611" max="4855" width="9.140625" style="15"/>
    <col min="4856" max="4856" width="8.7109375" style="15" customWidth="1"/>
    <col min="4857" max="4857" width="9.85546875" style="15" customWidth="1"/>
    <col min="4858" max="4858" width="14.42578125" style="15" customWidth="1"/>
    <col min="4859" max="4859" width="7.28515625" style="15" customWidth="1"/>
    <col min="4860" max="4860" width="5.5703125" style="15" customWidth="1"/>
    <col min="4861" max="4861" width="9" style="15" customWidth="1"/>
    <col min="4862" max="4863" width="9.85546875" style="15" customWidth="1"/>
    <col min="4864" max="4864" width="11.140625" style="15" customWidth="1"/>
    <col min="4865" max="4865" width="2.85546875" style="15" customWidth="1"/>
    <col min="4866" max="4866" width="3.5703125" style="15" customWidth="1"/>
    <col min="4867" max="5111" width="9.140625" style="15"/>
    <col min="5112" max="5112" width="8.7109375" style="15" customWidth="1"/>
    <col min="5113" max="5113" width="9.85546875" style="15" customWidth="1"/>
    <col min="5114" max="5114" width="14.42578125" style="15" customWidth="1"/>
    <col min="5115" max="5115" width="7.28515625" style="15" customWidth="1"/>
    <col min="5116" max="5116" width="5.5703125" style="15" customWidth="1"/>
    <col min="5117" max="5117" width="9" style="15" customWidth="1"/>
    <col min="5118" max="5119" width="9.85546875" style="15" customWidth="1"/>
    <col min="5120" max="5120" width="11.140625" style="15" customWidth="1"/>
    <col min="5121" max="5121" width="2.85546875" style="15" customWidth="1"/>
    <col min="5122" max="5122" width="3.5703125" style="15" customWidth="1"/>
    <col min="5123" max="5367" width="9.140625" style="15"/>
    <col min="5368" max="5368" width="8.7109375" style="15" customWidth="1"/>
    <col min="5369" max="5369" width="9.85546875" style="15" customWidth="1"/>
    <col min="5370" max="5370" width="14.42578125" style="15" customWidth="1"/>
    <col min="5371" max="5371" width="7.28515625" style="15" customWidth="1"/>
    <col min="5372" max="5372" width="5.5703125" style="15" customWidth="1"/>
    <col min="5373" max="5373" width="9" style="15" customWidth="1"/>
    <col min="5374" max="5375" width="9.85546875" style="15" customWidth="1"/>
    <col min="5376" max="5376" width="11.140625" style="15" customWidth="1"/>
    <col min="5377" max="5377" width="2.85546875" style="15" customWidth="1"/>
    <col min="5378" max="5378" width="3.5703125" style="15" customWidth="1"/>
    <col min="5379" max="5623" width="9.140625" style="15"/>
    <col min="5624" max="5624" width="8.7109375" style="15" customWidth="1"/>
    <col min="5625" max="5625" width="9.85546875" style="15" customWidth="1"/>
    <col min="5626" max="5626" width="14.42578125" style="15" customWidth="1"/>
    <col min="5627" max="5627" width="7.28515625" style="15" customWidth="1"/>
    <col min="5628" max="5628" width="5.5703125" style="15" customWidth="1"/>
    <col min="5629" max="5629" width="9" style="15" customWidth="1"/>
    <col min="5630" max="5631" width="9.85546875" style="15" customWidth="1"/>
    <col min="5632" max="5632" width="11.140625" style="15" customWidth="1"/>
    <col min="5633" max="5633" width="2.85546875" style="15" customWidth="1"/>
    <col min="5634" max="5634" width="3.5703125" style="15" customWidth="1"/>
    <col min="5635" max="5879" width="9.140625" style="15"/>
    <col min="5880" max="5880" width="8.7109375" style="15" customWidth="1"/>
    <col min="5881" max="5881" width="9.85546875" style="15" customWidth="1"/>
    <col min="5882" max="5882" width="14.42578125" style="15" customWidth="1"/>
    <col min="5883" max="5883" width="7.28515625" style="15" customWidth="1"/>
    <col min="5884" max="5884" width="5.5703125" style="15" customWidth="1"/>
    <col min="5885" max="5885" width="9" style="15" customWidth="1"/>
    <col min="5886" max="5887" width="9.85546875" style="15" customWidth="1"/>
    <col min="5888" max="5888" width="11.140625" style="15" customWidth="1"/>
    <col min="5889" max="5889" width="2.85546875" style="15" customWidth="1"/>
    <col min="5890" max="5890" width="3.5703125" style="15" customWidth="1"/>
    <col min="5891" max="6135" width="9.140625" style="15"/>
    <col min="6136" max="6136" width="8.7109375" style="15" customWidth="1"/>
    <col min="6137" max="6137" width="9.85546875" style="15" customWidth="1"/>
    <col min="6138" max="6138" width="14.42578125" style="15" customWidth="1"/>
    <col min="6139" max="6139" width="7.28515625" style="15" customWidth="1"/>
    <col min="6140" max="6140" width="5.5703125" style="15" customWidth="1"/>
    <col min="6141" max="6141" width="9" style="15" customWidth="1"/>
    <col min="6142" max="6143" width="9.85546875" style="15" customWidth="1"/>
    <col min="6144" max="6144" width="11.140625" style="15" customWidth="1"/>
    <col min="6145" max="6145" width="2.85546875" style="15" customWidth="1"/>
    <col min="6146" max="6146" width="3.5703125" style="15" customWidth="1"/>
    <col min="6147" max="6391" width="9.140625" style="15"/>
    <col min="6392" max="6392" width="8.7109375" style="15" customWidth="1"/>
    <col min="6393" max="6393" width="9.85546875" style="15" customWidth="1"/>
    <col min="6394" max="6394" width="14.42578125" style="15" customWidth="1"/>
    <col min="6395" max="6395" width="7.28515625" style="15" customWidth="1"/>
    <col min="6396" max="6396" width="5.5703125" style="15" customWidth="1"/>
    <col min="6397" max="6397" width="9" style="15" customWidth="1"/>
    <col min="6398" max="6399" width="9.85546875" style="15" customWidth="1"/>
    <col min="6400" max="6400" width="11.140625" style="15" customWidth="1"/>
    <col min="6401" max="6401" width="2.85546875" style="15" customWidth="1"/>
    <col min="6402" max="6402" width="3.5703125" style="15" customWidth="1"/>
    <col min="6403" max="6647" width="9.140625" style="15"/>
    <col min="6648" max="6648" width="8.7109375" style="15" customWidth="1"/>
    <col min="6649" max="6649" width="9.85546875" style="15" customWidth="1"/>
    <col min="6650" max="6650" width="14.42578125" style="15" customWidth="1"/>
    <col min="6651" max="6651" width="7.28515625" style="15" customWidth="1"/>
    <col min="6652" max="6652" width="5.5703125" style="15" customWidth="1"/>
    <col min="6653" max="6653" width="9" style="15" customWidth="1"/>
    <col min="6654" max="6655" width="9.85546875" style="15" customWidth="1"/>
    <col min="6656" max="6656" width="11.140625" style="15" customWidth="1"/>
    <col min="6657" max="6657" width="2.85546875" style="15" customWidth="1"/>
    <col min="6658" max="6658" width="3.5703125" style="15" customWidth="1"/>
    <col min="6659" max="6903" width="9.140625" style="15"/>
    <col min="6904" max="6904" width="8.7109375" style="15" customWidth="1"/>
    <col min="6905" max="6905" width="9.85546875" style="15" customWidth="1"/>
    <col min="6906" max="6906" width="14.42578125" style="15" customWidth="1"/>
    <col min="6907" max="6907" width="7.28515625" style="15" customWidth="1"/>
    <col min="6908" max="6908" width="5.5703125" style="15" customWidth="1"/>
    <col min="6909" max="6909" width="9" style="15" customWidth="1"/>
    <col min="6910" max="6911" width="9.85546875" style="15" customWidth="1"/>
    <col min="6912" max="6912" width="11.140625" style="15" customWidth="1"/>
    <col min="6913" max="6913" width="2.85546875" style="15" customWidth="1"/>
    <col min="6914" max="6914" width="3.5703125" style="15" customWidth="1"/>
    <col min="6915" max="7159" width="9.140625" style="15"/>
    <col min="7160" max="7160" width="8.7109375" style="15" customWidth="1"/>
    <col min="7161" max="7161" width="9.85546875" style="15" customWidth="1"/>
    <col min="7162" max="7162" width="14.42578125" style="15" customWidth="1"/>
    <col min="7163" max="7163" width="7.28515625" style="15" customWidth="1"/>
    <col min="7164" max="7164" width="5.5703125" style="15" customWidth="1"/>
    <col min="7165" max="7165" width="9" style="15" customWidth="1"/>
    <col min="7166" max="7167" width="9.85546875" style="15" customWidth="1"/>
    <col min="7168" max="7168" width="11.140625" style="15" customWidth="1"/>
    <col min="7169" max="7169" width="2.85546875" style="15" customWidth="1"/>
    <col min="7170" max="7170" width="3.5703125" style="15" customWidth="1"/>
    <col min="7171" max="7415" width="9.140625" style="15"/>
    <col min="7416" max="7416" width="8.7109375" style="15" customWidth="1"/>
    <col min="7417" max="7417" width="9.85546875" style="15" customWidth="1"/>
    <col min="7418" max="7418" width="14.42578125" style="15" customWidth="1"/>
    <col min="7419" max="7419" width="7.28515625" style="15" customWidth="1"/>
    <col min="7420" max="7420" width="5.5703125" style="15" customWidth="1"/>
    <col min="7421" max="7421" width="9" style="15" customWidth="1"/>
    <col min="7422" max="7423" width="9.85546875" style="15" customWidth="1"/>
    <col min="7424" max="7424" width="11.140625" style="15" customWidth="1"/>
    <col min="7425" max="7425" width="2.85546875" style="15" customWidth="1"/>
    <col min="7426" max="7426" width="3.5703125" style="15" customWidth="1"/>
    <col min="7427" max="7671" width="9.140625" style="15"/>
    <col min="7672" max="7672" width="8.7109375" style="15" customWidth="1"/>
    <col min="7673" max="7673" width="9.85546875" style="15" customWidth="1"/>
    <col min="7674" max="7674" width="14.42578125" style="15" customWidth="1"/>
    <col min="7675" max="7675" width="7.28515625" style="15" customWidth="1"/>
    <col min="7676" max="7676" width="5.5703125" style="15" customWidth="1"/>
    <col min="7677" max="7677" width="9" style="15" customWidth="1"/>
    <col min="7678" max="7679" width="9.85546875" style="15" customWidth="1"/>
    <col min="7680" max="7680" width="11.140625" style="15" customWidth="1"/>
    <col min="7681" max="7681" width="2.85546875" style="15" customWidth="1"/>
    <col min="7682" max="7682" width="3.5703125" style="15" customWidth="1"/>
    <col min="7683" max="7927" width="9.140625" style="15"/>
    <col min="7928" max="7928" width="8.7109375" style="15" customWidth="1"/>
    <col min="7929" max="7929" width="9.85546875" style="15" customWidth="1"/>
    <col min="7930" max="7930" width="14.42578125" style="15" customWidth="1"/>
    <col min="7931" max="7931" width="7.28515625" style="15" customWidth="1"/>
    <col min="7932" max="7932" width="5.5703125" style="15" customWidth="1"/>
    <col min="7933" max="7933" width="9" style="15" customWidth="1"/>
    <col min="7934" max="7935" width="9.85546875" style="15" customWidth="1"/>
    <col min="7936" max="7936" width="11.140625" style="15" customWidth="1"/>
    <col min="7937" max="7937" width="2.85546875" style="15" customWidth="1"/>
    <col min="7938" max="7938" width="3.5703125" style="15" customWidth="1"/>
    <col min="7939" max="8183" width="9.140625" style="15"/>
    <col min="8184" max="8184" width="8.7109375" style="15" customWidth="1"/>
    <col min="8185" max="8185" width="9.85546875" style="15" customWidth="1"/>
    <col min="8186" max="8186" width="14.42578125" style="15" customWidth="1"/>
    <col min="8187" max="8187" width="7.28515625" style="15" customWidth="1"/>
    <col min="8188" max="8188" width="5.5703125" style="15" customWidth="1"/>
    <col min="8189" max="8189" width="9" style="15" customWidth="1"/>
    <col min="8190" max="8191" width="9.85546875" style="15" customWidth="1"/>
    <col min="8192" max="8192" width="11.140625" style="15" customWidth="1"/>
    <col min="8193" max="8193" width="2.85546875" style="15" customWidth="1"/>
    <col min="8194" max="8194" width="3.5703125" style="15" customWidth="1"/>
    <col min="8195" max="8439" width="9.140625" style="15"/>
    <col min="8440" max="8440" width="8.7109375" style="15" customWidth="1"/>
    <col min="8441" max="8441" width="9.85546875" style="15" customWidth="1"/>
    <col min="8442" max="8442" width="14.42578125" style="15" customWidth="1"/>
    <col min="8443" max="8443" width="7.28515625" style="15" customWidth="1"/>
    <col min="8444" max="8444" width="5.5703125" style="15" customWidth="1"/>
    <col min="8445" max="8445" width="9" style="15" customWidth="1"/>
    <col min="8446" max="8447" width="9.85546875" style="15" customWidth="1"/>
    <col min="8448" max="8448" width="11.140625" style="15" customWidth="1"/>
    <col min="8449" max="8449" width="2.85546875" style="15" customWidth="1"/>
    <col min="8450" max="8450" width="3.5703125" style="15" customWidth="1"/>
    <col min="8451" max="8695" width="9.140625" style="15"/>
    <col min="8696" max="8696" width="8.7109375" style="15" customWidth="1"/>
    <col min="8697" max="8697" width="9.85546875" style="15" customWidth="1"/>
    <col min="8698" max="8698" width="14.42578125" style="15" customWidth="1"/>
    <col min="8699" max="8699" width="7.28515625" style="15" customWidth="1"/>
    <col min="8700" max="8700" width="5.5703125" style="15" customWidth="1"/>
    <col min="8701" max="8701" width="9" style="15" customWidth="1"/>
    <col min="8702" max="8703" width="9.85546875" style="15" customWidth="1"/>
    <col min="8704" max="8704" width="11.140625" style="15" customWidth="1"/>
    <col min="8705" max="8705" width="2.85546875" style="15" customWidth="1"/>
    <col min="8706" max="8706" width="3.5703125" style="15" customWidth="1"/>
    <col min="8707" max="8951" width="9.140625" style="15"/>
    <col min="8952" max="8952" width="8.7109375" style="15" customWidth="1"/>
    <col min="8953" max="8953" width="9.85546875" style="15" customWidth="1"/>
    <col min="8954" max="8954" width="14.42578125" style="15" customWidth="1"/>
    <col min="8955" max="8955" width="7.28515625" style="15" customWidth="1"/>
    <col min="8956" max="8956" width="5.5703125" style="15" customWidth="1"/>
    <col min="8957" max="8957" width="9" style="15" customWidth="1"/>
    <col min="8958" max="8959" width="9.85546875" style="15" customWidth="1"/>
    <col min="8960" max="8960" width="11.140625" style="15" customWidth="1"/>
    <col min="8961" max="8961" width="2.85546875" style="15" customWidth="1"/>
    <col min="8962" max="8962" width="3.5703125" style="15" customWidth="1"/>
    <col min="8963" max="9207" width="9.140625" style="15"/>
    <col min="9208" max="9208" width="8.7109375" style="15" customWidth="1"/>
    <col min="9209" max="9209" width="9.85546875" style="15" customWidth="1"/>
    <col min="9210" max="9210" width="14.42578125" style="15" customWidth="1"/>
    <col min="9211" max="9211" width="7.28515625" style="15" customWidth="1"/>
    <col min="9212" max="9212" width="5.5703125" style="15" customWidth="1"/>
    <col min="9213" max="9213" width="9" style="15" customWidth="1"/>
    <col min="9214" max="9215" width="9.85546875" style="15" customWidth="1"/>
    <col min="9216" max="9216" width="11.140625" style="15" customWidth="1"/>
    <col min="9217" max="9217" width="2.85546875" style="15" customWidth="1"/>
    <col min="9218" max="9218" width="3.5703125" style="15" customWidth="1"/>
    <col min="9219" max="9463" width="9.140625" style="15"/>
    <col min="9464" max="9464" width="8.7109375" style="15" customWidth="1"/>
    <col min="9465" max="9465" width="9.85546875" style="15" customWidth="1"/>
    <col min="9466" max="9466" width="14.42578125" style="15" customWidth="1"/>
    <col min="9467" max="9467" width="7.28515625" style="15" customWidth="1"/>
    <col min="9468" max="9468" width="5.5703125" style="15" customWidth="1"/>
    <col min="9469" max="9469" width="9" style="15" customWidth="1"/>
    <col min="9470" max="9471" width="9.85546875" style="15" customWidth="1"/>
    <col min="9472" max="9472" width="11.140625" style="15" customWidth="1"/>
    <col min="9473" max="9473" width="2.85546875" style="15" customWidth="1"/>
    <col min="9474" max="9474" width="3.5703125" style="15" customWidth="1"/>
    <col min="9475" max="9719" width="9.140625" style="15"/>
    <col min="9720" max="9720" width="8.7109375" style="15" customWidth="1"/>
    <col min="9721" max="9721" width="9.85546875" style="15" customWidth="1"/>
    <col min="9722" max="9722" width="14.42578125" style="15" customWidth="1"/>
    <col min="9723" max="9723" width="7.28515625" style="15" customWidth="1"/>
    <col min="9724" max="9724" width="5.5703125" style="15" customWidth="1"/>
    <col min="9725" max="9725" width="9" style="15" customWidth="1"/>
    <col min="9726" max="9727" width="9.85546875" style="15" customWidth="1"/>
    <col min="9728" max="9728" width="11.140625" style="15" customWidth="1"/>
    <col min="9729" max="9729" width="2.85546875" style="15" customWidth="1"/>
    <col min="9730" max="9730" width="3.5703125" style="15" customWidth="1"/>
    <col min="9731" max="9975" width="9.140625" style="15"/>
    <col min="9976" max="9976" width="8.7109375" style="15" customWidth="1"/>
    <col min="9977" max="9977" width="9.85546875" style="15" customWidth="1"/>
    <col min="9978" max="9978" width="14.42578125" style="15" customWidth="1"/>
    <col min="9979" max="9979" width="7.28515625" style="15" customWidth="1"/>
    <col min="9980" max="9980" width="5.5703125" style="15" customWidth="1"/>
    <col min="9981" max="9981" width="9" style="15" customWidth="1"/>
    <col min="9982" max="9983" width="9.85546875" style="15" customWidth="1"/>
    <col min="9984" max="9984" width="11.140625" style="15" customWidth="1"/>
    <col min="9985" max="9985" width="2.85546875" style="15" customWidth="1"/>
    <col min="9986" max="9986" width="3.5703125" style="15" customWidth="1"/>
    <col min="9987" max="10231" width="9.140625" style="15"/>
    <col min="10232" max="10232" width="8.7109375" style="15" customWidth="1"/>
    <col min="10233" max="10233" width="9.85546875" style="15" customWidth="1"/>
    <col min="10234" max="10234" width="14.42578125" style="15" customWidth="1"/>
    <col min="10235" max="10235" width="7.28515625" style="15" customWidth="1"/>
    <col min="10236" max="10236" width="5.5703125" style="15" customWidth="1"/>
    <col min="10237" max="10237" width="9" style="15" customWidth="1"/>
    <col min="10238" max="10239" width="9.85546875" style="15" customWidth="1"/>
    <col min="10240" max="10240" width="11.140625" style="15" customWidth="1"/>
    <col min="10241" max="10241" width="2.85546875" style="15" customWidth="1"/>
    <col min="10242" max="10242" width="3.5703125" style="15" customWidth="1"/>
    <col min="10243" max="10487" width="9.140625" style="15"/>
    <col min="10488" max="10488" width="8.7109375" style="15" customWidth="1"/>
    <col min="10489" max="10489" width="9.85546875" style="15" customWidth="1"/>
    <col min="10490" max="10490" width="14.42578125" style="15" customWidth="1"/>
    <col min="10491" max="10491" width="7.28515625" style="15" customWidth="1"/>
    <col min="10492" max="10492" width="5.5703125" style="15" customWidth="1"/>
    <col min="10493" max="10493" width="9" style="15" customWidth="1"/>
    <col min="10494" max="10495" width="9.85546875" style="15" customWidth="1"/>
    <col min="10496" max="10496" width="11.140625" style="15" customWidth="1"/>
    <col min="10497" max="10497" width="2.85546875" style="15" customWidth="1"/>
    <col min="10498" max="10498" width="3.5703125" style="15" customWidth="1"/>
    <col min="10499" max="10743" width="9.140625" style="15"/>
    <col min="10744" max="10744" width="8.7109375" style="15" customWidth="1"/>
    <col min="10745" max="10745" width="9.85546875" style="15" customWidth="1"/>
    <col min="10746" max="10746" width="14.42578125" style="15" customWidth="1"/>
    <col min="10747" max="10747" width="7.28515625" style="15" customWidth="1"/>
    <col min="10748" max="10748" width="5.5703125" style="15" customWidth="1"/>
    <col min="10749" max="10749" width="9" style="15" customWidth="1"/>
    <col min="10750" max="10751" width="9.85546875" style="15" customWidth="1"/>
    <col min="10752" max="10752" width="11.140625" style="15" customWidth="1"/>
    <col min="10753" max="10753" width="2.85546875" style="15" customWidth="1"/>
    <col min="10754" max="10754" width="3.5703125" style="15" customWidth="1"/>
    <col min="10755" max="10999" width="9.140625" style="15"/>
    <col min="11000" max="11000" width="8.7109375" style="15" customWidth="1"/>
    <col min="11001" max="11001" width="9.85546875" style="15" customWidth="1"/>
    <col min="11002" max="11002" width="14.42578125" style="15" customWidth="1"/>
    <col min="11003" max="11003" width="7.28515625" style="15" customWidth="1"/>
    <col min="11004" max="11004" width="5.5703125" style="15" customWidth="1"/>
    <col min="11005" max="11005" width="9" style="15" customWidth="1"/>
    <col min="11006" max="11007" width="9.85546875" style="15" customWidth="1"/>
    <col min="11008" max="11008" width="11.140625" style="15" customWidth="1"/>
    <col min="11009" max="11009" width="2.85546875" style="15" customWidth="1"/>
    <col min="11010" max="11010" width="3.5703125" style="15" customWidth="1"/>
    <col min="11011" max="11255" width="9.140625" style="15"/>
    <col min="11256" max="11256" width="8.7109375" style="15" customWidth="1"/>
    <col min="11257" max="11257" width="9.85546875" style="15" customWidth="1"/>
    <col min="11258" max="11258" width="14.42578125" style="15" customWidth="1"/>
    <col min="11259" max="11259" width="7.28515625" style="15" customWidth="1"/>
    <col min="11260" max="11260" width="5.5703125" style="15" customWidth="1"/>
    <col min="11261" max="11261" width="9" style="15" customWidth="1"/>
    <col min="11262" max="11263" width="9.85546875" style="15" customWidth="1"/>
    <col min="11264" max="11264" width="11.140625" style="15" customWidth="1"/>
    <col min="11265" max="11265" width="2.85546875" style="15" customWidth="1"/>
    <col min="11266" max="11266" width="3.5703125" style="15" customWidth="1"/>
    <col min="11267" max="11511" width="9.140625" style="15"/>
    <col min="11512" max="11512" width="8.7109375" style="15" customWidth="1"/>
    <col min="11513" max="11513" width="9.85546875" style="15" customWidth="1"/>
    <col min="11514" max="11514" width="14.42578125" style="15" customWidth="1"/>
    <col min="11515" max="11515" width="7.28515625" style="15" customWidth="1"/>
    <col min="11516" max="11516" width="5.5703125" style="15" customWidth="1"/>
    <col min="11517" max="11517" width="9" style="15" customWidth="1"/>
    <col min="11518" max="11519" width="9.85546875" style="15" customWidth="1"/>
    <col min="11520" max="11520" width="11.140625" style="15" customWidth="1"/>
    <col min="11521" max="11521" width="2.85546875" style="15" customWidth="1"/>
    <col min="11522" max="11522" width="3.5703125" style="15" customWidth="1"/>
    <col min="11523" max="11767" width="9.140625" style="15"/>
    <col min="11768" max="11768" width="8.7109375" style="15" customWidth="1"/>
    <col min="11769" max="11769" width="9.85546875" style="15" customWidth="1"/>
    <col min="11770" max="11770" width="14.42578125" style="15" customWidth="1"/>
    <col min="11771" max="11771" width="7.28515625" style="15" customWidth="1"/>
    <col min="11772" max="11772" width="5.5703125" style="15" customWidth="1"/>
    <col min="11773" max="11773" width="9" style="15" customWidth="1"/>
    <col min="11774" max="11775" width="9.85546875" style="15" customWidth="1"/>
    <col min="11776" max="11776" width="11.140625" style="15" customWidth="1"/>
    <col min="11777" max="11777" width="2.85546875" style="15" customWidth="1"/>
    <col min="11778" max="11778" width="3.5703125" style="15" customWidth="1"/>
    <col min="11779" max="12023" width="9.140625" style="15"/>
    <col min="12024" max="12024" width="8.7109375" style="15" customWidth="1"/>
    <col min="12025" max="12025" width="9.85546875" style="15" customWidth="1"/>
    <col min="12026" max="12026" width="14.42578125" style="15" customWidth="1"/>
    <col min="12027" max="12027" width="7.28515625" style="15" customWidth="1"/>
    <col min="12028" max="12028" width="5.5703125" style="15" customWidth="1"/>
    <col min="12029" max="12029" width="9" style="15" customWidth="1"/>
    <col min="12030" max="12031" width="9.85546875" style="15" customWidth="1"/>
    <col min="12032" max="12032" width="11.140625" style="15" customWidth="1"/>
    <col min="12033" max="12033" width="2.85546875" style="15" customWidth="1"/>
    <col min="12034" max="12034" width="3.5703125" style="15" customWidth="1"/>
    <col min="12035" max="12279" width="9.140625" style="15"/>
    <col min="12280" max="12280" width="8.7109375" style="15" customWidth="1"/>
    <col min="12281" max="12281" width="9.85546875" style="15" customWidth="1"/>
    <col min="12282" max="12282" width="14.42578125" style="15" customWidth="1"/>
    <col min="12283" max="12283" width="7.28515625" style="15" customWidth="1"/>
    <col min="12284" max="12284" width="5.5703125" style="15" customWidth="1"/>
    <col min="12285" max="12285" width="9" style="15" customWidth="1"/>
    <col min="12286" max="12287" width="9.85546875" style="15" customWidth="1"/>
    <col min="12288" max="12288" width="11.140625" style="15" customWidth="1"/>
    <col min="12289" max="12289" width="2.85546875" style="15" customWidth="1"/>
    <col min="12290" max="12290" width="3.5703125" style="15" customWidth="1"/>
    <col min="12291" max="12535" width="9.140625" style="15"/>
    <col min="12536" max="12536" width="8.7109375" style="15" customWidth="1"/>
    <col min="12537" max="12537" width="9.85546875" style="15" customWidth="1"/>
    <col min="12538" max="12538" width="14.42578125" style="15" customWidth="1"/>
    <col min="12539" max="12539" width="7.28515625" style="15" customWidth="1"/>
    <col min="12540" max="12540" width="5.5703125" style="15" customWidth="1"/>
    <col min="12541" max="12541" width="9" style="15" customWidth="1"/>
    <col min="12542" max="12543" width="9.85546875" style="15" customWidth="1"/>
    <col min="12544" max="12544" width="11.140625" style="15" customWidth="1"/>
    <col min="12545" max="12545" width="2.85546875" style="15" customWidth="1"/>
    <col min="12546" max="12546" width="3.5703125" style="15" customWidth="1"/>
    <col min="12547" max="12791" width="9.140625" style="15"/>
    <col min="12792" max="12792" width="8.7109375" style="15" customWidth="1"/>
    <col min="12793" max="12793" width="9.85546875" style="15" customWidth="1"/>
    <col min="12794" max="12794" width="14.42578125" style="15" customWidth="1"/>
    <col min="12795" max="12795" width="7.28515625" style="15" customWidth="1"/>
    <col min="12796" max="12796" width="5.5703125" style="15" customWidth="1"/>
    <col min="12797" max="12797" width="9" style="15" customWidth="1"/>
    <col min="12798" max="12799" width="9.85546875" style="15" customWidth="1"/>
    <col min="12800" max="12800" width="11.140625" style="15" customWidth="1"/>
    <col min="12801" max="12801" width="2.85546875" style="15" customWidth="1"/>
    <col min="12802" max="12802" width="3.5703125" style="15" customWidth="1"/>
    <col min="12803" max="13047" width="9.140625" style="15"/>
    <col min="13048" max="13048" width="8.7109375" style="15" customWidth="1"/>
    <col min="13049" max="13049" width="9.85546875" style="15" customWidth="1"/>
    <col min="13050" max="13050" width="14.42578125" style="15" customWidth="1"/>
    <col min="13051" max="13051" width="7.28515625" style="15" customWidth="1"/>
    <col min="13052" max="13052" width="5.5703125" style="15" customWidth="1"/>
    <col min="13053" max="13053" width="9" style="15" customWidth="1"/>
    <col min="13054" max="13055" width="9.85546875" style="15" customWidth="1"/>
    <col min="13056" max="13056" width="11.140625" style="15" customWidth="1"/>
    <col min="13057" max="13057" width="2.85546875" style="15" customWidth="1"/>
    <col min="13058" max="13058" width="3.5703125" style="15" customWidth="1"/>
    <col min="13059" max="13303" width="9.140625" style="15"/>
    <col min="13304" max="13304" width="8.7109375" style="15" customWidth="1"/>
    <col min="13305" max="13305" width="9.85546875" style="15" customWidth="1"/>
    <col min="13306" max="13306" width="14.42578125" style="15" customWidth="1"/>
    <col min="13307" max="13307" width="7.28515625" style="15" customWidth="1"/>
    <col min="13308" max="13308" width="5.5703125" style="15" customWidth="1"/>
    <col min="13309" max="13309" width="9" style="15" customWidth="1"/>
    <col min="13310" max="13311" width="9.85546875" style="15" customWidth="1"/>
    <col min="13312" max="13312" width="11.140625" style="15" customWidth="1"/>
    <col min="13313" max="13313" width="2.85546875" style="15" customWidth="1"/>
    <col min="13314" max="13314" width="3.5703125" style="15" customWidth="1"/>
    <col min="13315" max="13559" width="9.140625" style="15"/>
    <col min="13560" max="13560" width="8.7109375" style="15" customWidth="1"/>
    <col min="13561" max="13561" width="9.85546875" style="15" customWidth="1"/>
    <col min="13562" max="13562" width="14.42578125" style="15" customWidth="1"/>
    <col min="13563" max="13563" width="7.28515625" style="15" customWidth="1"/>
    <col min="13564" max="13564" width="5.5703125" style="15" customWidth="1"/>
    <col min="13565" max="13565" width="9" style="15" customWidth="1"/>
    <col min="13566" max="13567" width="9.85546875" style="15" customWidth="1"/>
    <col min="13568" max="13568" width="11.140625" style="15" customWidth="1"/>
    <col min="13569" max="13569" width="2.85546875" style="15" customWidth="1"/>
    <col min="13570" max="13570" width="3.5703125" style="15" customWidth="1"/>
    <col min="13571" max="13815" width="9.140625" style="15"/>
    <col min="13816" max="13816" width="8.7109375" style="15" customWidth="1"/>
    <col min="13817" max="13817" width="9.85546875" style="15" customWidth="1"/>
    <col min="13818" max="13818" width="14.42578125" style="15" customWidth="1"/>
    <col min="13819" max="13819" width="7.28515625" style="15" customWidth="1"/>
    <col min="13820" max="13820" width="5.5703125" style="15" customWidth="1"/>
    <col min="13821" max="13821" width="9" style="15" customWidth="1"/>
    <col min="13822" max="13823" width="9.85546875" style="15" customWidth="1"/>
    <col min="13824" max="13824" width="11.140625" style="15" customWidth="1"/>
    <col min="13825" max="13825" width="2.85546875" style="15" customWidth="1"/>
    <col min="13826" max="13826" width="3.5703125" style="15" customWidth="1"/>
    <col min="13827" max="14071" width="9.140625" style="15"/>
    <col min="14072" max="14072" width="8.7109375" style="15" customWidth="1"/>
    <col min="14073" max="14073" width="9.85546875" style="15" customWidth="1"/>
    <col min="14074" max="14074" width="14.42578125" style="15" customWidth="1"/>
    <col min="14075" max="14075" width="7.28515625" style="15" customWidth="1"/>
    <col min="14076" max="14076" width="5.5703125" style="15" customWidth="1"/>
    <col min="14077" max="14077" width="9" style="15" customWidth="1"/>
    <col min="14078" max="14079" width="9.85546875" style="15" customWidth="1"/>
    <col min="14080" max="14080" width="11.140625" style="15" customWidth="1"/>
    <col min="14081" max="14081" width="2.85546875" style="15" customWidth="1"/>
    <col min="14082" max="14082" width="3.5703125" style="15" customWidth="1"/>
    <col min="14083" max="14327" width="9.140625" style="15"/>
    <col min="14328" max="14328" width="8.7109375" style="15" customWidth="1"/>
    <col min="14329" max="14329" width="9.85546875" style="15" customWidth="1"/>
    <col min="14330" max="14330" width="14.42578125" style="15" customWidth="1"/>
    <col min="14331" max="14331" width="7.28515625" style="15" customWidth="1"/>
    <col min="14332" max="14332" width="5.5703125" style="15" customWidth="1"/>
    <col min="14333" max="14333" width="9" style="15" customWidth="1"/>
    <col min="14334" max="14335" width="9.85546875" style="15" customWidth="1"/>
    <col min="14336" max="14336" width="11.140625" style="15" customWidth="1"/>
    <col min="14337" max="14337" width="2.85546875" style="15" customWidth="1"/>
    <col min="14338" max="14338" width="3.5703125" style="15" customWidth="1"/>
    <col min="14339" max="14583" width="9.140625" style="15"/>
    <col min="14584" max="14584" width="8.7109375" style="15" customWidth="1"/>
    <col min="14585" max="14585" width="9.85546875" style="15" customWidth="1"/>
    <col min="14586" max="14586" width="14.42578125" style="15" customWidth="1"/>
    <col min="14587" max="14587" width="7.28515625" style="15" customWidth="1"/>
    <col min="14588" max="14588" width="5.5703125" style="15" customWidth="1"/>
    <col min="14589" max="14589" width="9" style="15" customWidth="1"/>
    <col min="14590" max="14591" width="9.85546875" style="15" customWidth="1"/>
    <col min="14592" max="14592" width="11.140625" style="15" customWidth="1"/>
    <col min="14593" max="14593" width="2.85546875" style="15" customWidth="1"/>
    <col min="14594" max="14594" width="3.5703125" style="15" customWidth="1"/>
    <col min="14595" max="14839" width="9.140625" style="15"/>
    <col min="14840" max="14840" width="8.7109375" style="15" customWidth="1"/>
    <col min="14841" max="14841" width="9.85546875" style="15" customWidth="1"/>
    <col min="14842" max="14842" width="14.42578125" style="15" customWidth="1"/>
    <col min="14843" max="14843" width="7.28515625" style="15" customWidth="1"/>
    <col min="14844" max="14844" width="5.5703125" style="15" customWidth="1"/>
    <col min="14845" max="14845" width="9" style="15" customWidth="1"/>
    <col min="14846" max="14847" width="9.85546875" style="15" customWidth="1"/>
    <col min="14848" max="14848" width="11.140625" style="15" customWidth="1"/>
    <col min="14849" max="14849" width="2.85546875" style="15" customWidth="1"/>
    <col min="14850" max="14850" width="3.5703125" style="15" customWidth="1"/>
    <col min="14851" max="15095" width="9.140625" style="15"/>
    <col min="15096" max="15096" width="8.7109375" style="15" customWidth="1"/>
    <col min="15097" max="15097" width="9.85546875" style="15" customWidth="1"/>
    <col min="15098" max="15098" width="14.42578125" style="15" customWidth="1"/>
    <col min="15099" max="15099" width="7.28515625" style="15" customWidth="1"/>
    <col min="15100" max="15100" width="5.5703125" style="15" customWidth="1"/>
    <col min="15101" max="15101" width="9" style="15" customWidth="1"/>
    <col min="15102" max="15103" width="9.85546875" style="15" customWidth="1"/>
    <col min="15104" max="15104" width="11.140625" style="15" customWidth="1"/>
    <col min="15105" max="15105" width="2.85546875" style="15" customWidth="1"/>
    <col min="15106" max="15106" width="3.5703125" style="15" customWidth="1"/>
    <col min="15107" max="15351" width="9.140625" style="15"/>
    <col min="15352" max="15352" width="8.7109375" style="15" customWidth="1"/>
    <col min="15353" max="15353" width="9.85546875" style="15" customWidth="1"/>
    <col min="15354" max="15354" width="14.42578125" style="15" customWidth="1"/>
    <col min="15355" max="15355" width="7.28515625" style="15" customWidth="1"/>
    <col min="15356" max="15356" width="5.5703125" style="15" customWidth="1"/>
    <col min="15357" max="15357" width="9" style="15" customWidth="1"/>
    <col min="15358" max="15359" width="9.85546875" style="15" customWidth="1"/>
    <col min="15360" max="15360" width="11.140625" style="15" customWidth="1"/>
    <col min="15361" max="15361" width="2.85546875" style="15" customWidth="1"/>
    <col min="15362" max="15362" width="3.5703125" style="15" customWidth="1"/>
    <col min="15363" max="15607" width="9.140625" style="15"/>
    <col min="15608" max="15608" width="8.7109375" style="15" customWidth="1"/>
    <col min="15609" max="15609" width="9.85546875" style="15" customWidth="1"/>
    <col min="15610" max="15610" width="14.42578125" style="15" customWidth="1"/>
    <col min="15611" max="15611" width="7.28515625" style="15" customWidth="1"/>
    <col min="15612" max="15612" width="5.5703125" style="15" customWidth="1"/>
    <col min="15613" max="15613" width="9" style="15" customWidth="1"/>
    <col min="15614" max="15615" width="9.85546875" style="15" customWidth="1"/>
    <col min="15616" max="15616" width="11.140625" style="15" customWidth="1"/>
    <col min="15617" max="15617" width="2.85546875" style="15" customWidth="1"/>
    <col min="15618" max="15618" width="3.5703125" style="15" customWidth="1"/>
    <col min="15619" max="15863" width="9.140625" style="15"/>
    <col min="15864" max="15864" width="8.7109375" style="15" customWidth="1"/>
    <col min="15865" max="15865" width="9.85546875" style="15" customWidth="1"/>
    <col min="15866" max="15866" width="14.42578125" style="15" customWidth="1"/>
    <col min="15867" max="15867" width="7.28515625" style="15" customWidth="1"/>
    <col min="15868" max="15868" width="5.5703125" style="15" customWidth="1"/>
    <col min="15869" max="15869" width="9" style="15" customWidth="1"/>
    <col min="15870" max="15871" width="9.85546875" style="15" customWidth="1"/>
    <col min="15872" max="15872" width="11.140625" style="15" customWidth="1"/>
    <col min="15873" max="15873" width="2.85546875" style="15" customWidth="1"/>
    <col min="15874" max="15874" width="3.5703125" style="15" customWidth="1"/>
    <col min="15875" max="16119" width="9.140625" style="15"/>
    <col min="16120" max="16120" width="8.7109375" style="15" customWidth="1"/>
    <col min="16121" max="16121" width="9.85546875" style="15" customWidth="1"/>
    <col min="16122" max="16122" width="14.42578125" style="15" customWidth="1"/>
    <col min="16123" max="16123" width="7.28515625" style="15" customWidth="1"/>
    <col min="16124" max="16124" width="5.5703125" style="15" customWidth="1"/>
    <col min="16125" max="16125" width="9" style="15" customWidth="1"/>
    <col min="16126" max="16127" width="9.85546875" style="15" customWidth="1"/>
    <col min="16128" max="16128" width="11.140625" style="15" customWidth="1"/>
    <col min="16129" max="16129" width="2.85546875" style="15" customWidth="1"/>
    <col min="16130" max="16130" width="3.5703125" style="15" customWidth="1"/>
    <col min="16131" max="16384" width="9.140625" style="15"/>
  </cols>
  <sheetData>
    <row r="1" spans="1:12" ht="46.5" customHeight="1" x14ac:dyDescent="0.25">
      <c r="A1" s="94" t="s">
        <v>162</v>
      </c>
      <c r="B1" s="94"/>
      <c r="C1" s="94"/>
      <c r="D1" s="94"/>
      <c r="E1" s="94"/>
      <c r="F1" s="94"/>
      <c r="G1" s="94"/>
      <c r="H1" s="94"/>
    </row>
    <row r="2" spans="1:12" ht="16.5" customHeight="1" x14ac:dyDescent="0.25">
      <c r="A2" s="95" t="s">
        <v>0</v>
      </c>
      <c r="B2" s="95"/>
      <c r="C2" s="95"/>
      <c r="D2" s="95"/>
      <c r="E2" s="95"/>
      <c r="F2" s="95"/>
      <c r="G2" s="95"/>
      <c r="H2" s="95"/>
    </row>
    <row r="3" spans="1:12" x14ac:dyDescent="0.25">
      <c r="A3" s="92" t="s">
        <v>1</v>
      </c>
      <c r="B3" s="92"/>
      <c r="C3" s="92"/>
      <c r="D3" s="92"/>
      <c r="E3" s="92" t="str">
        <f ca="1">TEXT(TODAY(),"DD/MM/YYYY")</f>
        <v>06/08/2025</v>
      </c>
      <c r="F3" s="92"/>
      <c r="G3" s="92"/>
      <c r="H3" s="92"/>
    </row>
    <row r="4" spans="1:12" ht="15" customHeight="1" x14ac:dyDescent="0.25">
      <c r="A4" s="92" t="s">
        <v>2</v>
      </c>
      <c r="B4" s="92"/>
      <c r="C4" s="92"/>
      <c r="D4" s="92"/>
      <c r="E4" s="92" t="s">
        <v>165</v>
      </c>
      <c r="F4" s="92"/>
      <c r="G4" s="92"/>
      <c r="H4" s="92"/>
    </row>
    <row r="5" spans="1:12" x14ac:dyDescent="0.25">
      <c r="A5" s="92" t="s">
        <v>3</v>
      </c>
      <c r="B5" s="92"/>
      <c r="C5" s="92"/>
      <c r="D5" s="92"/>
      <c r="E5" s="118">
        <v>45874</v>
      </c>
      <c r="F5" s="92"/>
      <c r="G5" s="92"/>
      <c r="H5" s="92"/>
    </row>
    <row r="6" spans="1:12" ht="16.5" customHeight="1" x14ac:dyDescent="0.25">
      <c r="A6" s="92" t="s">
        <v>4</v>
      </c>
      <c r="B6" s="92"/>
      <c r="C6" s="92"/>
      <c r="D6" s="92"/>
      <c r="E6" s="92" t="s">
        <v>166</v>
      </c>
      <c r="F6" s="92"/>
      <c r="G6" s="92"/>
      <c r="H6" s="92"/>
    </row>
    <row r="7" spans="1:12" ht="15" customHeight="1" x14ac:dyDescent="0.25">
      <c r="A7" s="92" t="s">
        <v>5</v>
      </c>
      <c r="B7" s="92"/>
      <c r="C7" s="92"/>
      <c r="D7" s="92"/>
      <c r="E7" s="92" t="str">
        <f>E6</f>
        <v>Sunteck Lifespace Private Limited</v>
      </c>
      <c r="F7" s="92"/>
      <c r="G7" s="92"/>
      <c r="H7" s="92"/>
    </row>
    <row r="8" spans="1:12" x14ac:dyDescent="0.25">
      <c r="A8" s="92" t="s">
        <v>6</v>
      </c>
      <c r="B8" s="92"/>
      <c r="C8" s="92"/>
      <c r="D8" s="92"/>
      <c r="E8" s="96" t="s">
        <v>207</v>
      </c>
      <c r="F8" s="96"/>
      <c r="G8" s="96"/>
      <c r="H8" s="96"/>
    </row>
    <row r="9" spans="1:12" x14ac:dyDescent="0.25">
      <c r="A9" s="92" t="s">
        <v>159</v>
      </c>
      <c r="B9" s="92"/>
      <c r="C9" s="92"/>
      <c r="D9" s="92"/>
      <c r="E9" s="92" t="s">
        <v>167</v>
      </c>
      <c r="F9" s="92"/>
      <c r="G9" s="92"/>
      <c r="H9" s="92"/>
    </row>
    <row r="10" spans="1:12" x14ac:dyDescent="0.25">
      <c r="A10" s="92" t="s">
        <v>160</v>
      </c>
      <c r="B10" s="92"/>
      <c r="C10" s="92"/>
      <c r="D10" s="92"/>
      <c r="E10" s="92" t="s">
        <v>266</v>
      </c>
      <c r="F10" s="92"/>
      <c r="G10" s="92"/>
      <c r="H10" s="92"/>
    </row>
    <row r="11" spans="1:12" x14ac:dyDescent="0.25">
      <c r="A11" s="92" t="s">
        <v>7</v>
      </c>
      <c r="B11" s="92"/>
      <c r="C11" s="92"/>
      <c r="D11" s="92"/>
      <c r="E11" s="92" t="s">
        <v>273</v>
      </c>
      <c r="F11" s="92"/>
      <c r="G11" s="92"/>
      <c r="H11" s="92"/>
      <c r="I11" s="93" t="s">
        <v>197</v>
      </c>
      <c r="J11" s="93"/>
      <c r="K11" s="93"/>
      <c r="L11" s="93"/>
    </row>
    <row r="12" spans="1:12" x14ac:dyDescent="0.25">
      <c r="A12" s="88" t="s">
        <v>8</v>
      </c>
      <c r="B12" s="88"/>
      <c r="C12" s="88"/>
      <c r="D12" s="88"/>
      <c r="E12" s="91" t="s">
        <v>168</v>
      </c>
      <c r="F12" s="91"/>
      <c r="G12" s="91"/>
      <c r="H12" s="91"/>
    </row>
    <row r="13" spans="1:12" ht="33" customHeight="1" x14ac:dyDescent="0.25">
      <c r="A13" s="56" t="s">
        <v>239</v>
      </c>
      <c r="B13" s="57"/>
      <c r="C13" s="57"/>
      <c r="D13" s="58"/>
      <c r="E13" s="65" t="s">
        <v>240</v>
      </c>
      <c r="F13" s="66"/>
      <c r="G13" s="67" t="s">
        <v>182</v>
      </c>
      <c r="H13" s="68"/>
    </row>
    <row r="14" spans="1:12" ht="33" customHeight="1" x14ac:dyDescent="0.25">
      <c r="A14" s="59"/>
      <c r="B14" s="60"/>
      <c r="C14" s="60"/>
      <c r="D14" s="61"/>
      <c r="E14" s="69" t="s">
        <v>274</v>
      </c>
      <c r="F14" s="70"/>
      <c r="G14" s="67" t="s">
        <v>190</v>
      </c>
      <c r="H14" s="68"/>
    </row>
    <row r="15" spans="1:12" ht="33" customHeight="1" x14ac:dyDescent="0.25">
      <c r="A15" s="62"/>
      <c r="B15" s="63"/>
      <c r="C15" s="63"/>
      <c r="D15" s="64"/>
      <c r="E15" s="69" t="s">
        <v>241</v>
      </c>
      <c r="F15" s="71"/>
      <c r="G15" s="67" t="s">
        <v>208</v>
      </c>
      <c r="H15" s="68"/>
    </row>
    <row r="16" spans="1:12" ht="51" customHeight="1" x14ac:dyDescent="0.25">
      <c r="A16" s="90" t="s">
        <v>9</v>
      </c>
      <c r="B16" s="90"/>
      <c r="C16" s="90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Sunteck Sky Park 1, 2 &amp; 3, Old Survey No.391 New S.N.161/1, 161/2A, 161/3A, Old S.N.392 New S.N.153B &amp; 153/1A, near Dev Paradise, Beverly Park Road, Beverly Park, Navghar, Mira Road East, Thane, Thane - 401107.</v>
      </c>
      <c r="D16" s="90"/>
      <c r="E16" s="90"/>
      <c r="F16" s="90"/>
      <c r="G16" s="90"/>
      <c r="H16" s="90"/>
    </row>
    <row r="17" spans="1:12" x14ac:dyDescent="0.25">
      <c r="A17" s="91" t="s">
        <v>169</v>
      </c>
      <c r="B17" s="91"/>
      <c r="C17" s="91" t="s">
        <v>170</v>
      </c>
      <c r="D17" s="91"/>
      <c r="E17" s="91"/>
      <c r="F17" s="91"/>
      <c r="G17" s="91"/>
      <c r="H17" s="91"/>
    </row>
    <row r="18" spans="1:12" x14ac:dyDescent="0.25">
      <c r="A18" s="91" t="s">
        <v>158</v>
      </c>
      <c r="B18" s="91"/>
      <c r="C18" s="91" t="s">
        <v>246</v>
      </c>
      <c r="D18" s="91"/>
      <c r="E18" s="91"/>
      <c r="F18" s="91"/>
      <c r="G18" s="91"/>
      <c r="H18" s="91"/>
    </row>
    <row r="19" spans="1:12" x14ac:dyDescent="0.25">
      <c r="A19" s="90" t="s">
        <v>10</v>
      </c>
      <c r="B19" s="90"/>
      <c r="C19" s="92" t="s">
        <v>176</v>
      </c>
      <c r="D19" s="92"/>
      <c r="E19" s="90" t="s">
        <v>69</v>
      </c>
      <c r="F19" s="90"/>
      <c r="G19" s="91" t="s">
        <v>178</v>
      </c>
      <c r="H19" s="91"/>
    </row>
    <row r="20" spans="1:12" x14ac:dyDescent="0.25">
      <c r="A20" s="88" t="s">
        <v>12</v>
      </c>
      <c r="B20" s="88"/>
      <c r="C20" s="91" t="s">
        <v>177</v>
      </c>
      <c r="D20" s="91"/>
      <c r="E20" s="90" t="s">
        <v>11</v>
      </c>
      <c r="F20" s="90"/>
      <c r="G20" s="97" t="s">
        <v>179</v>
      </c>
      <c r="H20" s="97"/>
      <c r="L20" s="15">
        <f>1281+31</f>
        <v>1312</v>
      </c>
    </row>
    <row r="21" spans="1:12" ht="15" customHeight="1" x14ac:dyDescent="0.25">
      <c r="A21" s="88" t="s">
        <v>70</v>
      </c>
      <c r="B21" s="88"/>
      <c r="C21" s="91" t="s">
        <v>179</v>
      </c>
      <c r="D21" s="91"/>
      <c r="E21" s="90" t="s">
        <v>13</v>
      </c>
      <c r="F21" s="90"/>
      <c r="G21" s="91">
        <v>401107</v>
      </c>
      <c r="H21" s="91"/>
    </row>
    <row r="22" spans="1:12" ht="39" customHeight="1" x14ac:dyDescent="0.25">
      <c r="A22" s="88" t="s">
        <v>118</v>
      </c>
      <c r="B22" s="88"/>
      <c r="C22" s="91" t="s">
        <v>172</v>
      </c>
      <c r="D22" s="91"/>
      <c r="E22" s="90" t="s">
        <v>14</v>
      </c>
      <c r="F22" s="90"/>
      <c r="G22" s="91" t="s">
        <v>180</v>
      </c>
      <c r="H22" s="91"/>
    </row>
    <row r="23" spans="1:12" ht="15" customHeight="1" x14ac:dyDescent="0.25">
      <c r="A23" s="90" t="s">
        <v>72</v>
      </c>
      <c r="B23" s="90"/>
      <c r="C23" s="90"/>
      <c r="D23" s="90"/>
      <c r="E23" s="92" t="s">
        <v>15</v>
      </c>
      <c r="F23" s="92"/>
      <c r="G23" s="92"/>
      <c r="H23" s="92"/>
    </row>
    <row r="24" spans="1:12" ht="33" customHeight="1" x14ac:dyDescent="0.25">
      <c r="A24" s="90"/>
      <c r="B24" s="90"/>
      <c r="C24" s="90"/>
      <c r="D24" s="90"/>
      <c r="E24" s="92"/>
      <c r="F24" s="92"/>
      <c r="G24" s="92"/>
      <c r="H24" s="92"/>
    </row>
    <row r="25" spans="1:12" x14ac:dyDescent="0.25">
      <c r="A25" s="90" t="s">
        <v>16</v>
      </c>
      <c r="B25" s="90"/>
      <c r="C25" s="90"/>
      <c r="D25" s="90"/>
      <c r="E25" s="91" t="s">
        <v>17</v>
      </c>
      <c r="F25" s="91"/>
      <c r="G25" s="91"/>
      <c r="H25" s="91"/>
    </row>
    <row r="26" spans="1:12" ht="15.75" customHeight="1" x14ac:dyDescent="0.25">
      <c r="A26" s="124" t="s">
        <v>18</v>
      </c>
      <c r="B26" s="124"/>
      <c r="C26" s="124"/>
      <c r="D26" s="124"/>
      <c r="E26" s="121" t="str">
        <f>IF(AND(G20="Mumbai"),"Upper Class","Middle Class")</f>
        <v>Middle Class</v>
      </c>
      <c r="F26" s="121"/>
      <c r="G26" s="121"/>
      <c r="H26" s="121"/>
    </row>
    <row r="27" spans="1:12" x14ac:dyDescent="0.25">
      <c r="A27" s="124" t="s">
        <v>19</v>
      </c>
      <c r="B27" s="124"/>
      <c r="C27" s="124"/>
      <c r="D27" s="124"/>
      <c r="E27" s="121" t="s">
        <v>20</v>
      </c>
      <c r="F27" s="121"/>
      <c r="G27" s="121"/>
      <c r="H27" s="121"/>
    </row>
    <row r="28" spans="1:12" ht="15.75" customHeight="1" x14ac:dyDescent="0.25">
      <c r="A28" s="124" t="s">
        <v>21</v>
      </c>
      <c r="B28" s="124"/>
      <c r="C28" s="124"/>
      <c r="D28" s="124"/>
      <c r="E28" s="121" t="str">
        <f>IF(AND(G20="Mumbai"),"Developed","Developing")</f>
        <v>Developing</v>
      </c>
      <c r="F28" s="121"/>
      <c r="G28" s="121"/>
      <c r="H28" s="121"/>
    </row>
    <row r="29" spans="1:12" ht="15" customHeight="1" x14ac:dyDescent="0.25">
      <c r="A29" s="124" t="s">
        <v>22</v>
      </c>
      <c r="B29" s="124"/>
      <c r="C29" s="124"/>
      <c r="D29" s="124"/>
      <c r="E29" s="121" t="s">
        <v>23</v>
      </c>
      <c r="F29" s="121"/>
      <c r="G29" s="121"/>
      <c r="H29" s="121"/>
    </row>
    <row r="30" spans="1:12" ht="15.75" customHeight="1" x14ac:dyDescent="0.25">
      <c r="A30" s="124" t="s">
        <v>77</v>
      </c>
      <c r="B30" s="124"/>
      <c r="C30" s="124"/>
      <c r="D30" s="124"/>
      <c r="E30" s="121" t="s">
        <v>78</v>
      </c>
      <c r="F30" s="121"/>
      <c r="G30" s="121"/>
      <c r="H30" s="121"/>
    </row>
    <row r="31" spans="1:12" s="16" customFormat="1" x14ac:dyDescent="0.25">
      <c r="A31" s="124" t="s">
        <v>31</v>
      </c>
      <c r="B31" s="124"/>
      <c r="C31" s="124"/>
      <c r="D31" s="124"/>
      <c r="E31" s="12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1" s="121"/>
      <c r="G31" s="121"/>
      <c r="H31" s="121"/>
    </row>
    <row r="32" spans="1:12" s="16" customFormat="1" x14ac:dyDescent="0.25">
      <c r="A32" s="124" t="s">
        <v>88</v>
      </c>
      <c r="B32" s="124"/>
      <c r="C32" s="124"/>
      <c r="D32" s="124"/>
      <c r="E32" s="121" t="s">
        <v>32</v>
      </c>
      <c r="F32" s="121"/>
      <c r="G32" s="121"/>
      <c r="H32" s="121"/>
    </row>
    <row r="33" spans="1:13" x14ac:dyDescent="0.25">
      <c r="A33" s="125" t="s">
        <v>89</v>
      </c>
      <c r="B33" s="125"/>
      <c r="C33" s="126" t="s">
        <v>200</v>
      </c>
      <c r="D33" s="126"/>
      <c r="E33" s="126"/>
      <c r="F33" s="127" t="s">
        <v>29</v>
      </c>
      <c r="G33" s="127"/>
      <c r="H33" s="127"/>
    </row>
    <row r="34" spans="1:13" s="16" customFormat="1" x14ac:dyDescent="0.25">
      <c r="A34" s="128" t="s">
        <v>24</v>
      </c>
      <c r="B34" s="128" t="s">
        <v>28</v>
      </c>
      <c r="C34" s="129" t="s">
        <v>198</v>
      </c>
      <c r="D34" s="129"/>
      <c r="E34" s="129"/>
      <c r="F34" s="130" t="s">
        <v>171</v>
      </c>
      <c r="G34" s="130"/>
      <c r="H34" s="130"/>
    </row>
    <row r="35" spans="1:13" x14ac:dyDescent="0.25">
      <c r="A35" s="128" t="s">
        <v>25</v>
      </c>
      <c r="B35" s="128" t="s">
        <v>28</v>
      </c>
      <c r="C35" s="129" t="s">
        <v>244</v>
      </c>
      <c r="D35" s="129"/>
      <c r="E35" s="129"/>
      <c r="F35" s="130" t="s">
        <v>173</v>
      </c>
      <c r="G35" s="130"/>
      <c r="H35" s="130"/>
    </row>
    <row r="36" spans="1:13" x14ac:dyDescent="0.25">
      <c r="A36" s="128" t="s">
        <v>27</v>
      </c>
      <c r="B36" s="128" t="s">
        <v>28</v>
      </c>
      <c r="C36" s="129" t="s">
        <v>198</v>
      </c>
      <c r="D36" s="129"/>
      <c r="E36" s="129"/>
      <c r="F36" s="130" t="s">
        <v>174</v>
      </c>
      <c r="G36" s="130"/>
      <c r="H36" s="130"/>
    </row>
    <row r="37" spans="1:13" ht="15.75" customHeight="1" x14ac:dyDescent="0.25">
      <c r="A37" s="128" t="s">
        <v>26</v>
      </c>
      <c r="B37" s="128" t="s">
        <v>28</v>
      </c>
      <c r="C37" s="129" t="s">
        <v>245</v>
      </c>
      <c r="D37" s="129"/>
      <c r="E37" s="129"/>
      <c r="F37" s="130" t="s">
        <v>175</v>
      </c>
      <c r="G37" s="130"/>
      <c r="H37" s="130"/>
    </row>
    <row r="38" spans="1:13" x14ac:dyDescent="0.25">
      <c r="A38" s="124" t="s">
        <v>30</v>
      </c>
      <c r="B38" s="124"/>
      <c r="C38" s="124"/>
      <c r="D38" s="124"/>
      <c r="E38" s="124"/>
      <c r="F38" s="124"/>
      <c r="G38" s="124"/>
      <c r="H38" s="124"/>
    </row>
    <row r="39" spans="1:13" x14ac:dyDescent="0.25">
      <c r="A39" s="131" t="s">
        <v>163</v>
      </c>
      <c r="B39" s="131"/>
      <c r="C39" s="131" t="s">
        <v>242</v>
      </c>
      <c r="D39" s="131"/>
      <c r="E39" s="131"/>
      <c r="F39" s="131"/>
      <c r="G39" s="131"/>
      <c r="H39" s="131"/>
    </row>
    <row r="40" spans="1:13" x14ac:dyDescent="0.25">
      <c r="A40" s="131" t="s">
        <v>157</v>
      </c>
      <c r="B40" s="131"/>
      <c r="C40" s="109" t="s">
        <v>243</v>
      </c>
      <c r="D40" s="121"/>
      <c r="E40" s="121"/>
      <c r="F40" s="121"/>
      <c r="G40" s="121"/>
      <c r="H40" s="121"/>
    </row>
    <row r="41" spans="1:13" x14ac:dyDescent="0.25">
      <c r="A41" s="131" t="s">
        <v>33</v>
      </c>
      <c r="B41" s="131"/>
      <c r="C41" s="131"/>
      <c r="D41" s="131"/>
      <c r="E41" s="131"/>
      <c r="F41" s="131"/>
      <c r="G41" s="131"/>
      <c r="H41" s="131"/>
    </row>
    <row r="42" spans="1:13" x14ac:dyDescent="0.25">
      <c r="A42" s="124" t="s">
        <v>34</v>
      </c>
      <c r="B42" s="124"/>
      <c r="C42" s="124"/>
      <c r="D42" s="124"/>
      <c r="E42" s="132">
        <v>27395.1</v>
      </c>
      <c r="F42" s="132"/>
      <c r="G42" s="132"/>
      <c r="H42" s="132"/>
    </row>
    <row r="43" spans="1:13" x14ac:dyDescent="0.25">
      <c r="A43" s="124" t="s">
        <v>35</v>
      </c>
      <c r="B43" s="124"/>
      <c r="C43" s="124"/>
      <c r="D43" s="124"/>
      <c r="E43" s="133">
        <v>1.1000000000000001</v>
      </c>
      <c r="F43" s="133"/>
      <c r="G43" s="133"/>
      <c r="H43" s="133"/>
    </row>
    <row r="44" spans="1:13" x14ac:dyDescent="0.25">
      <c r="A44" s="124" t="s">
        <v>36</v>
      </c>
      <c r="B44" s="124"/>
      <c r="C44" s="124"/>
      <c r="D44" s="124"/>
      <c r="E44" s="133">
        <f>E46/E42-E43</f>
        <v>3.523191738668594</v>
      </c>
      <c r="F44" s="133"/>
      <c r="G44" s="133"/>
      <c r="H44" s="133"/>
      <c r="I44" s="74">
        <v>67807.91</v>
      </c>
      <c r="J44" s="74"/>
      <c r="K44" s="74"/>
      <c r="L44" s="74"/>
    </row>
    <row r="45" spans="1:13" x14ac:dyDescent="0.25">
      <c r="A45" s="124" t="s">
        <v>37</v>
      </c>
      <c r="B45" s="124"/>
      <c r="C45" s="124"/>
      <c r="D45" s="124"/>
      <c r="E45" s="133">
        <f>E43+E44</f>
        <v>4.6231917386685941</v>
      </c>
      <c r="F45" s="133"/>
      <c r="G45" s="133"/>
      <c r="H45" s="133"/>
    </row>
    <row r="46" spans="1:13" x14ac:dyDescent="0.25">
      <c r="A46" s="124" t="s">
        <v>87</v>
      </c>
      <c r="B46" s="124"/>
      <c r="C46" s="124"/>
      <c r="D46" s="124"/>
      <c r="E46" s="134">
        <v>126652.8</v>
      </c>
      <c r="F46" s="134"/>
      <c r="G46" s="134"/>
      <c r="H46" s="134"/>
    </row>
    <row r="47" spans="1:13" x14ac:dyDescent="0.25">
      <c r="A47" s="122" t="s">
        <v>38</v>
      </c>
      <c r="B47" s="122"/>
      <c r="C47" s="122"/>
      <c r="D47" s="122"/>
      <c r="E47" s="122" t="s">
        <v>248</v>
      </c>
      <c r="F47" s="122"/>
      <c r="G47" s="122"/>
      <c r="H47" s="122"/>
    </row>
    <row r="48" spans="1:13" ht="15.75" customHeight="1" x14ac:dyDescent="0.25">
      <c r="A48" s="135" t="s">
        <v>39</v>
      </c>
      <c r="B48" s="135"/>
      <c r="C48" s="135"/>
      <c r="D48" s="135"/>
      <c r="E48" s="135"/>
      <c r="F48" s="135"/>
      <c r="G48" s="135"/>
      <c r="H48" s="135"/>
      <c r="I48" s="75" t="s">
        <v>185</v>
      </c>
      <c r="J48" s="76"/>
      <c r="K48" s="77"/>
      <c r="L48" s="78">
        <v>44974</v>
      </c>
      <c r="M48" s="77"/>
    </row>
    <row r="49" spans="1:14" ht="36" customHeight="1" x14ac:dyDescent="0.25">
      <c r="A49" s="136" t="s">
        <v>147</v>
      </c>
      <c r="B49" s="137"/>
      <c r="C49" s="138" t="s">
        <v>181</v>
      </c>
      <c r="D49" s="139"/>
      <c r="E49" s="139"/>
      <c r="F49" s="139"/>
      <c r="G49" s="139"/>
      <c r="H49" s="140"/>
    </row>
    <row r="50" spans="1:14" s="17" customFormat="1" x14ac:dyDescent="0.25">
      <c r="A50" s="98" t="s">
        <v>40</v>
      </c>
      <c r="B50" s="99"/>
      <c r="C50" s="141" t="s">
        <v>210</v>
      </c>
      <c r="D50" s="142"/>
      <c r="E50" s="143"/>
      <c r="F50" s="144" t="s">
        <v>41</v>
      </c>
      <c r="G50" s="145">
        <v>45820</v>
      </c>
      <c r="H50" s="143"/>
    </row>
    <row r="51" spans="1:14" s="17" customFormat="1" x14ac:dyDescent="0.25">
      <c r="A51" s="98" t="s">
        <v>201</v>
      </c>
      <c r="B51" s="99"/>
      <c r="C51" s="141" t="str">
        <f>C50</f>
        <v>MBMCB/7008/2025/APL/0014/AutoDCR</v>
      </c>
      <c r="D51" s="142"/>
      <c r="E51" s="143"/>
      <c r="F51" s="144" t="s">
        <v>41</v>
      </c>
      <c r="G51" s="145">
        <f>G50</f>
        <v>45820</v>
      </c>
      <c r="H51" s="143"/>
    </row>
    <row r="52" spans="1:14" s="17" customFormat="1" x14ac:dyDescent="0.25">
      <c r="A52" s="146" t="s">
        <v>151</v>
      </c>
      <c r="B52" s="147"/>
      <c r="C52" s="141" t="s">
        <v>210</v>
      </c>
      <c r="D52" s="142"/>
      <c r="E52" s="143"/>
      <c r="F52" s="144" t="s">
        <v>41</v>
      </c>
      <c r="G52" s="145">
        <v>45820</v>
      </c>
      <c r="H52" s="148"/>
    </row>
    <row r="53" spans="1:14" s="17" customFormat="1" x14ac:dyDescent="0.25">
      <c r="A53" s="149"/>
      <c r="B53" s="150"/>
      <c r="C53" s="141" t="s">
        <v>211</v>
      </c>
      <c r="D53" s="142"/>
      <c r="E53" s="142"/>
      <c r="F53" s="142"/>
      <c r="G53" s="142"/>
      <c r="H53" s="143"/>
    </row>
    <row r="54" spans="1:14" hidden="1" x14ac:dyDescent="0.25">
      <c r="A54" s="151" t="s">
        <v>234</v>
      </c>
      <c r="B54" s="152"/>
      <c r="C54" s="153" t="s">
        <v>235</v>
      </c>
      <c r="D54" s="154"/>
      <c r="E54" s="155"/>
      <c r="F54" s="156" t="s">
        <v>41</v>
      </c>
      <c r="G54" s="157">
        <v>45231</v>
      </c>
      <c r="H54" s="158"/>
    </row>
    <row r="55" spans="1:14" ht="52.5" hidden="1" customHeight="1" x14ac:dyDescent="0.25">
      <c r="A55" s="159"/>
      <c r="B55" s="160"/>
      <c r="C55" s="153" t="s">
        <v>236</v>
      </c>
      <c r="D55" s="154"/>
      <c r="E55" s="154"/>
      <c r="F55" s="154"/>
      <c r="G55" s="154"/>
      <c r="H55" s="155"/>
      <c r="I55" s="16" t="s">
        <v>247</v>
      </c>
    </row>
    <row r="56" spans="1:14" x14ac:dyDescent="0.25">
      <c r="A56" s="161" t="s">
        <v>42</v>
      </c>
      <c r="B56" s="162"/>
      <c r="C56" s="161" t="s">
        <v>100</v>
      </c>
      <c r="D56" s="163"/>
      <c r="E56" s="162"/>
      <c r="F56" s="164" t="s">
        <v>41</v>
      </c>
      <c r="G56" s="165" t="s">
        <v>28</v>
      </c>
      <c r="H56" s="166"/>
    </row>
    <row r="57" spans="1:14" x14ac:dyDescent="0.25">
      <c r="A57" s="167" t="s">
        <v>44</v>
      </c>
      <c r="B57" s="167"/>
      <c r="C57" s="167"/>
      <c r="D57" s="167"/>
      <c r="E57" s="167"/>
      <c r="F57" s="167"/>
      <c r="G57" s="167"/>
      <c r="H57" s="167"/>
      <c r="I57" s="18"/>
    </row>
    <row r="58" spans="1:14" ht="34.5" customHeight="1" x14ac:dyDescent="0.25">
      <c r="A58" s="168" t="s">
        <v>249</v>
      </c>
      <c r="B58" s="168"/>
      <c r="C58" s="168"/>
      <c r="D58" s="169">
        <f>(39699.32+2361.53)+40122.94+ 40371.71</f>
        <v>122555.5</v>
      </c>
      <c r="E58" s="122"/>
      <c r="F58" s="122"/>
      <c r="G58" s="122"/>
      <c r="H58" s="122"/>
    </row>
    <row r="59" spans="1:14" x14ac:dyDescent="0.25">
      <c r="A59" s="121" t="s">
        <v>45</v>
      </c>
      <c r="B59" s="122"/>
      <c r="C59" s="122"/>
      <c r="D59" s="122" t="s">
        <v>250</v>
      </c>
      <c r="E59" s="122"/>
      <c r="F59" s="122"/>
      <c r="G59" s="122"/>
      <c r="H59" s="122"/>
    </row>
    <row r="60" spans="1:14" x14ac:dyDescent="0.25">
      <c r="A60" s="170" t="s">
        <v>46</v>
      </c>
      <c r="B60" s="171"/>
      <c r="C60" s="172"/>
      <c r="D60" s="119" t="s">
        <v>211</v>
      </c>
      <c r="E60" s="120"/>
      <c r="F60" s="120"/>
      <c r="G60" s="120"/>
      <c r="H60" s="120"/>
      <c r="J60" s="19"/>
      <c r="K60" s="18"/>
      <c r="N60" s="18"/>
    </row>
    <row r="61" spans="1:14" ht="15.75" customHeight="1" x14ac:dyDescent="0.25">
      <c r="A61" s="170" t="s">
        <v>85</v>
      </c>
      <c r="B61" s="171"/>
      <c r="C61" s="172"/>
      <c r="D61" s="121" t="s">
        <v>267</v>
      </c>
      <c r="E61" s="122"/>
      <c r="F61" s="122"/>
      <c r="G61" s="122"/>
      <c r="H61" s="122"/>
      <c r="N61" s="18"/>
    </row>
    <row r="62" spans="1:14" x14ac:dyDescent="0.25">
      <c r="A62" s="173"/>
      <c r="B62" s="174"/>
      <c r="C62" s="175"/>
      <c r="D62" s="121" t="s">
        <v>268</v>
      </c>
      <c r="E62" s="122"/>
      <c r="F62" s="122"/>
      <c r="G62" s="122"/>
      <c r="H62" s="122"/>
      <c r="J62" s="20"/>
      <c r="K62" s="20"/>
    </row>
    <row r="63" spans="1:14" ht="15.75" customHeight="1" x14ac:dyDescent="0.25">
      <c r="A63" s="176"/>
      <c r="B63" s="177"/>
      <c r="C63" s="178"/>
      <c r="D63" s="121" t="s">
        <v>269</v>
      </c>
      <c r="E63" s="122"/>
      <c r="F63" s="122"/>
      <c r="G63" s="122"/>
      <c r="H63" s="122"/>
    </row>
    <row r="64" spans="1:14" ht="33" customHeight="1" x14ac:dyDescent="0.25">
      <c r="A64" s="124" t="s">
        <v>43</v>
      </c>
      <c r="B64" s="124"/>
      <c r="C64" s="124"/>
      <c r="D64" s="179" t="s">
        <v>251</v>
      </c>
      <c r="E64" s="179"/>
      <c r="F64" s="179"/>
      <c r="G64" s="179"/>
      <c r="H64" s="179"/>
      <c r="I64" s="21"/>
      <c r="J64" s="21"/>
      <c r="K64" s="21"/>
      <c r="L64" s="21"/>
      <c r="M64" s="21"/>
      <c r="N64" s="21"/>
    </row>
    <row r="65" spans="1:10" x14ac:dyDescent="0.25">
      <c r="A65" s="124" t="s">
        <v>83</v>
      </c>
      <c r="B65" s="124"/>
      <c r="C65" s="124"/>
      <c r="D65" s="180" t="str">
        <f>(IF(G56="NA","60 Years After Completion",IF(G56&lt;&gt;"NA",""&amp;60-ROUNDDOWN((E3-G56)/360,0)&amp;" Years"," ")))</f>
        <v>60 Years After Completion</v>
      </c>
      <c r="E65" s="180"/>
      <c r="F65" s="180"/>
      <c r="G65" s="180"/>
      <c r="H65" s="180"/>
      <c r="J65" s="20"/>
    </row>
    <row r="66" spans="1:10" x14ac:dyDescent="0.25">
      <c r="A66" s="124" t="s">
        <v>84</v>
      </c>
      <c r="B66" s="124"/>
      <c r="C66" s="124"/>
      <c r="D66" s="168" t="s">
        <v>23</v>
      </c>
      <c r="E66" s="168"/>
      <c r="F66" s="168"/>
      <c r="G66" s="168"/>
      <c r="H66" s="168"/>
    </row>
    <row r="67" spans="1:10" ht="53.25" customHeight="1" x14ac:dyDescent="0.25">
      <c r="A67" s="124" t="s">
        <v>71</v>
      </c>
      <c r="B67" s="124"/>
      <c r="C67" s="124"/>
      <c r="D67" s="121" t="s">
        <v>277</v>
      </c>
      <c r="E67" s="168"/>
      <c r="F67" s="168"/>
      <c r="G67" s="168"/>
      <c r="H67" s="168"/>
      <c r="I67" s="259" t="s">
        <v>276</v>
      </c>
    </row>
    <row r="68" spans="1:10" x14ac:dyDescent="0.25">
      <c r="A68" s="168" t="s">
        <v>144</v>
      </c>
      <c r="B68" s="168"/>
      <c r="C68" s="168"/>
      <c r="D68" s="168" t="s">
        <v>28</v>
      </c>
      <c r="E68" s="168"/>
      <c r="F68" s="168"/>
      <c r="G68" s="168"/>
      <c r="H68" s="168"/>
    </row>
    <row r="69" spans="1:10" x14ac:dyDescent="0.25">
      <c r="A69" s="181" t="s">
        <v>82</v>
      </c>
      <c r="B69" s="181"/>
      <c r="C69" s="181"/>
      <c r="D69" s="119" t="str">
        <f ca="1">(IF(G75&gt;95%,"Nothing",IF(G75&gt;0%,"Cement, Aggregate, Steel, etc",IF(G75=0%,"Work not yet Started"))))</f>
        <v>Cement, Aggregate, Steel, etc</v>
      </c>
      <c r="E69" s="119"/>
      <c r="F69" s="119"/>
      <c r="G69" s="119"/>
      <c r="H69" s="119"/>
    </row>
    <row r="70" spans="1:10" ht="15.75" customHeight="1" thickBot="1" x14ac:dyDescent="0.3">
      <c r="A70" s="168" t="s">
        <v>113</v>
      </c>
      <c r="B70" s="168"/>
      <c r="C70" s="168"/>
      <c r="D70" s="121" t="str">
        <f ca="1">(IF(D69="Nothing","Yes",IF(D69="Cement, Aggregate, Steel, etc","Under Construction",IF(D69="Work not yet Started","Work not yet Started"))))</f>
        <v>Under Construction</v>
      </c>
      <c r="E70" s="121"/>
      <c r="F70" s="121" t="str">
        <f ca="1">(IF(D69="Nothing","Yes",IF(D69="Cement, Aggregate, Steel, etc","Under Construction",IF(D69="Work not yet Started","Work not yet Started"))))</f>
        <v>Under Construction</v>
      </c>
      <c r="G70" s="121"/>
      <c r="H70" s="121"/>
    </row>
    <row r="71" spans="1:10" x14ac:dyDescent="0.25">
      <c r="A71" s="182" t="s">
        <v>136</v>
      </c>
      <c r="B71" s="182"/>
      <c r="C71" s="182" t="str">
        <f>D61</f>
        <v>Building No.1 = LB + UB + G + 1st to 48th Floor</v>
      </c>
      <c r="D71" s="182"/>
      <c r="E71" s="182"/>
      <c r="F71" s="182"/>
      <c r="G71" s="182"/>
      <c r="H71" s="182"/>
      <c r="I71" s="45" t="str">
        <f ca="1">IF(D84=100%,"All work Completed. Possession granted to the Building.",IF(D83=100%,"All work Completed, Waiting for OC",I72&amp;""&amp;I73&amp;""&amp;J72&amp;""&amp;J71&amp;" "&amp;J73))</f>
        <v xml:space="preserve">Excavation Completed, Footing work is process </v>
      </c>
      <c r="J71" s="34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/>
      </c>
    </row>
    <row r="72" spans="1:10" x14ac:dyDescent="0.25">
      <c r="A72" s="183" t="s">
        <v>138</v>
      </c>
      <c r="B72" s="183">
        <v>2</v>
      </c>
      <c r="C72" s="183" t="s">
        <v>68</v>
      </c>
      <c r="D72" s="183">
        <v>1</v>
      </c>
      <c r="E72" s="183" t="s">
        <v>67</v>
      </c>
      <c r="F72" s="183">
        <v>0</v>
      </c>
      <c r="G72" s="183" t="s">
        <v>76</v>
      </c>
      <c r="H72" s="183">
        <f ca="1">--TRIM(RIGHT(SUBSTITUTE(LEFT(C71,_xlfn.AGGREGATE(16,6,FIND({0,1,2,3,4,5,6,7,8,9},C71,ROW(INDIRECT("1:"&amp;LEN(C71)))),1))," ",REPT(" ",LEN(C71))),LEN(C71)))</f>
        <v>48</v>
      </c>
      <c r="I72" s="46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</v>
      </c>
      <c r="J72" s="36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>, Footing work is process</v>
      </c>
    </row>
    <row r="73" spans="1:10" ht="15.75" customHeight="1" x14ac:dyDescent="0.25">
      <c r="A73" s="184" t="s">
        <v>86</v>
      </c>
      <c r="B73" s="135"/>
      <c r="C73" s="182" t="str">
        <f ca="1">I71</f>
        <v xml:space="preserve">Excavation Completed, Footing work is process </v>
      </c>
      <c r="D73" s="182"/>
      <c r="E73" s="182"/>
      <c r="F73" s="182"/>
      <c r="G73" s="182"/>
      <c r="H73" s="185"/>
      <c r="I73" s="35" t="str">
        <f ca="1">IF(I72&lt;&gt;""," Completed","")</f>
        <v xml:space="preserve"> Completed</v>
      </c>
      <c r="J73" s="36" t="str">
        <f ca="1">IF(J71&lt;&gt;"","Completed","")</f>
        <v/>
      </c>
    </row>
    <row r="74" spans="1:10" ht="15.75" customHeight="1" x14ac:dyDescent="0.25">
      <c r="A74" s="186" t="s">
        <v>47</v>
      </c>
      <c r="B74" s="187"/>
      <c r="C74" s="188" t="s">
        <v>135</v>
      </c>
      <c r="D74" s="188" t="s">
        <v>79</v>
      </c>
      <c r="E74" s="187" t="s">
        <v>81</v>
      </c>
      <c r="F74" s="187"/>
      <c r="G74" s="187" t="s">
        <v>80</v>
      </c>
      <c r="H74" s="189"/>
      <c r="I74" s="13" t="s">
        <v>137</v>
      </c>
      <c r="J74" s="22">
        <f ca="1">H72*25%</f>
        <v>12</v>
      </c>
    </row>
    <row r="75" spans="1:10" ht="15.75" customHeight="1" x14ac:dyDescent="0.25">
      <c r="A75" s="186" t="s">
        <v>124</v>
      </c>
      <c r="B75" s="187"/>
      <c r="C75" s="188">
        <f ca="1">J76</f>
        <v>48</v>
      </c>
      <c r="D75" s="38">
        <f ca="1">((100/H72)*C75)/100</f>
        <v>1</v>
      </c>
      <c r="E75" s="100">
        <f ca="1">(((C76/H72*10)+(40/(D72+F72+H72)*C77)+(7.5/(H72)*C78)+(7.5/(H72)*C79)+(10/H72*C80)+(10/H72*C81)+(5/H72*C82)+(5/H72*C83)+(5/H72*C84))/100)</f>
        <v>2.5000000000000001E-2</v>
      </c>
      <c r="F75" s="101"/>
      <c r="G75" s="100">
        <f ca="1">((((C75/H72)*20)+((C76/H72)*25)+(30/(H72+F72+D72)*C77)+(5/H72*C78)+(5/H72*C79)+(5/H72*C80)+(5/H72*C81)+(0/H72*C82)+(0/H72*C83)+(5/H72*C84))/100)</f>
        <v>0.26250000000000001</v>
      </c>
      <c r="H75" s="106"/>
      <c r="I75" s="13" t="s">
        <v>95</v>
      </c>
      <c r="J75" s="23">
        <f ca="1">H72*50%</f>
        <v>24</v>
      </c>
    </row>
    <row r="76" spans="1:10" ht="15" customHeight="1" x14ac:dyDescent="0.25">
      <c r="A76" s="186" t="s">
        <v>48</v>
      </c>
      <c r="B76" s="187"/>
      <c r="C76" s="190">
        <f ca="1">J77</f>
        <v>12</v>
      </c>
      <c r="D76" s="38">
        <f ca="1">((100/H72)*C76)/100</f>
        <v>0.25</v>
      </c>
      <c r="E76" s="102"/>
      <c r="F76" s="103"/>
      <c r="G76" s="102"/>
      <c r="H76" s="107"/>
      <c r="I76" s="13" t="s">
        <v>96</v>
      </c>
      <c r="J76" s="23">
        <f ca="1">H72</f>
        <v>48</v>
      </c>
    </row>
    <row r="77" spans="1:10" ht="15.75" customHeight="1" x14ac:dyDescent="0.25">
      <c r="A77" s="186" t="s">
        <v>125</v>
      </c>
      <c r="B77" s="187"/>
      <c r="C77" s="188">
        <v>0</v>
      </c>
      <c r="D77" s="38">
        <f ca="1">((100/(D72+F72+H72))*C77)/100</f>
        <v>0</v>
      </c>
      <c r="E77" s="102"/>
      <c r="F77" s="103"/>
      <c r="G77" s="102"/>
      <c r="H77" s="107"/>
      <c r="I77" s="13" t="s">
        <v>97</v>
      </c>
      <c r="J77" s="24">
        <f ca="1">(IF(B72&gt;1,(H72/(B72+2)),H72/4))</f>
        <v>12</v>
      </c>
    </row>
    <row r="78" spans="1:10" ht="15.75" customHeight="1" x14ac:dyDescent="0.25">
      <c r="A78" s="186" t="s">
        <v>132</v>
      </c>
      <c r="B78" s="187" t="s">
        <v>126</v>
      </c>
      <c r="C78" s="188">
        <v>0</v>
      </c>
      <c r="D78" s="38">
        <f ca="1">((100/H72)*C78)/100</f>
        <v>0</v>
      </c>
      <c r="E78" s="102"/>
      <c r="F78" s="103"/>
      <c r="G78" s="102"/>
      <c r="H78" s="107"/>
      <c r="I78" s="13" t="s">
        <v>98</v>
      </c>
      <c r="J78" s="24">
        <f ca="1">(IF(B72&gt;1,(H72/(B72+2)+J77),H72/4+J77))</f>
        <v>24</v>
      </c>
    </row>
    <row r="79" spans="1:10" ht="15.75" customHeight="1" x14ac:dyDescent="0.25">
      <c r="A79" s="186" t="s">
        <v>133</v>
      </c>
      <c r="B79" s="187" t="s">
        <v>126</v>
      </c>
      <c r="C79" s="188">
        <v>0</v>
      </c>
      <c r="D79" s="38">
        <f ca="1">((100/H72)*C79)/100</f>
        <v>0</v>
      </c>
      <c r="E79" s="102"/>
      <c r="F79" s="103"/>
      <c r="G79" s="102"/>
      <c r="H79" s="107"/>
      <c r="I79" s="13" t="s">
        <v>142</v>
      </c>
      <c r="J79" s="24">
        <f ca="1">(IF(B72&gt;1,(H72/(B72+2)+J78),0))</f>
        <v>36</v>
      </c>
    </row>
    <row r="80" spans="1:10" x14ac:dyDescent="0.25">
      <c r="A80" s="186" t="s">
        <v>131</v>
      </c>
      <c r="B80" s="187" t="s">
        <v>128</v>
      </c>
      <c r="C80" s="188">
        <v>0</v>
      </c>
      <c r="D80" s="38">
        <f ca="1">((100/(H72))*C80)/100</f>
        <v>0</v>
      </c>
      <c r="E80" s="102"/>
      <c r="F80" s="103"/>
      <c r="G80" s="102"/>
      <c r="H80" s="107"/>
      <c r="I80" s="13" t="s">
        <v>139</v>
      </c>
      <c r="J80" s="24">
        <f>(IF(B72&gt;2,(H72/(B72+2)+J79),0))</f>
        <v>0</v>
      </c>
    </row>
    <row r="81" spans="1:10" x14ac:dyDescent="0.25">
      <c r="A81" s="186" t="s">
        <v>127</v>
      </c>
      <c r="B81" s="187" t="s">
        <v>127</v>
      </c>
      <c r="C81" s="188">
        <v>0</v>
      </c>
      <c r="D81" s="38">
        <f ca="1">((100/H72)*C81)/100</f>
        <v>0</v>
      </c>
      <c r="E81" s="102"/>
      <c r="F81" s="103"/>
      <c r="G81" s="102"/>
      <c r="H81" s="107"/>
      <c r="I81" s="13" t="s">
        <v>140</v>
      </c>
      <c r="J81" s="25">
        <f>(IF(B72&gt;3,(H72/(B72+2)+J80),0))</f>
        <v>0</v>
      </c>
    </row>
    <row r="82" spans="1:10" x14ac:dyDescent="0.25">
      <c r="A82" s="186" t="s">
        <v>134</v>
      </c>
      <c r="B82" s="187"/>
      <c r="C82" s="188">
        <v>0</v>
      </c>
      <c r="D82" s="38">
        <f ca="1">((100/H72)*C82)/100</f>
        <v>0</v>
      </c>
      <c r="E82" s="102"/>
      <c r="F82" s="103"/>
      <c r="G82" s="102"/>
      <c r="H82" s="107"/>
      <c r="I82" s="13" t="s">
        <v>141</v>
      </c>
      <c r="J82" s="24">
        <f>(IF(B72&gt;4,(H72/(B72+2)+J81),0))</f>
        <v>0</v>
      </c>
    </row>
    <row r="83" spans="1:10" x14ac:dyDescent="0.25">
      <c r="A83" s="186" t="s">
        <v>129</v>
      </c>
      <c r="B83" s="187" t="s">
        <v>129</v>
      </c>
      <c r="C83" s="188">
        <v>0</v>
      </c>
      <c r="D83" s="38">
        <f ca="1">((100/(H72))*C83)/100</f>
        <v>0</v>
      </c>
      <c r="E83" s="102"/>
      <c r="F83" s="103"/>
      <c r="G83" s="102"/>
      <c r="H83" s="107"/>
      <c r="I83" s="13" t="s">
        <v>143</v>
      </c>
      <c r="J83" s="24">
        <f>(IF(B72=1,(H72/(B72+3)+J78),IF(B72=0,(H72/4+J78),IF(B72&gt;1,0))))</f>
        <v>0</v>
      </c>
    </row>
    <row r="84" spans="1:10" ht="15.75" customHeight="1" thickBot="1" x14ac:dyDescent="0.3">
      <c r="A84" s="191" t="s">
        <v>130</v>
      </c>
      <c r="B84" s="192"/>
      <c r="C84" s="193">
        <v>0</v>
      </c>
      <c r="D84" s="39">
        <f ca="1">((100/(H72))*C84)/100</f>
        <v>0</v>
      </c>
      <c r="E84" s="104"/>
      <c r="F84" s="105"/>
      <c r="G84" s="104"/>
      <c r="H84" s="108"/>
      <c r="I84" s="14" t="s">
        <v>99</v>
      </c>
      <c r="J84" s="26">
        <f ca="1">(IF(B72&gt;1.5,(H72/(B72+2)+J78+MAX(0,J79-J78)+MAX(0,J80-J79)+MAX(0,J81-J80)+MAX(0,J82-J81)+MAX(0,J83-J82)),IF(B72=1,(H72/(B72+3)+J83),IF(B72=0,H72/4+J83))))</f>
        <v>48</v>
      </c>
    </row>
    <row r="85" spans="1:10" ht="15.75" customHeight="1" x14ac:dyDescent="0.25">
      <c r="A85" s="182" t="s">
        <v>136</v>
      </c>
      <c r="B85" s="182"/>
      <c r="C85" s="182" t="str">
        <f>D62</f>
        <v>Building No.2 = LB + UB + G + 1st to 48th Floor</v>
      </c>
      <c r="D85" s="182"/>
      <c r="E85" s="182"/>
      <c r="F85" s="182"/>
      <c r="G85" s="182"/>
      <c r="H85" s="182"/>
      <c r="I85" s="45" t="str">
        <f ca="1">IF(D98=100%,"All work Completed. Possession granted to the Building.",IF(D97=100%,"All work Completed, Waiting for OC",I86&amp;""&amp;I87&amp;""&amp;J86&amp;""&amp;J85&amp;" "&amp;J87))</f>
        <v xml:space="preserve">Excavation Completed, Footing work is process </v>
      </c>
      <c r="J85" s="34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/>
      </c>
    </row>
    <row r="86" spans="1:10" ht="15.75" customHeight="1" x14ac:dyDescent="0.25">
      <c r="A86" s="183" t="s">
        <v>138</v>
      </c>
      <c r="B86" s="183">
        <v>2</v>
      </c>
      <c r="C86" s="183" t="s">
        <v>68</v>
      </c>
      <c r="D86" s="183">
        <v>1</v>
      </c>
      <c r="E86" s="183" t="s">
        <v>67</v>
      </c>
      <c r="F86" s="183">
        <v>0</v>
      </c>
      <c r="G86" s="183" t="s">
        <v>76</v>
      </c>
      <c r="H86" s="183">
        <f ca="1">--TRIM(RIGHT(SUBSTITUTE(LEFT(C85,_xlfn.AGGREGATE(16,6,FIND({0,1,2,3,4,5,6,7,8,9},C85,ROW(INDIRECT("1:"&amp;LEN(C85)))),1))," ",REPT(" ",LEN(C85))),LEN(C85)))</f>
        <v>48</v>
      </c>
      <c r="I86" s="46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</v>
      </c>
      <c r="J86" s="36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>, Footing work is process</v>
      </c>
    </row>
    <row r="87" spans="1:10" ht="15.75" customHeight="1" x14ac:dyDescent="0.25">
      <c r="A87" s="184" t="s">
        <v>86</v>
      </c>
      <c r="B87" s="135"/>
      <c r="C87" s="182" t="str">
        <f ca="1">I85</f>
        <v xml:space="preserve">Excavation Completed, Footing work is process </v>
      </c>
      <c r="D87" s="182"/>
      <c r="E87" s="182"/>
      <c r="F87" s="182"/>
      <c r="G87" s="182"/>
      <c r="H87" s="185"/>
      <c r="I87" s="35" t="str">
        <f ca="1">IF(I86&lt;&gt;""," Completed","")</f>
        <v xml:space="preserve"> Completed</v>
      </c>
      <c r="J87" s="36" t="str">
        <f ca="1">IF(J85&lt;&gt;"","Completed","")</f>
        <v/>
      </c>
    </row>
    <row r="88" spans="1:10" ht="15.75" customHeight="1" x14ac:dyDescent="0.25">
      <c r="A88" s="186" t="s">
        <v>47</v>
      </c>
      <c r="B88" s="187"/>
      <c r="C88" s="188" t="s">
        <v>135</v>
      </c>
      <c r="D88" s="188" t="s">
        <v>79</v>
      </c>
      <c r="E88" s="187" t="s">
        <v>81</v>
      </c>
      <c r="F88" s="187"/>
      <c r="G88" s="187" t="s">
        <v>80</v>
      </c>
      <c r="H88" s="189"/>
      <c r="I88" s="13" t="s">
        <v>137</v>
      </c>
      <c r="J88" s="22">
        <f ca="1">H86*25%</f>
        <v>12</v>
      </c>
    </row>
    <row r="89" spans="1:10" ht="15.75" customHeight="1" x14ac:dyDescent="0.25">
      <c r="A89" s="186" t="s">
        <v>124</v>
      </c>
      <c r="B89" s="187"/>
      <c r="C89" s="188">
        <f ca="1">J90</f>
        <v>48</v>
      </c>
      <c r="D89" s="38">
        <f ca="1">((100/H86)*C89)/100</f>
        <v>1</v>
      </c>
      <c r="E89" s="100">
        <f ca="1">(((C90/H86*10)+(40/(D86+F86+H86)*C91)+(7.5/(H86)*C92)+(7.5/(H86)*C93)+(10/H86*C94)+(10/H86*C95)+(5/H86*C96)+(5/H86*C97)+(5/H86*C98))/100)</f>
        <v>2.5000000000000001E-2</v>
      </c>
      <c r="F89" s="101"/>
      <c r="G89" s="100">
        <f ca="1">((((C89/H86)*20)+((C90/H86)*25)+(30/(H86+F86+D86)*C91)+(5/H86*C92)+(5/H86*C93)+(5/H86*C94)+(5/H86*C95)+(0/H86*C96)+(0/H86*C97)+(5/H86*C98))/100)</f>
        <v>0.26250000000000001</v>
      </c>
      <c r="H89" s="106"/>
      <c r="I89" s="13" t="s">
        <v>95</v>
      </c>
      <c r="J89" s="23">
        <f ca="1">H86*50%</f>
        <v>24</v>
      </c>
    </row>
    <row r="90" spans="1:10" ht="15.75" customHeight="1" x14ac:dyDescent="0.25">
      <c r="A90" s="186" t="s">
        <v>48</v>
      </c>
      <c r="B90" s="187"/>
      <c r="C90" s="190">
        <f ca="1">J91</f>
        <v>12</v>
      </c>
      <c r="D90" s="38">
        <f ca="1">((100/H86)*C90)/100</f>
        <v>0.25</v>
      </c>
      <c r="E90" s="102"/>
      <c r="F90" s="103"/>
      <c r="G90" s="102"/>
      <c r="H90" s="107"/>
      <c r="I90" s="13" t="s">
        <v>96</v>
      </c>
      <c r="J90" s="23">
        <f ca="1">H86</f>
        <v>48</v>
      </c>
    </row>
    <row r="91" spans="1:10" ht="15.75" customHeight="1" x14ac:dyDescent="0.25">
      <c r="A91" s="186" t="s">
        <v>125</v>
      </c>
      <c r="B91" s="187"/>
      <c r="C91" s="188">
        <v>0</v>
      </c>
      <c r="D91" s="38">
        <f ca="1">((100/(D86+F86+H86))*C91)/100</f>
        <v>0</v>
      </c>
      <c r="E91" s="102"/>
      <c r="F91" s="103"/>
      <c r="G91" s="102"/>
      <c r="H91" s="107"/>
      <c r="I91" s="13" t="s">
        <v>97</v>
      </c>
      <c r="J91" s="24">
        <f ca="1">(IF(B86&gt;1,(H86/(B86+2)),H86/4))</f>
        <v>12</v>
      </c>
    </row>
    <row r="92" spans="1:10" ht="15.75" customHeight="1" x14ac:dyDescent="0.25">
      <c r="A92" s="186" t="s">
        <v>132</v>
      </c>
      <c r="B92" s="187" t="s">
        <v>126</v>
      </c>
      <c r="C92" s="188">
        <v>0</v>
      </c>
      <c r="D92" s="38">
        <f ca="1">((100/H86)*C92)/100</f>
        <v>0</v>
      </c>
      <c r="E92" s="102"/>
      <c r="F92" s="103"/>
      <c r="G92" s="102"/>
      <c r="H92" s="107"/>
      <c r="I92" s="13" t="s">
        <v>98</v>
      </c>
      <c r="J92" s="24">
        <f ca="1">(IF(B86&gt;1,(H86/(B86+2)+J91),H86/4+J91))</f>
        <v>24</v>
      </c>
    </row>
    <row r="93" spans="1:10" ht="15.75" customHeight="1" x14ac:dyDescent="0.25">
      <c r="A93" s="186" t="s">
        <v>133</v>
      </c>
      <c r="B93" s="187" t="s">
        <v>126</v>
      </c>
      <c r="C93" s="188">
        <v>0</v>
      </c>
      <c r="D93" s="38">
        <f ca="1">((100/H86)*C93)/100</f>
        <v>0</v>
      </c>
      <c r="E93" s="102"/>
      <c r="F93" s="103"/>
      <c r="G93" s="102"/>
      <c r="H93" s="107"/>
      <c r="I93" s="13" t="s">
        <v>142</v>
      </c>
      <c r="J93" s="24">
        <f ca="1">(IF(B86&gt;1,(H86/(B86+2)+J92),0))</f>
        <v>36</v>
      </c>
    </row>
    <row r="94" spans="1:10" ht="15.75" customHeight="1" x14ac:dyDescent="0.25">
      <c r="A94" s="186" t="s">
        <v>131</v>
      </c>
      <c r="B94" s="187" t="s">
        <v>128</v>
      </c>
      <c r="C94" s="188">
        <v>0</v>
      </c>
      <c r="D94" s="38">
        <f ca="1">((100/(H86))*C94)/100</f>
        <v>0</v>
      </c>
      <c r="E94" s="102"/>
      <c r="F94" s="103"/>
      <c r="G94" s="102"/>
      <c r="H94" s="107"/>
      <c r="I94" s="13" t="s">
        <v>139</v>
      </c>
      <c r="J94" s="24">
        <f>(IF(B86&gt;2,(H86/(B86+2)+J93),0))</f>
        <v>0</v>
      </c>
    </row>
    <row r="95" spans="1:10" ht="15.75" customHeight="1" x14ac:dyDescent="0.25">
      <c r="A95" s="186" t="s">
        <v>127</v>
      </c>
      <c r="B95" s="187" t="s">
        <v>127</v>
      </c>
      <c r="C95" s="188">
        <v>0</v>
      </c>
      <c r="D95" s="38">
        <f ca="1">((100/H86)*C95)/100</f>
        <v>0</v>
      </c>
      <c r="E95" s="102"/>
      <c r="F95" s="103"/>
      <c r="G95" s="102"/>
      <c r="H95" s="107"/>
      <c r="I95" s="13" t="s">
        <v>140</v>
      </c>
      <c r="J95" s="25">
        <f>(IF(B86&gt;3,(H86/(B86+2)+J94),0))</f>
        <v>0</v>
      </c>
    </row>
    <row r="96" spans="1:10" ht="15.75" customHeight="1" x14ac:dyDescent="0.25">
      <c r="A96" s="186" t="s">
        <v>134</v>
      </c>
      <c r="B96" s="187"/>
      <c r="C96" s="188">
        <v>0</v>
      </c>
      <c r="D96" s="38">
        <f ca="1">((100/H86)*C96)/100</f>
        <v>0</v>
      </c>
      <c r="E96" s="102"/>
      <c r="F96" s="103"/>
      <c r="G96" s="102"/>
      <c r="H96" s="107"/>
      <c r="I96" s="13" t="s">
        <v>141</v>
      </c>
      <c r="J96" s="24">
        <f>(IF(B86&gt;4,(H86/(B86+2)+J95),0))</f>
        <v>0</v>
      </c>
    </row>
    <row r="97" spans="1:10" ht="15.75" customHeight="1" x14ac:dyDescent="0.25">
      <c r="A97" s="186" t="s">
        <v>129</v>
      </c>
      <c r="B97" s="187" t="s">
        <v>129</v>
      </c>
      <c r="C97" s="188">
        <v>0</v>
      </c>
      <c r="D97" s="38">
        <f ca="1">((100/(H86))*C97)/100</f>
        <v>0</v>
      </c>
      <c r="E97" s="102"/>
      <c r="F97" s="103"/>
      <c r="G97" s="102"/>
      <c r="H97" s="107"/>
      <c r="I97" s="13" t="s">
        <v>143</v>
      </c>
      <c r="J97" s="24">
        <f>(IF(B86=1,(H86/(B86+3)+J92),IF(B86=0,(H86/4+J92),IF(B86&gt;1,0))))</f>
        <v>0</v>
      </c>
    </row>
    <row r="98" spans="1:10" ht="15.75" customHeight="1" thickBot="1" x14ac:dyDescent="0.3">
      <c r="A98" s="191" t="s">
        <v>130</v>
      </c>
      <c r="B98" s="192"/>
      <c r="C98" s="193">
        <v>0</v>
      </c>
      <c r="D98" s="39">
        <f ca="1">((100/(H86))*C98)/100</f>
        <v>0</v>
      </c>
      <c r="E98" s="104"/>
      <c r="F98" s="105"/>
      <c r="G98" s="104"/>
      <c r="H98" s="108"/>
      <c r="I98" s="14" t="s">
        <v>99</v>
      </c>
      <c r="J98" s="26">
        <f ca="1">(IF(B86&gt;1.5,(H86/(B86+2)+J92+MAX(0,J93-J92)+MAX(0,J94-J93)+MAX(0,J95-J94)+MAX(0,J96-J95)+MAX(0,J97-J96)),IF(B86=1,(H86/(B86+3)+J97),IF(B86=0,H86/4+J97))))</f>
        <v>48</v>
      </c>
    </row>
    <row r="99" spans="1:10" x14ac:dyDescent="0.25">
      <c r="A99" s="182" t="s">
        <v>136</v>
      </c>
      <c r="B99" s="182"/>
      <c r="C99" s="182" t="str">
        <f>D63</f>
        <v>Building No.3 = LB + UB + G + 1st to 48th Floor</v>
      </c>
      <c r="D99" s="182"/>
      <c r="E99" s="182"/>
      <c r="F99" s="182"/>
      <c r="G99" s="182"/>
      <c r="H99" s="182"/>
      <c r="I99" s="45" t="str">
        <f ca="1">IF(D112=100%,"All work Completed. Possession granted to the Building.",IF(D111=100%,"All work Completed, Waiting for OC",I100&amp;""&amp;I101&amp;""&amp;J100&amp;""&amp;J99&amp;" "&amp;J101))</f>
        <v xml:space="preserve">Excavation work in process </v>
      </c>
      <c r="J99" s="34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/>
      </c>
    </row>
    <row r="100" spans="1:10" x14ac:dyDescent="0.25">
      <c r="A100" s="183" t="s">
        <v>138</v>
      </c>
      <c r="B100" s="183">
        <v>2</v>
      </c>
      <c r="C100" s="183" t="s">
        <v>68</v>
      </c>
      <c r="D100" s="183">
        <v>1</v>
      </c>
      <c r="E100" s="183" t="s">
        <v>67</v>
      </c>
      <c r="F100" s="183">
        <v>0</v>
      </c>
      <c r="G100" s="183" t="s">
        <v>76</v>
      </c>
      <c r="H100" s="183">
        <f ca="1">--TRIM(RIGHT(SUBSTITUTE(LEFT(C99,_xlfn.AGGREGATE(16,6,FIND({0,1,2,3,4,5,6,7,8,9},C99,ROW(INDIRECT("1:"&amp;LEN(C99)))),1))," ",REPT(" ",LEN(C99))),LEN(C99)))</f>
        <v>48</v>
      </c>
      <c r="I100" s="46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/>
      </c>
      <c r="J100" s="36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>Excavation work in process</v>
      </c>
    </row>
    <row r="101" spans="1:10" ht="15.75" customHeight="1" x14ac:dyDescent="0.25">
      <c r="A101" s="184" t="s">
        <v>86</v>
      </c>
      <c r="B101" s="135"/>
      <c r="C101" s="182" t="str">
        <f ca="1">I99</f>
        <v xml:space="preserve">Excavation work in process </v>
      </c>
      <c r="D101" s="182"/>
      <c r="E101" s="182"/>
      <c r="F101" s="182"/>
      <c r="G101" s="182"/>
      <c r="H101" s="185"/>
      <c r="I101" s="35" t="str">
        <f ca="1">IF(I100&lt;&gt;""," Completed","")</f>
        <v/>
      </c>
      <c r="J101" s="36" t="str">
        <f ca="1">IF(J99&lt;&gt;"","Completed","")</f>
        <v/>
      </c>
    </row>
    <row r="102" spans="1:10" ht="15.75" customHeight="1" x14ac:dyDescent="0.25">
      <c r="A102" s="186" t="s">
        <v>47</v>
      </c>
      <c r="B102" s="187"/>
      <c r="C102" s="188" t="s">
        <v>135</v>
      </c>
      <c r="D102" s="188" t="s">
        <v>79</v>
      </c>
      <c r="E102" s="187" t="s">
        <v>81</v>
      </c>
      <c r="F102" s="187"/>
      <c r="G102" s="187" t="s">
        <v>80</v>
      </c>
      <c r="H102" s="189"/>
      <c r="I102" s="13" t="s">
        <v>137</v>
      </c>
      <c r="J102" s="22">
        <f ca="1">H100*25%</f>
        <v>12</v>
      </c>
    </row>
    <row r="103" spans="1:10" ht="15.75" customHeight="1" x14ac:dyDescent="0.25">
      <c r="A103" s="186" t="s">
        <v>124</v>
      </c>
      <c r="B103" s="187"/>
      <c r="C103" s="188">
        <f ca="1">J103</f>
        <v>24</v>
      </c>
      <c r="D103" s="38">
        <f ca="1">((100/H100)*C103)/100</f>
        <v>0.5</v>
      </c>
      <c r="E103" s="100">
        <f ca="1">(((C104/H100*10)+(40/(D100+F100+H100)*C105)+(7.5/(H100)*C106)+(7.5/(H100)*C107)+(10/H100*C108)+(10/H100*C109)+(5/H100*C110)+(5/H100*C111)+(5/H100*C112))/100)</f>
        <v>0</v>
      </c>
      <c r="F103" s="101"/>
      <c r="G103" s="100">
        <f ca="1">((((C103/H100)*20)+((C104/H100)*25)+(30/(H100+F100+D100)*C105)+(5/H100*C106)+(5/H100*C107)+(5/H100*C108)+(5/H100*C109)+(0/H100*C110)+(0/H100*C111)+(5/H100*C112))/100)</f>
        <v>0.1</v>
      </c>
      <c r="H103" s="106"/>
      <c r="I103" s="13" t="s">
        <v>95</v>
      </c>
      <c r="J103" s="23">
        <f ca="1">H100*50%</f>
        <v>24</v>
      </c>
    </row>
    <row r="104" spans="1:10" ht="15" customHeight="1" x14ac:dyDescent="0.25">
      <c r="A104" s="186" t="s">
        <v>48</v>
      </c>
      <c r="B104" s="187"/>
      <c r="C104" s="188">
        <v>0</v>
      </c>
      <c r="D104" s="38">
        <f ca="1">((100/H100)*C104)/100</f>
        <v>0</v>
      </c>
      <c r="E104" s="102"/>
      <c r="F104" s="103"/>
      <c r="G104" s="102"/>
      <c r="H104" s="107"/>
      <c r="I104" s="13" t="s">
        <v>96</v>
      </c>
      <c r="J104" s="23">
        <f ca="1">H100</f>
        <v>48</v>
      </c>
    </row>
    <row r="105" spans="1:10" ht="15.75" customHeight="1" x14ac:dyDescent="0.25">
      <c r="A105" s="186" t="s">
        <v>125</v>
      </c>
      <c r="B105" s="187"/>
      <c r="C105" s="188">
        <v>0</v>
      </c>
      <c r="D105" s="38">
        <f ca="1">((100/(D100+F100+H100))*C105)/100</f>
        <v>0</v>
      </c>
      <c r="E105" s="102"/>
      <c r="F105" s="103"/>
      <c r="G105" s="102"/>
      <c r="H105" s="107"/>
      <c r="I105" s="13" t="s">
        <v>97</v>
      </c>
      <c r="J105" s="24">
        <f ca="1">(IF(B100&gt;1,(H100/(B100+2)),H100/4))</f>
        <v>12</v>
      </c>
    </row>
    <row r="106" spans="1:10" ht="15.75" customHeight="1" x14ac:dyDescent="0.25">
      <c r="A106" s="186" t="s">
        <v>132</v>
      </c>
      <c r="B106" s="187" t="s">
        <v>126</v>
      </c>
      <c r="C106" s="188">
        <v>0</v>
      </c>
      <c r="D106" s="38">
        <f ca="1">((100/H100)*C106)/100</f>
        <v>0</v>
      </c>
      <c r="E106" s="102"/>
      <c r="F106" s="103"/>
      <c r="G106" s="102"/>
      <c r="H106" s="107"/>
      <c r="I106" s="13" t="s">
        <v>98</v>
      </c>
      <c r="J106" s="24">
        <f ca="1">(IF(B100&gt;1,(H100/(B100+2)+J105),H100/4+J105))</f>
        <v>24</v>
      </c>
    </row>
    <row r="107" spans="1:10" ht="15.75" customHeight="1" x14ac:dyDescent="0.25">
      <c r="A107" s="186" t="s">
        <v>133</v>
      </c>
      <c r="B107" s="187" t="s">
        <v>126</v>
      </c>
      <c r="C107" s="188">
        <v>0</v>
      </c>
      <c r="D107" s="38">
        <f ca="1">((100/H100)*C107)/100</f>
        <v>0</v>
      </c>
      <c r="E107" s="102"/>
      <c r="F107" s="103"/>
      <c r="G107" s="102"/>
      <c r="H107" s="107"/>
      <c r="I107" s="13" t="s">
        <v>142</v>
      </c>
      <c r="J107" s="24">
        <f ca="1">(IF(B100&gt;1,(H100/(B100+2)+J106),0))</f>
        <v>36</v>
      </c>
    </row>
    <row r="108" spans="1:10" x14ac:dyDescent="0.25">
      <c r="A108" s="186" t="s">
        <v>131</v>
      </c>
      <c r="B108" s="187" t="s">
        <v>128</v>
      </c>
      <c r="C108" s="188">
        <v>0</v>
      </c>
      <c r="D108" s="38">
        <f ca="1">((100/(H100))*C108)/100</f>
        <v>0</v>
      </c>
      <c r="E108" s="102"/>
      <c r="F108" s="103"/>
      <c r="G108" s="102"/>
      <c r="H108" s="107"/>
      <c r="I108" s="13" t="s">
        <v>139</v>
      </c>
      <c r="J108" s="24">
        <f>(IF(B100&gt;2,(H100/(B100+2)+J107),0))</f>
        <v>0</v>
      </c>
    </row>
    <row r="109" spans="1:10" x14ac:dyDescent="0.25">
      <c r="A109" s="186" t="s">
        <v>127</v>
      </c>
      <c r="B109" s="187" t="s">
        <v>127</v>
      </c>
      <c r="C109" s="188">
        <v>0</v>
      </c>
      <c r="D109" s="38">
        <f ca="1">((100/H100)*C109)/100</f>
        <v>0</v>
      </c>
      <c r="E109" s="102"/>
      <c r="F109" s="103"/>
      <c r="G109" s="102"/>
      <c r="H109" s="107"/>
      <c r="I109" s="13" t="s">
        <v>140</v>
      </c>
      <c r="J109" s="25">
        <f>(IF(B100&gt;3,(H100/(B100+2)+J108),0))</f>
        <v>0</v>
      </c>
    </row>
    <row r="110" spans="1:10" x14ac:dyDescent="0.25">
      <c r="A110" s="186" t="s">
        <v>134</v>
      </c>
      <c r="B110" s="187"/>
      <c r="C110" s="188">
        <v>0</v>
      </c>
      <c r="D110" s="38">
        <f ca="1">((100/H100)*C110)/100</f>
        <v>0</v>
      </c>
      <c r="E110" s="102"/>
      <c r="F110" s="103"/>
      <c r="G110" s="102"/>
      <c r="H110" s="107"/>
      <c r="I110" s="13" t="s">
        <v>141</v>
      </c>
      <c r="J110" s="24">
        <f>(IF(B100&gt;4,(H100/(B100+2)+J109),0))</f>
        <v>0</v>
      </c>
    </row>
    <row r="111" spans="1:10" x14ac:dyDescent="0.25">
      <c r="A111" s="186" t="s">
        <v>129</v>
      </c>
      <c r="B111" s="187" t="s">
        <v>129</v>
      </c>
      <c r="C111" s="188">
        <v>0</v>
      </c>
      <c r="D111" s="38">
        <f ca="1">((100/(H100))*C111)/100</f>
        <v>0</v>
      </c>
      <c r="E111" s="102"/>
      <c r="F111" s="103"/>
      <c r="G111" s="102"/>
      <c r="H111" s="107"/>
      <c r="I111" s="13" t="s">
        <v>143</v>
      </c>
      <c r="J111" s="24">
        <f>(IF(B100=1,(H100/(B100+3)+J106),IF(B100=0,(H100/4+J106),IF(B100&gt;1,0))))</f>
        <v>0</v>
      </c>
    </row>
    <row r="112" spans="1:10" ht="16.5" thickBot="1" x14ac:dyDescent="0.3">
      <c r="A112" s="191" t="s">
        <v>130</v>
      </c>
      <c r="B112" s="192"/>
      <c r="C112" s="193">
        <v>0</v>
      </c>
      <c r="D112" s="39">
        <f ca="1">((100/(H100))*C112)/100</f>
        <v>0</v>
      </c>
      <c r="E112" s="104"/>
      <c r="F112" s="105"/>
      <c r="G112" s="104"/>
      <c r="H112" s="108"/>
      <c r="I112" s="14" t="s">
        <v>99</v>
      </c>
      <c r="J112" s="26">
        <f ca="1">(IF(B100&gt;1.5,(H100/(B100+2)+J106+MAX(0,J107-J106)+MAX(0,J108-J107)+MAX(0,J109-J108)+MAX(0,J110-J109)+MAX(0,J111-J110)),IF(B100=1,(H100/(B100+3)+J111),IF(B100=0,H100/4+J111))))</f>
        <v>48</v>
      </c>
    </row>
    <row r="113" spans="1:10" x14ac:dyDescent="0.25">
      <c r="A113" s="194" t="s">
        <v>153</v>
      </c>
      <c r="B113" s="194"/>
      <c r="C113" s="194"/>
      <c r="D113" s="194"/>
      <c r="E113" s="194"/>
      <c r="F113" s="195" t="s">
        <v>156</v>
      </c>
      <c r="G113" s="195"/>
      <c r="H113" s="195"/>
    </row>
    <row r="114" spans="1:10" s="27" customFormat="1" x14ac:dyDescent="0.25">
      <c r="A114" s="124" t="s">
        <v>155</v>
      </c>
      <c r="B114" s="124"/>
      <c r="C114" s="124"/>
      <c r="D114" s="124"/>
      <c r="E114" s="124"/>
      <c r="F114" s="89">
        <v>11000</v>
      </c>
      <c r="G114" s="89"/>
      <c r="H114" s="89"/>
    </row>
    <row r="115" spans="1:10" s="27" customFormat="1" x14ac:dyDescent="0.25">
      <c r="A115" s="124" t="s">
        <v>193</v>
      </c>
      <c r="B115" s="124"/>
      <c r="C115" s="124"/>
      <c r="D115" s="124"/>
      <c r="E115" s="124"/>
      <c r="F115" s="89">
        <v>20000</v>
      </c>
      <c r="G115" s="89"/>
      <c r="H115" s="89"/>
      <c r="J115" s="43">
        <f>SUM(F119:H123)</f>
        <v>432500</v>
      </c>
    </row>
    <row r="116" spans="1:10" s="27" customFormat="1" x14ac:dyDescent="0.25">
      <c r="A116" s="124" t="s">
        <v>195</v>
      </c>
      <c r="B116" s="124"/>
      <c r="C116" s="124"/>
      <c r="D116" s="124"/>
      <c r="E116" s="124"/>
      <c r="F116" s="89">
        <v>18000</v>
      </c>
      <c r="G116" s="89"/>
      <c r="H116" s="89"/>
    </row>
    <row r="117" spans="1:10" s="27" customFormat="1" x14ac:dyDescent="0.25">
      <c r="A117" s="124" t="s">
        <v>194</v>
      </c>
      <c r="B117" s="124"/>
      <c r="C117" s="124"/>
      <c r="D117" s="124"/>
      <c r="E117" s="124"/>
      <c r="F117" s="89">
        <v>17000</v>
      </c>
      <c r="G117" s="89"/>
      <c r="H117" s="89"/>
    </row>
    <row r="118" spans="1:10" s="27" customFormat="1" hidden="1" x14ac:dyDescent="0.25">
      <c r="A118" s="124" t="s">
        <v>154</v>
      </c>
      <c r="B118" s="124"/>
      <c r="C118" s="124"/>
      <c r="D118" s="124"/>
      <c r="E118" s="124"/>
      <c r="F118" s="89"/>
      <c r="G118" s="89"/>
      <c r="H118" s="89"/>
    </row>
    <row r="119" spans="1:10" s="27" customFormat="1" x14ac:dyDescent="0.25">
      <c r="A119" s="124" t="s">
        <v>90</v>
      </c>
      <c r="B119" s="124"/>
      <c r="C119" s="124"/>
      <c r="D119" s="124"/>
      <c r="E119" s="124"/>
      <c r="F119" s="89">
        <v>100000</v>
      </c>
      <c r="G119" s="89"/>
      <c r="H119" s="89"/>
    </row>
    <row r="120" spans="1:10" s="27" customFormat="1" x14ac:dyDescent="0.25">
      <c r="A120" s="124" t="s">
        <v>91</v>
      </c>
      <c r="B120" s="124"/>
      <c r="C120" s="124"/>
      <c r="D120" s="124"/>
      <c r="E120" s="124"/>
      <c r="F120" s="89">
        <v>250000</v>
      </c>
      <c r="G120" s="89"/>
      <c r="H120" s="89"/>
    </row>
    <row r="121" spans="1:10" ht="16.5" customHeight="1" x14ac:dyDescent="0.25">
      <c r="A121" s="124" t="s">
        <v>92</v>
      </c>
      <c r="B121" s="124"/>
      <c r="C121" s="124"/>
      <c r="D121" s="124"/>
      <c r="E121" s="124"/>
      <c r="F121" s="89">
        <v>20000</v>
      </c>
      <c r="G121" s="89"/>
      <c r="H121" s="89"/>
    </row>
    <row r="122" spans="1:10" s="28" customFormat="1" x14ac:dyDescent="0.25">
      <c r="A122" s="124" t="s">
        <v>196</v>
      </c>
      <c r="B122" s="124"/>
      <c r="C122" s="124"/>
      <c r="D122" s="124"/>
      <c r="E122" s="124"/>
      <c r="F122" s="89">
        <v>50000</v>
      </c>
      <c r="G122" s="89"/>
      <c r="H122" s="89"/>
    </row>
    <row r="123" spans="1:10" s="29" customFormat="1" ht="15.75" customHeight="1" x14ac:dyDescent="0.25">
      <c r="A123" s="124" t="s">
        <v>93</v>
      </c>
      <c r="B123" s="124"/>
      <c r="C123" s="124"/>
      <c r="D123" s="124"/>
      <c r="E123" s="124"/>
      <c r="F123" s="89">
        <v>12500</v>
      </c>
      <c r="G123" s="89"/>
      <c r="H123" s="89"/>
    </row>
    <row r="124" spans="1:10" s="29" customFormat="1" ht="15.75" hidden="1" customHeight="1" x14ac:dyDescent="0.25">
      <c r="A124" s="124" t="s">
        <v>94</v>
      </c>
      <c r="B124" s="124"/>
      <c r="C124" s="124"/>
      <c r="D124" s="124"/>
      <c r="E124" s="124"/>
      <c r="F124" s="89"/>
      <c r="G124" s="89"/>
      <c r="H124" s="89"/>
    </row>
    <row r="125" spans="1:10" s="29" customFormat="1" x14ac:dyDescent="0.25">
      <c r="A125" s="124" t="s">
        <v>49</v>
      </c>
      <c r="B125" s="124"/>
      <c r="C125" s="124"/>
      <c r="D125" s="124"/>
      <c r="E125" s="124"/>
      <c r="F125" s="89">
        <v>700000</v>
      </c>
      <c r="G125" s="89"/>
      <c r="H125" s="89"/>
    </row>
    <row r="126" spans="1:10" s="29" customFormat="1" x14ac:dyDescent="0.25">
      <c r="A126" s="131" t="s">
        <v>50</v>
      </c>
      <c r="B126" s="131"/>
      <c r="C126" s="131"/>
      <c r="D126" s="131"/>
      <c r="E126" s="131"/>
      <c r="F126" s="89">
        <f>F114*0.8</f>
        <v>8800</v>
      </c>
      <c r="G126" s="89"/>
      <c r="H126" s="89"/>
    </row>
    <row r="127" spans="1:10" s="29" customFormat="1" x14ac:dyDescent="0.25">
      <c r="A127" s="196" t="s">
        <v>264</v>
      </c>
      <c r="B127" s="196"/>
      <c r="C127" s="196"/>
      <c r="D127" s="196"/>
      <c r="E127" s="196"/>
      <c r="F127" s="196"/>
      <c r="G127" s="196"/>
      <c r="H127" s="196"/>
    </row>
    <row r="128" spans="1:10" s="29" customFormat="1" ht="15.75" customHeight="1" x14ac:dyDescent="0.25">
      <c r="A128" s="197" t="s">
        <v>51</v>
      </c>
      <c r="B128" s="197"/>
      <c r="C128" s="198" t="s">
        <v>74</v>
      </c>
      <c r="D128" s="198"/>
      <c r="E128" s="199" t="s">
        <v>52</v>
      </c>
      <c r="F128" s="199"/>
      <c r="G128" s="197" t="s">
        <v>53</v>
      </c>
      <c r="H128" s="197"/>
    </row>
    <row r="129" spans="1:14" s="29" customFormat="1" x14ac:dyDescent="0.25">
      <c r="A129" s="200" t="s">
        <v>182</v>
      </c>
      <c r="B129" s="200"/>
      <c r="C129" s="201">
        <f>COUNT(D145:D157)+COUNT(D159:D171)*2</f>
        <v>39</v>
      </c>
      <c r="D129" s="202"/>
      <c r="E129" s="203">
        <f>SUM(D145:D157)+SUM(D159:D171)*2</f>
        <v>17344.786679999997</v>
      </c>
      <c r="F129" s="204"/>
      <c r="G129" s="203">
        <f>SUM(F145:F157)+SUM(F159:F171)*2</f>
        <v>27751.658688000007</v>
      </c>
      <c r="H129" s="204"/>
    </row>
    <row r="130" spans="1:14" s="29" customFormat="1" x14ac:dyDescent="0.25">
      <c r="A130" s="196" t="s">
        <v>146</v>
      </c>
      <c r="B130" s="196"/>
      <c r="C130" s="205">
        <f>C129</f>
        <v>39</v>
      </c>
      <c r="D130" s="198"/>
      <c r="E130" s="205">
        <f t="shared" ref="E130" si="0">E129</f>
        <v>17344.786679999997</v>
      </c>
      <c r="F130" s="198"/>
      <c r="G130" s="205">
        <f t="shared" ref="G130" si="1">G129</f>
        <v>27751.658688000007</v>
      </c>
      <c r="H130" s="198"/>
      <c r="I130" s="29">
        <f>38*8-25</f>
        <v>279</v>
      </c>
    </row>
    <row r="131" spans="1:14" s="29" customFormat="1" ht="15.75" customHeight="1" x14ac:dyDescent="0.25">
      <c r="A131" s="196" t="s">
        <v>265</v>
      </c>
      <c r="B131" s="196"/>
      <c r="C131" s="196"/>
      <c r="D131" s="196"/>
      <c r="E131" s="196"/>
      <c r="F131" s="196"/>
      <c r="G131" s="196"/>
      <c r="H131" s="196"/>
    </row>
    <row r="132" spans="1:14" s="29" customFormat="1" x14ac:dyDescent="0.25">
      <c r="A132" s="197" t="s">
        <v>51</v>
      </c>
      <c r="B132" s="197"/>
      <c r="C132" s="198" t="s">
        <v>74</v>
      </c>
      <c r="D132" s="198"/>
      <c r="E132" s="199" t="s">
        <v>52</v>
      </c>
      <c r="F132" s="199"/>
      <c r="G132" s="197" t="s">
        <v>53</v>
      </c>
      <c r="H132" s="197"/>
    </row>
    <row r="133" spans="1:14" s="29" customFormat="1" x14ac:dyDescent="0.25">
      <c r="A133" s="200" t="s">
        <v>182</v>
      </c>
      <c r="B133" s="200"/>
      <c r="C133" s="202">
        <f>COUNT(D178:D180)+COUNT(D187:D189)+COUNT(D196:D198)+COUNT(D205:D212)*4+COUNT(D214:D215,D217:D221)+COUNT(D223:D230)*8+COUNT(D232:D233,D235:D239)*2+COUNT(D241:D248)*23+COUNT(D250:D251,D253:D257)*6</f>
        <v>352</v>
      </c>
      <c r="D133" s="202"/>
      <c r="E133" s="203">
        <f>SUM(D178:D180)+SUM(D187:D189)+SUM(D196:D198)+SUM(D205:D212)*4+SUM(D214:D215,D217:D221)+SUM(D223:D230)*8+SUM(D232:D233,D235:D239)*2+SUM(D241:D248)*23+SUM(D250:D251,D253:D257)*6</f>
        <v>292669.60788000003</v>
      </c>
      <c r="F133" s="203"/>
      <c r="G133" s="203">
        <f>SUM(F178:F180)+SUM(F187:F189)+SUM(F196:F198)+SUM(F205:F212)*4+SUM(F214:F215,F217:F221)+SUM(F223:F230)*8+SUM(F232:F233,F235:F239)*2+SUM(F241:F248)*23+SUM(F250:F251,F253:F257)*6</f>
        <v>453894.47906400007</v>
      </c>
      <c r="H133" s="203"/>
    </row>
    <row r="134" spans="1:14" s="28" customFormat="1" x14ac:dyDescent="0.25">
      <c r="A134" s="200" t="s">
        <v>190</v>
      </c>
      <c r="B134" s="200"/>
      <c r="C134" s="202">
        <f>COUNT(D264,D269)+COUNT(D271:D273,D278)+COUNT(D280:D282,D287)+COUNT(D289:D291,D296)+COUNT(D298:D305)*4+COUNT(D307:D313)+COUNT(D316:D323)*8+COUNT(D325:D331)*2+COUNT(D334:D341)*23+COUNT(D343:D349)*6</f>
        <v>357</v>
      </c>
      <c r="D134" s="202"/>
      <c r="E134" s="203">
        <f>SUM(D264,D269)+SUM(D271:D273,D278)+SUM(D280:D282,D287)+SUM(D289:D291,D296)+SUM(D298:D305)*4+SUM(D307:D313)+SUM(D316:D323)*8+SUM(D325:D331)*2+SUM(D334:D341)*23+SUM(D343:D349)*6</f>
        <v>295481.70287999994</v>
      </c>
      <c r="F134" s="203"/>
      <c r="G134" s="203">
        <f>SUM(F264,F269)+SUM(F271:F273,F278)+SUM(F280:F282,F287)+SUM(F289:F291,F296)+SUM(F298:F305)*4+SUM(F307:F313)+SUM(F316:F323)*8+SUM(F325:F331)*2+SUM(F334:F341)*23+SUM(F343:F349)*6</f>
        <v>458261.05712399998</v>
      </c>
      <c r="H134" s="203"/>
    </row>
    <row r="135" spans="1:14" x14ac:dyDescent="0.25">
      <c r="A135" s="200" t="s">
        <v>208</v>
      </c>
      <c r="B135" s="200"/>
      <c r="C135" s="201">
        <f>COUNT(D357,D362)+COUNT(D364:D366,D371)+COUNT(D373:D375,D380)+COUNT(D382:D384,D389)+COUNT(D391:D398)*4+COUNT(D400:D401,D403:D407)+COUNT(D409:D416)*8+COUNT(D418:D419,D421:D425)*2+COUNT(D427:D434)*8+COUNT(D436:D437,D439:D443)*2+COUNT(D445:D452)*15+COUNT(D454:D455,D457:D461)*4</f>
        <v>357</v>
      </c>
      <c r="D135" s="201"/>
      <c r="E135" s="203">
        <f>SUM(D357,D362)+SUM(D364:D366,D371)+SUM(D373:D375,D380)+SUM(D382:D384,D389)+SUM(D391:D398)*4+SUM(D400:D401,D403:D407)+SUM(D409:D416)*8+SUM(D418:D419,D421:D425)*2+SUM(D427:D434)*8+SUM(D436:D437,D439:D443)*2+SUM(D445:D452)*15+SUM(D454:D455,D457:D461)*4</f>
        <v>298171.41119999997</v>
      </c>
      <c r="F135" s="203"/>
      <c r="G135" s="203">
        <f>SUM(F357,F362)+SUM(F364:F366,F371)+SUM(F373:F375,F380)+SUM(F382:F384,F389)+SUM(F391:F398)*4+SUM(F400:F401,F403:F407)+SUM(F409:F416)*8+SUM(F418:F419,F421:F425)*2+SUM(F427:F434)*8+SUM(F436:F437,F439:F443)*2+SUM(F445:F452)*15+SUM(F454:F455,F457:F461)*4</f>
        <v>462419.2737449999</v>
      </c>
      <c r="H135" s="203"/>
    </row>
    <row r="136" spans="1:14" ht="16.5" thickBot="1" x14ac:dyDescent="0.3">
      <c r="A136" s="206" t="s">
        <v>146</v>
      </c>
      <c r="B136" s="206"/>
      <c r="C136" s="207">
        <f>C133+C134</f>
        <v>709</v>
      </c>
      <c r="D136" s="207"/>
      <c r="E136" s="208">
        <f>E133+E134</f>
        <v>588151.31076000002</v>
      </c>
      <c r="F136" s="208"/>
      <c r="G136" s="208">
        <f>G133+G134</f>
        <v>912155.53618800011</v>
      </c>
      <c r="H136" s="208"/>
    </row>
    <row r="137" spans="1:14" s="31" customFormat="1" ht="16.5" thickBot="1" x14ac:dyDescent="0.3">
      <c r="A137" s="112" t="s">
        <v>164</v>
      </c>
      <c r="B137" s="113"/>
      <c r="C137" s="114">
        <f>C130+C136</f>
        <v>748</v>
      </c>
      <c r="D137" s="114"/>
      <c r="E137" s="115">
        <f>E130+E136</f>
        <v>605496.09744000004</v>
      </c>
      <c r="F137" s="115"/>
      <c r="G137" s="116">
        <f>G130+G136</f>
        <v>939907.19487600017</v>
      </c>
      <c r="H137" s="117"/>
    </row>
    <row r="138" spans="1:14" s="37" customFormat="1" x14ac:dyDescent="0.25">
      <c r="A138" s="195" t="s">
        <v>203</v>
      </c>
      <c r="B138" s="195"/>
      <c r="C138" s="195"/>
      <c r="D138" s="195"/>
      <c r="E138" s="195"/>
      <c r="F138" s="195"/>
      <c r="G138" s="195"/>
      <c r="H138" s="195"/>
      <c r="J138" s="30"/>
    </row>
    <row r="139" spans="1:14" s="37" customFormat="1" x14ac:dyDescent="0.25">
      <c r="A139" s="209" t="s">
        <v>202</v>
      </c>
      <c r="B139" s="209"/>
      <c r="C139" s="209"/>
      <c r="D139" s="209"/>
      <c r="E139" s="209"/>
      <c r="F139" s="209"/>
      <c r="G139" s="209"/>
      <c r="H139" s="209"/>
      <c r="J139" s="30"/>
    </row>
    <row r="140" spans="1:14" s="37" customFormat="1" ht="47.25" x14ac:dyDescent="0.25">
      <c r="A140" s="210" t="s">
        <v>115</v>
      </c>
      <c r="B140" s="210" t="s">
        <v>114</v>
      </c>
      <c r="C140" s="210" t="s">
        <v>54</v>
      </c>
      <c r="D140" s="210" t="s">
        <v>55</v>
      </c>
      <c r="E140" s="211" t="s">
        <v>152</v>
      </c>
      <c r="F140" s="212" t="s">
        <v>145</v>
      </c>
      <c r="G140" s="210" t="s">
        <v>57</v>
      </c>
      <c r="H140" s="210"/>
      <c r="J140" s="30"/>
    </row>
    <row r="141" spans="1:14" s="37" customFormat="1" ht="15.75" customHeight="1" x14ac:dyDescent="0.25">
      <c r="A141" s="210"/>
      <c r="B141" s="210"/>
      <c r="C141" s="210"/>
      <c r="D141" s="210"/>
      <c r="E141" s="213"/>
      <c r="F141" s="50">
        <v>0.6</v>
      </c>
      <c r="G141" s="214"/>
      <c r="H141" s="210"/>
      <c r="I141" s="47">
        <f>10.34*2.33+8.06*1.73+2.13*1.2</f>
        <v>40.591999999999999</v>
      </c>
      <c r="L141" s="72"/>
      <c r="M141" s="72"/>
      <c r="N141" s="30"/>
    </row>
    <row r="142" spans="1:14" s="37" customFormat="1" ht="15.75" customHeight="1" x14ac:dyDescent="0.25">
      <c r="A142" s="86" t="s">
        <v>182</v>
      </c>
      <c r="B142" s="86"/>
      <c r="C142" s="86"/>
      <c r="D142" s="86"/>
      <c r="E142" s="86"/>
      <c r="F142" s="87"/>
      <c r="G142" s="86"/>
      <c r="H142" s="86"/>
      <c r="I142" s="30"/>
      <c r="L142" s="72"/>
      <c r="M142" s="72"/>
      <c r="N142" s="30"/>
    </row>
    <row r="143" spans="1:14" s="37" customFormat="1" ht="15.75" customHeight="1" x14ac:dyDescent="0.25">
      <c r="A143" s="73" t="s">
        <v>215</v>
      </c>
      <c r="B143" s="73"/>
      <c r="C143" s="73"/>
      <c r="D143" s="73"/>
      <c r="E143" s="73"/>
      <c r="F143" s="73"/>
      <c r="G143" s="73"/>
      <c r="H143" s="73"/>
      <c r="I143" s="30"/>
      <c r="L143" s="72"/>
      <c r="M143" s="72"/>
      <c r="N143" s="30"/>
    </row>
    <row r="144" spans="1:14" s="37" customFormat="1" ht="15.75" customHeight="1" x14ac:dyDescent="0.25">
      <c r="A144" s="73" t="s">
        <v>184</v>
      </c>
      <c r="B144" s="73"/>
      <c r="C144" s="73"/>
      <c r="D144" s="73"/>
      <c r="E144" s="73"/>
      <c r="F144" s="73"/>
      <c r="G144" s="73"/>
      <c r="H144" s="73"/>
      <c r="I144" s="30"/>
      <c r="L144" s="72"/>
      <c r="M144" s="72"/>
      <c r="N144" s="30"/>
    </row>
    <row r="145" spans="1:14" s="37" customFormat="1" ht="15.75" customHeight="1" x14ac:dyDescent="0.25">
      <c r="A145" s="215">
        <v>1</v>
      </c>
      <c r="B145" s="215"/>
      <c r="C145" s="216" t="s">
        <v>183</v>
      </c>
      <c r="D145" s="217">
        <f>(40.62)*(10.764)</f>
        <v>437.23367999999994</v>
      </c>
      <c r="E145" s="216">
        <v>0</v>
      </c>
      <c r="F145" s="216">
        <f>(D145+E145)*(($F$141)+1)</f>
        <v>699.5738879999999</v>
      </c>
      <c r="G145" s="218" t="str">
        <f>A144</f>
        <v>Ground Floor For Commercial, Meter Room, Society Office &amp; Stilt Parking</v>
      </c>
      <c r="H145" s="219"/>
      <c r="I145" s="30"/>
      <c r="L145" s="72"/>
      <c r="M145" s="72"/>
      <c r="N145" s="30"/>
    </row>
    <row r="146" spans="1:14" s="37" customFormat="1" ht="15.75" customHeight="1" x14ac:dyDescent="0.25">
      <c r="A146" s="215">
        <f t="shared" ref="A146:A153" si="2">A145+1</f>
        <v>2</v>
      </c>
      <c r="B146" s="215"/>
      <c r="C146" s="216" t="s">
        <v>183</v>
      </c>
      <c r="D146" s="217">
        <f>(40.62)*(10.764)</f>
        <v>437.23367999999994</v>
      </c>
      <c r="E146" s="216">
        <v>0</v>
      </c>
      <c r="F146" s="216">
        <f t="shared" ref="F146:F148" si="3">(D146+E146)*(($F$141)+1)</f>
        <v>699.5738879999999</v>
      </c>
      <c r="G146" s="220"/>
      <c r="H146" s="221"/>
      <c r="I146" s="30"/>
      <c r="L146" s="72"/>
      <c r="M146" s="72"/>
      <c r="N146" s="30"/>
    </row>
    <row r="147" spans="1:14" s="37" customFormat="1" ht="15.75" customHeight="1" x14ac:dyDescent="0.25">
      <c r="A147" s="215">
        <f t="shared" si="2"/>
        <v>3</v>
      </c>
      <c r="B147" s="215"/>
      <c r="C147" s="216" t="s">
        <v>183</v>
      </c>
      <c r="D147" s="217">
        <f>(104.01)*(10.764)</f>
        <v>1119.5636400000001</v>
      </c>
      <c r="E147" s="216">
        <v>0</v>
      </c>
      <c r="F147" s="216">
        <f t="shared" si="3"/>
        <v>1791.3018240000001</v>
      </c>
      <c r="G147" s="220"/>
      <c r="H147" s="221"/>
      <c r="I147" s="30"/>
      <c r="L147" s="72"/>
      <c r="M147" s="72"/>
      <c r="N147" s="30"/>
    </row>
    <row r="148" spans="1:14" s="37" customFormat="1" ht="15.75" customHeight="1" x14ac:dyDescent="0.25">
      <c r="A148" s="215">
        <f t="shared" si="2"/>
        <v>4</v>
      </c>
      <c r="B148" s="215"/>
      <c r="C148" s="216" t="s">
        <v>183</v>
      </c>
      <c r="D148" s="217">
        <f>(86.41)*(10.764)</f>
        <v>930.11723999999992</v>
      </c>
      <c r="E148" s="216">
        <v>0</v>
      </c>
      <c r="F148" s="216">
        <f t="shared" si="3"/>
        <v>1488.187584</v>
      </c>
      <c r="G148" s="220"/>
      <c r="H148" s="221"/>
      <c r="I148" s="30">
        <f>14.39*1.72+16.82*2.33+2.13*1.2</f>
        <v>66.497399999999999</v>
      </c>
      <c r="L148" s="72"/>
      <c r="M148" s="72"/>
      <c r="N148" s="30"/>
    </row>
    <row r="149" spans="1:14" s="37" customFormat="1" ht="15.75" customHeight="1" x14ac:dyDescent="0.25">
      <c r="A149" s="215">
        <f t="shared" si="2"/>
        <v>5</v>
      </c>
      <c r="B149" s="215"/>
      <c r="C149" s="216" t="s">
        <v>183</v>
      </c>
      <c r="D149" s="217">
        <f>(70.95)*(10.764)</f>
        <v>763.70579999999995</v>
      </c>
      <c r="E149" s="216">
        <v>0</v>
      </c>
      <c r="F149" s="216">
        <f t="shared" ref="F149:F154" si="4">(D149+E149)*(($F$141)+1)</f>
        <v>1221.9292800000001</v>
      </c>
      <c r="G149" s="220"/>
      <c r="H149" s="221"/>
      <c r="I149" s="30"/>
      <c r="L149" s="72"/>
      <c r="M149" s="72"/>
      <c r="N149" s="30"/>
    </row>
    <row r="150" spans="1:14" s="52" customFormat="1" ht="15.75" customHeight="1" x14ac:dyDescent="0.25">
      <c r="A150" s="215">
        <f t="shared" si="2"/>
        <v>6</v>
      </c>
      <c r="B150" s="215"/>
      <c r="C150" s="216" t="s">
        <v>183</v>
      </c>
      <c r="D150" s="217">
        <f>(48.95)*(10.764)</f>
        <v>526.89779999999996</v>
      </c>
      <c r="E150" s="216">
        <v>0</v>
      </c>
      <c r="F150" s="216">
        <f t="shared" si="4"/>
        <v>843.03647999999998</v>
      </c>
      <c r="G150" s="220"/>
      <c r="H150" s="221"/>
      <c r="I150" s="30"/>
      <c r="L150" s="72"/>
      <c r="M150" s="72"/>
      <c r="N150" s="30"/>
    </row>
    <row r="151" spans="1:14" s="52" customFormat="1" ht="15.75" customHeight="1" x14ac:dyDescent="0.25">
      <c r="A151" s="215">
        <f t="shared" si="2"/>
        <v>7</v>
      </c>
      <c r="B151" s="215"/>
      <c r="C151" s="216" t="s">
        <v>183</v>
      </c>
      <c r="D151" s="217">
        <f>(81.49)*(10.764)</f>
        <v>877.1583599999999</v>
      </c>
      <c r="E151" s="216">
        <v>0</v>
      </c>
      <c r="F151" s="216">
        <f t="shared" si="4"/>
        <v>1403.4533759999999</v>
      </c>
      <c r="G151" s="220"/>
      <c r="H151" s="221"/>
      <c r="I151" s="30"/>
      <c r="L151" s="72"/>
      <c r="M151" s="72"/>
      <c r="N151" s="30"/>
    </row>
    <row r="152" spans="1:14" s="52" customFormat="1" ht="15.75" customHeight="1" x14ac:dyDescent="0.25">
      <c r="A152" s="215">
        <f t="shared" si="2"/>
        <v>8</v>
      </c>
      <c r="B152" s="215"/>
      <c r="C152" s="216" t="s">
        <v>183</v>
      </c>
      <c r="D152" s="217">
        <f>(66.4)*(10.764)</f>
        <v>714.7296</v>
      </c>
      <c r="E152" s="216">
        <v>0</v>
      </c>
      <c r="F152" s="216">
        <f t="shared" si="4"/>
        <v>1143.56736</v>
      </c>
      <c r="G152" s="220"/>
      <c r="H152" s="221"/>
      <c r="I152" s="30"/>
      <c r="L152" s="72"/>
      <c r="M152" s="72"/>
      <c r="N152" s="30"/>
    </row>
    <row r="153" spans="1:14" s="52" customFormat="1" ht="15.75" customHeight="1" x14ac:dyDescent="0.25">
      <c r="A153" s="215">
        <f t="shared" si="2"/>
        <v>9</v>
      </c>
      <c r="B153" s="215"/>
      <c r="C153" s="216" t="s">
        <v>183</v>
      </c>
      <c r="D153" s="217">
        <f>(66.4)*(10.764)</f>
        <v>714.7296</v>
      </c>
      <c r="E153" s="216">
        <v>0</v>
      </c>
      <c r="F153" s="216">
        <f t="shared" si="4"/>
        <v>1143.56736</v>
      </c>
      <c r="G153" s="220"/>
      <c r="H153" s="221"/>
      <c r="I153" s="30"/>
      <c r="L153" s="72"/>
      <c r="M153" s="72"/>
      <c r="N153" s="30"/>
    </row>
    <row r="154" spans="1:14" s="37" customFormat="1" x14ac:dyDescent="0.25">
      <c r="A154" s="215">
        <v>10</v>
      </c>
      <c r="B154" s="215"/>
      <c r="C154" s="216" t="s">
        <v>183</v>
      </c>
      <c r="D154" s="217">
        <f>(5.59)*(10.764)</f>
        <v>60.170759999999994</v>
      </c>
      <c r="E154" s="216">
        <v>0</v>
      </c>
      <c r="F154" s="216">
        <f t="shared" si="4"/>
        <v>96.273215999999991</v>
      </c>
      <c r="G154" s="220"/>
      <c r="H154" s="221"/>
      <c r="J154" s="30"/>
    </row>
    <row r="155" spans="1:14" s="37" customFormat="1" ht="15.75" customHeight="1" x14ac:dyDescent="0.25">
      <c r="A155" s="215" t="s">
        <v>212</v>
      </c>
      <c r="B155" s="215"/>
      <c r="C155" s="216" t="s">
        <v>183</v>
      </c>
      <c r="D155" s="217">
        <f>(2.91)*(10.764)</f>
        <v>31.323239999999998</v>
      </c>
      <c r="E155" s="216">
        <v>0</v>
      </c>
      <c r="F155" s="216">
        <f t="shared" ref="F155:F157" si="5">(D155+E155)*(($F$141)+1)</f>
        <v>50.117184000000002</v>
      </c>
      <c r="G155" s="220"/>
      <c r="H155" s="221"/>
      <c r="I155" s="30"/>
      <c r="L155" s="72"/>
      <c r="M155" s="72"/>
      <c r="N155" s="30"/>
    </row>
    <row r="156" spans="1:14" s="37" customFormat="1" ht="15.75" customHeight="1" x14ac:dyDescent="0.25">
      <c r="A156" s="215" t="s">
        <v>213</v>
      </c>
      <c r="B156" s="215"/>
      <c r="C156" s="216" t="s">
        <v>183</v>
      </c>
      <c r="D156" s="217">
        <f>(3.17)*(10.764)</f>
        <v>34.121879999999997</v>
      </c>
      <c r="E156" s="216">
        <v>0</v>
      </c>
      <c r="F156" s="216">
        <f t="shared" si="5"/>
        <v>54.595008</v>
      </c>
      <c r="G156" s="220"/>
      <c r="H156" s="221"/>
      <c r="I156" s="30"/>
      <c r="L156" s="72"/>
      <c r="M156" s="72"/>
      <c r="N156" s="30"/>
    </row>
    <row r="157" spans="1:14" s="37" customFormat="1" ht="15.75" customHeight="1" x14ac:dyDescent="0.25">
      <c r="A157" s="215" t="s">
        <v>214</v>
      </c>
      <c r="B157" s="215"/>
      <c r="C157" s="216" t="s">
        <v>183</v>
      </c>
      <c r="D157" s="217">
        <f>(2.67)*(10.764)</f>
        <v>28.739879999999996</v>
      </c>
      <c r="E157" s="216">
        <v>0</v>
      </c>
      <c r="F157" s="216">
        <f t="shared" si="5"/>
        <v>45.983807999999996</v>
      </c>
      <c r="G157" s="222"/>
      <c r="H157" s="223"/>
      <c r="I157" s="30"/>
      <c r="L157" s="72"/>
      <c r="M157" s="72"/>
      <c r="N157" s="30"/>
    </row>
    <row r="158" spans="1:14" s="37" customFormat="1" ht="15.75" customHeight="1" x14ac:dyDescent="0.25">
      <c r="A158" s="79" t="s">
        <v>252</v>
      </c>
      <c r="B158" s="80"/>
      <c r="C158" s="80"/>
      <c r="D158" s="80"/>
      <c r="E158" s="80"/>
      <c r="F158" s="80"/>
      <c r="G158" s="80"/>
      <c r="H158" s="81"/>
      <c r="I158" s="30"/>
      <c r="L158" s="72"/>
      <c r="M158" s="72"/>
      <c r="N158" s="30"/>
    </row>
    <row r="159" spans="1:14" s="37" customFormat="1" ht="15.75" customHeight="1" x14ac:dyDescent="0.25">
      <c r="A159" s="224">
        <v>1</v>
      </c>
      <c r="B159" s="225"/>
      <c r="C159" s="216" t="s">
        <v>183</v>
      </c>
      <c r="D159" s="217">
        <f>(30.2)*(10.764)</f>
        <v>325.07279999999997</v>
      </c>
      <c r="E159" s="216">
        <v>0</v>
      </c>
      <c r="F159" s="216">
        <f>(D159+E159)*(($F$141)+1)</f>
        <v>520.11648000000002</v>
      </c>
      <c r="G159" s="218" t="str">
        <f>A158</f>
        <v>1st &amp; 2nd Floor For Commercial, Driver Rest Room, Part Residential Area &amp; Parking</v>
      </c>
      <c r="H159" s="219"/>
      <c r="I159" s="30"/>
      <c r="L159" s="72"/>
      <c r="M159" s="72"/>
      <c r="N159" s="30"/>
    </row>
    <row r="160" spans="1:14" s="37" customFormat="1" ht="15.75" customHeight="1" x14ac:dyDescent="0.25">
      <c r="A160" s="224">
        <f t="shared" ref="A160:A171" si="6">A159+1</f>
        <v>2</v>
      </c>
      <c r="B160" s="225"/>
      <c r="C160" s="216" t="s">
        <v>183</v>
      </c>
      <c r="D160" s="217">
        <f>(30.21)*(10.764)</f>
        <v>325.18043999999998</v>
      </c>
      <c r="E160" s="216">
        <v>0</v>
      </c>
      <c r="F160" s="216">
        <f t="shared" ref="F160:F168" si="7">(D160+E160)*(($F$141)+1)</f>
        <v>520.28870399999994</v>
      </c>
      <c r="G160" s="220"/>
      <c r="H160" s="221"/>
      <c r="I160" s="30"/>
      <c r="L160" s="72"/>
      <c r="M160" s="72"/>
      <c r="N160" s="30"/>
    </row>
    <row r="161" spans="1:14" s="37" customFormat="1" ht="15.75" customHeight="1" x14ac:dyDescent="0.25">
      <c r="A161" s="224">
        <f t="shared" si="6"/>
        <v>3</v>
      </c>
      <c r="B161" s="225"/>
      <c r="C161" s="216" t="s">
        <v>183</v>
      </c>
      <c r="D161" s="217">
        <f>(75.8)*(10.764)</f>
        <v>815.91119999999989</v>
      </c>
      <c r="E161" s="216">
        <v>0</v>
      </c>
      <c r="F161" s="216">
        <f t="shared" si="7"/>
        <v>1305.4579199999998</v>
      </c>
      <c r="G161" s="220"/>
      <c r="H161" s="221"/>
      <c r="I161" s="30"/>
      <c r="L161" s="72"/>
      <c r="M161" s="72"/>
      <c r="N161" s="30"/>
    </row>
    <row r="162" spans="1:14" s="37" customFormat="1" ht="15.75" customHeight="1" x14ac:dyDescent="0.25">
      <c r="A162" s="224">
        <f t="shared" si="6"/>
        <v>4</v>
      </c>
      <c r="B162" s="225"/>
      <c r="C162" s="216" t="s">
        <v>183</v>
      </c>
      <c r="D162" s="217">
        <f>(62.96)*(10.764)</f>
        <v>677.70143999999993</v>
      </c>
      <c r="E162" s="216">
        <v>0</v>
      </c>
      <c r="F162" s="216">
        <f t="shared" si="7"/>
        <v>1084.322304</v>
      </c>
      <c r="G162" s="220"/>
      <c r="H162" s="221"/>
      <c r="I162" s="30"/>
      <c r="L162" s="72"/>
      <c r="M162" s="72"/>
      <c r="N162" s="30"/>
    </row>
    <row r="163" spans="1:14" s="37" customFormat="1" ht="15.75" customHeight="1" x14ac:dyDescent="0.25">
      <c r="A163" s="224">
        <f t="shared" si="6"/>
        <v>5</v>
      </c>
      <c r="B163" s="225"/>
      <c r="C163" s="216" t="s">
        <v>183</v>
      </c>
      <c r="D163" s="217">
        <f>(60.51)*(10.764)</f>
        <v>651.32963999999993</v>
      </c>
      <c r="E163" s="216">
        <v>0</v>
      </c>
      <c r="F163" s="216">
        <f t="shared" si="7"/>
        <v>1042.127424</v>
      </c>
      <c r="G163" s="220"/>
      <c r="H163" s="221"/>
      <c r="I163" s="30"/>
      <c r="L163" s="72"/>
      <c r="M163" s="72"/>
      <c r="N163" s="30"/>
    </row>
    <row r="164" spans="1:14" s="37" customFormat="1" ht="15.75" customHeight="1" x14ac:dyDescent="0.25">
      <c r="A164" s="224">
        <f t="shared" si="6"/>
        <v>6</v>
      </c>
      <c r="B164" s="225"/>
      <c r="C164" s="216" t="s">
        <v>183</v>
      </c>
      <c r="D164" s="217">
        <f>(38.53)*(10.764)</f>
        <v>414.73692</v>
      </c>
      <c r="E164" s="216">
        <v>0</v>
      </c>
      <c r="F164" s="216">
        <f t="shared" si="7"/>
        <v>663.579072</v>
      </c>
      <c r="G164" s="220"/>
      <c r="H164" s="221"/>
      <c r="I164" s="30"/>
      <c r="L164" s="72"/>
      <c r="M164" s="72"/>
      <c r="N164" s="30"/>
    </row>
    <row r="165" spans="1:14" s="52" customFormat="1" ht="15.75" customHeight="1" x14ac:dyDescent="0.25">
      <c r="A165" s="224">
        <f t="shared" si="6"/>
        <v>7</v>
      </c>
      <c r="B165" s="225"/>
      <c r="C165" s="216" t="s">
        <v>183</v>
      </c>
      <c r="D165" s="217">
        <f>(71.08)*(10.764)</f>
        <v>765.10511999999994</v>
      </c>
      <c r="E165" s="216">
        <v>0</v>
      </c>
      <c r="F165" s="216">
        <f t="shared" si="7"/>
        <v>1224.1681919999999</v>
      </c>
      <c r="G165" s="220"/>
      <c r="H165" s="221"/>
      <c r="I165" s="30"/>
      <c r="L165" s="72"/>
      <c r="M165" s="72"/>
      <c r="N165" s="30"/>
    </row>
    <row r="166" spans="1:14" s="52" customFormat="1" ht="15.75" customHeight="1" x14ac:dyDescent="0.25">
      <c r="A166" s="224">
        <f t="shared" si="6"/>
        <v>8</v>
      </c>
      <c r="B166" s="225"/>
      <c r="C166" s="216" t="s">
        <v>183</v>
      </c>
      <c r="D166" s="217">
        <f>(55.98)*(10.764)</f>
        <v>602.56871999999998</v>
      </c>
      <c r="E166" s="216">
        <v>0</v>
      </c>
      <c r="F166" s="216">
        <f t="shared" si="7"/>
        <v>964.10995200000002</v>
      </c>
      <c r="G166" s="220"/>
      <c r="H166" s="221"/>
      <c r="I166" s="30"/>
      <c r="L166" s="72"/>
      <c r="M166" s="72"/>
      <c r="N166" s="30"/>
    </row>
    <row r="167" spans="1:14" s="52" customFormat="1" ht="15.75" customHeight="1" x14ac:dyDescent="0.25">
      <c r="A167" s="224">
        <f t="shared" si="6"/>
        <v>9</v>
      </c>
      <c r="B167" s="225"/>
      <c r="C167" s="216" t="s">
        <v>183</v>
      </c>
      <c r="D167" s="217">
        <f>(55.98)*(10.764)</f>
        <v>602.56871999999998</v>
      </c>
      <c r="E167" s="216">
        <v>0</v>
      </c>
      <c r="F167" s="216">
        <f t="shared" si="7"/>
        <v>964.10995200000002</v>
      </c>
      <c r="G167" s="220"/>
      <c r="H167" s="221"/>
      <c r="I167" s="30"/>
      <c r="L167" s="72"/>
      <c r="M167" s="72"/>
      <c r="N167" s="30"/>
    </row>
    <row r="168" spans="1:14" s="31" customFormat="1" x14ac:dyDescent="0.25">
      <c r="A168" s="224">
        <f t="shared" si="6"/>
        <v>10</v>
      </c>
      <c r="B168" s="225"/>
      <c r="C168" s="216" t="s">
        <v>183</v>
      </c>
      <c r="D168" s="217">
        <f>(2.91)*(10.764)</f>
        <v>31.323239999999998</v>
      </c>
      <c r="E168" s="216">
        <v>0</v>
      </c>
      <c r="F168" s="216">
        <f t="shared" si="7"/>
        <v>50.117184000000002</v>
      </c>
      <c r="G168" s="220"/>
      <c r="H168" s="221"/>
      <c r="J168" s="30"/>
    </row>
    <row r="169" spans="1:14" s="31" customFormat="1" x14ac:dyDescent="0.25">
      <c r="A169" s="224">
        <f t="shared" si="6"/>
        <v>11</v>
      </c>
      <c r="B169" s="225"/>
      <c r="C169" s="216" t="s">
        <v>183</v>
      </c>
      <c r="D169" s="217">
        <f>(3.17)*(10.764)</f>
        <v>34.121879999999997</v>
      </c>
      <c r="E169" s="216">
        <v>0</v>
      </c>
      <c r="F169" s="216">
        <f t="shared" ref="F169:F171" si="8">(D169+E169)*(($F$141)+1)</f>
        <v>54.595008</v>
      </c>
      <c r="G169" s="220"/>
      <c r="H169" s="221"/>
      <c r="I169" s="30"/>
      <c r="L169" s="72"/>
      <c r="M169" s="72"/>
      <c r="N169" s="30"/>
    </row>
    <row r="170" spans="1:14" s="31" customFormat="1" x14ac:dyDescent="0.25">
      <c r="A170" s="224">
        <f t="shared" si="6"/>
        <v>12</v>
      </c>
      <c r="B170" s="225"/>
      <c r="C170" s="216" t="s">
        <v>183</v>
      </c>
      <c r="D170" s="217">
        <f>(2.67)*(10.764)</f>
        <v>28.739879999999996</v>
      </c>
      <c r="E170" s="216">
        <v>0</v>
      </c>
      <c r="F170" s="216">
        <f t="shared" si="8"/>
        <v>45.983807999999996</v>
      </c>
      <c r="G170" s="220"/>
      <c r="H170" s="221"/>
      <c r="I170" s="30"/>
      <c r="J170" s="31">
        <f>2.14/1.85</f>
        <v>1.1567567567567567</v>
      </c>
      <c r="K170" s="31">
        <f>3.1*1.3</f>
        <v>4.03</v>
      </c>
    </row>
    <row r="171" spans="1:14" s="37" customFormat="1" x14ac:dyDescent="0.25">
      <c r="A171" s="224">
        <f t="shared" si="6"/>
        <v>13</v>
      </c>
      <c r="B171" s="225"/>
      <c r="C171" s="216" t="s">
        <v>183</v>
      </c>
      <c r="D171" s="217">
        <f>(5.59)*(10.764)</f>
        <v>60.170759999999994</v>
      </c>
      <c r="E171" s="216">
        <v>0</v>
      </c>
      <c r="F171" s="216">
        <f t="shared" si="8"/>
        <v>96.273215999999991</v>
      </c>
      <c r="G171" s="222"/>
      <c r="H171" s="223"/>
      <c r="J171" s="40">
        <f>3.05/2.7</f>
        <v>1.1296296296296295</v>
      </c>
    </row>
    <row r="172" spans="1:14" s="52" customFormat="1" x14ac:dyDescent="0.25">
      <c r="A172" s="215"/>
      <c r="B172" s="215"/>
      <c r="C172" s="215"/>
      <c r="D172" s="215"/>
      <c r="E172" s="215"/>
      <c r="F172" s="215"/>
      <c r="G172" s="215"/>
      <c r="H172" s="215"/>
      <c r="J172" s="30"/>
    </row>
    <row r="173" spans="1:14" s="52" customFormat="1" ht="54.75" customHeight="1" x14ac:dyDescent="0.25">
      <c r="A173" s="210" t="s">
        <v>116</v>
      </c>
      <c r="B173" s="210" t="s">
        <v>117</v>
      </c>
      <c r="C173" s="210" t="s">
        <v>54</v>
      </c>
      <c r="D173" s="210" t="s">
        <v>55</v>
      </c>
      <c r="E173" s="210" t="s">
        <v>56</v>
      </c>
      <c r="F173" s="212" t="s">
        <v>145</v>
      </c>
      <c r="G173" s="210" t="s">
        <v>57</v>
      </c>
      <c r="H173" s="210"/>
      <c r="J173" s="30"/>
    </row>
    <row r="174" spans="1:14" s="31" customFormat="1" ht="15.75" customHeight="1" x14ac:dyDescent="0.25">
      <c r="A174" s="210"/>
      <c r="B174" s="210"/>
      <c r="C174" s="210"/>
      <c r="D174" s="210"/>
      <c r="E174" s="226"/>
      <c r="F174" s="50">
        <v>0.55000000000000004</v>
      </c>
      <c r="G174" s="214"/>
      <c r="H174" s="210"/>
      <c r="I174" s="30"/>
      <c r="L174" s="72"/>
      <c r="M174" s="72"/>
      <c r="N174" s="30"/>
    </row>
    <row r="175" spans="1:14" s="31" customFormat="1" ht="15.75" customHeight="1" x14ac:dyDescent="0.25">
      <c r="A175" s="86" t="s">
        <v>182</v>
      </c>
      <c r="B175" s="86"/>
      <c r="C175" s="86"/>
      <c r="D175" s="86"/>
      <c r="E175" s="86"/>
      <c r="F175" s="87"/>
      <c r="G175" s="86"/>
      <c r="H175" s="86"/>
      <c r="I175" s="30"/>
      <c r="L175" s="72"/>
      <c r="M175" s="72"/>
      <c r="N175" s="30"/>
    </row>
    <row r="176" spans="1:14" s="31" customFormat="1" ht="15.75" customHeight="1" x14ac:dyDescent="0.25">
      <c r="A176" s="73" t="s">
        <v>253</v>
      </c>
      <c r="B176" s="73"/>
      <c r="C176" s="73"/>
      <c r="D176" s="73"/>
      <c r="E176" s="73"/>
      <c r="F176" s="73"/>
      <c r="G176" s="73"/>
      <c r="H176" s="73"/>
      <c r="I176" s="30"/>
      <c r="L176" s="72"/>
      <c r="M176" s="72"/>
      <c r="N176" s="30"/>
    </row>
    <row r="177" spans="1:14" s="31" customFormat="1" ht="15.75" customHeight="1" x14ac:dyDescent="0.25">
      <c r="A177" s="79" t="s">
        <v>254</v>
      </c>
      <c r="B177" s="80"/>
      <c r="C177" s="80"/>
      <c r="D177" s="80"/>
      <c r="E177" s="80"/>
      <c r="F177" s="80"/>
      <c r="G177" s="80"/>
      <c r="H177" s="81"/>
      <c r="I177" s="30"/>
      <c r="L177" s="72"/>
      <c r="M177" s="72"/>
      <c r="N177" s="30"/>
    </row>
    <row r="178" spans="1:14" s="51" customFormat="1" ht="15.75" customHeight="1" x14ac:dyDescent="0.25">
      <c r="A178" s="224">
        <v>1</v>
      </c>
      <c r="B178" s="225"/>
      <c r="C178" s="227">
        <v>3</v>
      </c>
      <c r="D178" s="217">
        <f>(86.06)*(10.764)</f>
        <v>926.34983999999997</v>
      </c>
      <c r="E178" s="217">
        <f>(3.35*8.45+3.05*6.35)*10.764</f>
        <v>513.17369999999994</v>
      </c>
      <c r="F178" s="216">
        <f>D178*(($F$174)+1)+(IF(E178&lt;101,E178,IF(E178&lt;201,E178/2,IF(E178&lt;=301,E178/3,E178/4))))</f>
        <v>1564.135677</v>
      </c>
      <c r="G178" s="218" t="str">
        <f>A177</f>
        <v>2nd Floor For Part Residential, Part Commercial Area &amp; Parking</v>
      </c>
      <c r="H178" s="219"/>
      <c r="I178" s="30"/>
      <c r="L178" s="72"/>
      <c r="M178" s="72"/>
      <c r="N178" s="30"/>
    </row>
    <row r="179" spans="1:14" s="51" customFormat="1" ht="15.75" customHeight="1" x14ac:dyDescent="0.25">
      <c r="A179" s="224">
        <f t="shared" ref="A179:A185" si="9">A178+1</f>
        <v>2</v>
      </c>
      <c r="B179" s="225"/>
      <c r="C179" s="227">
        <v>3</v>
      </c>
      <c r="D179" s="217">
        <f>(86.06)*(10.764)</f>
        <v>926.34983999999997</v>
      </c>
      <c r="E179" s="217">
        <f>(3.35*8.45+3.05*6.35)*10.764</f>
        <v>513.17369999999994</v>
      </c>
      <c r="F179" s="216">
        <f>D179*(($F$174)+1)+(IF(E179&lt;101,E179,IF(E179&lt;201,E179/2,IF(E179&lt;=301,E179/3,E179/4))))</f>
        <v>1564.135677</v>
      </c>
      <c r="G179" s="220"/>
      <c r="H179" s="221"/>
      <c r="I179" s="30"/>
      <c r="L179" s="72"/>
      <c r="M179" s="72"/>
      <c r="N179" s="30"/>
    </row>
    <row r="180" spans="1:14" s="51" customFormat="1" ht="15.75" customHeight="1" x14ac:dyDescent="0.25">
      <c r="A180" s="224">
        <f t="shared" si="9"/>
        <v>3</v>
      </c>
      <c r="B180" s="225"/>
      <c r="C180" s="227">
        <v>2</v>
      </c>
      <c r="D180" s="217">
        <f>(59.48)*(10.764)</f>
        <v>640.24271999999996</v>
      </c>
      <c r="E180" s="216">
        <v>0</v>
      </c>
      <c r="F180" s="216">
        <f>D180*(($F$174)+1)+(IF(E180&lt;101,E180,IF(E180&lt;201,E180/2,IF(E180&lt;=301,E180/3,E180/4))))</f>
        <v>992.376216</v>
      </c>
      <c r="G180" s="220"/>
      <c r="H180" s="221"/>
      <c r="I180" s="53">
        <f>6.65/2</f>
        <v>3.3250000000000002</v>
      </c>
      <c r="L180" s="72"/>
      <c r="M180" s="72"/>
      <c r="N180" s="30"/>
    </row>
    <row r="181" spans="1:14" s="51" customFormat="1" ht="15.75" customHeight="1" x14ac:dyDescent="0.25">
      <c r="A181" s="224">
        <f t="shared" si="9"/>
        <v>4</v>
      </c>
      <c r="B181" s="225"/>
      <c r="C181" s="218" t="s">
        <v>255</v>
      </c>
      <c r="D181" s="228"/>
      <c r="E181" s="228"/>
      <c r="F181" s="219"/>
      <c r="G181" s="220"/>
      <c r="H181" s="221"/>
      <c r="I181" s="30"/>
      <c r="L181" s="72"/>
      <c r="M181" s="72"/>
      <c r="N181" s="30">
        <f>120*8000</f>
        <v>960000</v>
      </c>
    </row>
    <row r="182" spans="1:14" s="37" customFormat="1" ht="15.75" customHeight="1" x14ac:dyDescent="0.25">
      <c r="A182" s="224">
        <f t="shared" si="9"/>
        <v>5</v>
      </c>
      <c r="B182" s="225"/>
      <c r="C182" s="220"/>
      <c r="D182" s="229"/>
      <c r="E182" s="229"/>
      <c r="F182" s="221"/>
      <c r="G182" s="220"/>
      <c r="H182" s="221"/>
      <c r="I182" s="37">
        <v>1</v>
      </c>
      <c r="J182" s="30"/>
    </row>
    <row r="183" spans="1:14" s="37" customFormat="1" ht="15.75" customHeight="1" x14ac:dyDescent="0.25">
      <c r="A183" s="224">
        <f t="shared" si="9"/>
        <v>6</v>
      </c>
      <c r="B183" s="225"/>
      <c r="C183" s="220"/>
      <c r="D183" s="229"/>
      <c r="E183" s="229"/>
      <c r="F183" s="221"/>
      <c r="G183" s="220"/>
      <c r="H183" s="221"/>
      <c r="I183" s="30"/>
      <c r="L183" s="72"/>
      <c r="M183" s="72"/>
      <c r="N183" s="30"/>
    </row>
    <row r="184" spans="1:14" s="37" customFormat="1" ht="15.75" customHeight="1" x14ac:dyDescent="0.25">
      <c r="A184" s="224">
        <f t="shared" si="9"/>
        <v>7</v>
      </c>
      <c r="B184" s="225"/>
      <c r="C184" s="220"/>
      <c r="D184" s="229"/>
      <c r="E184" s="229"/>
      <c r="F184" s="221"/>
      <c r="G184" s="220"/>
      <c r="H184" s="221"/>
      <c r="I184" s="30"/>
      <c r="L184" s="72"/>
      <c r="M184" s="72"/>
      <c r="N184" s="30"/>
    </row>
    <row r="185" spans="1:14" s="37" customFormat="1" ht="15.75" customHeight="1" x14ac:dyDescent="0.25">
      <c r="A185" s="224">
        <f t="shared" si="9"/>
        <v>8</v>
      </c>
      <c r="B185" s="225"/>
      <c r="C185" s="222"/>
      <c r="D185" s="230"/>
      <c r="E185" s="230"/>
      <c r="F185" s="223"/>
      <c r="G185" s="222"/>
      <c r="H185" s="223"/>
      <c r="I185" s="30">
        <f>3.05*4.88+2.14*2.59+3.05*(3.52+3.81)+1.37*(2.29+2.3)+2.34*1.05+3.5*0.9+1.2*2.45</f>
        <v>57.618400000000001</v>
      </c>
      <c r="L185" s="72"/>
      <c r="M185" s="72"/>
      <c r="N185" s="30"/>
    </row>
    <row r="186" spans="1:14" s="51" customFormat="1" ht="15.75" customHeight="1" x14ac:dyDescent="0.25">
      <c r="A186" s="79" t="s">
        <v>256</v>
      </c>
      <c r="B186" s="80"/>
      <c r="C186" s="80"/>
      <c r="D186" s="80"/>
      <c r="E186" s="80"/>
      <c r="F186" s="80"/>
      <c r="G186" s="80"/>
      <c r="H186" s="81"/>
      <c r="I186" s="30"/>
      <c r="L186" s="72"/>
      <c r="M186" s="72"/>
      <c r="N186" s="30"/>
    </row>
    <row r="187" spans="1:14" s="51" customFormat="1" ht="15.75" customHeight="1" x14ac:dyDescent="0.25">
      <c r="A187" s="224">
        <v>1</v>
      </c>
      <c r="B187" s="225"/>
      <c r="C187" s="227">
        <v>3</v>
      </c>
      <c r="D187" s="217">
        <f>(86.06)*(10.764)</f>
        <v>926.34983999999997</v>
      </c>
      <c r="E187" s="216">
        <v>0</v>
      </c>
      <c r="F187" s="216">
        <f>D187*(($F$174)+1)+(IF(E187&lt;101,E187,IF(E187&lt;201,E187/2,IF(E187&lt;=301,E187/3,E187/4))))</f>
        <v>1435.8422519999999</v>
      </c>
      <c r="G187" s="218" t="str">
        <f>A186</f>
        <v>3rd Floor For Part Residential &amp; Part Parking Area</v>
      </c>
      <c r="H187" s="219"/>
      <c r="I187" s="30"/>
      <c r="L187" s="72"/>
      <c r="M187" s="72"/>
      <c r="N187" s="30"/>
    </row>
    <row r="188" spans="1:14" s="51" customFormat="1" ht="15.75" customHeight="1" x14ac:dyDescent="0.25">
      <c r="A188" s="224">
        <f t="shared" ref="A188:A194" si="10">A187+1</f>
        <v>2</v>
      </c>
      <c r="B188" s="225"/>
      <c r="C188" s="227">
        <v>3</v>
      </c>
      <c r="D188" s="217">
        <f>(86.06)*(10.764)</f>
        <v>926.34983999999997</v>
      </c>
      <c r="E188" s="216">
        <v>0</v>
      </c>
      <c r="F188" s="216">
        <f>D188*(($F$174)+1)+(IF(E188&lt;101,E188,IF(E188&lt;201,E188/2,IF(E188&lt;=301,E188/3,E188/4))))</f>
        <v>1435.8422519999999</v>
      </c>
      <c r="G188" s="220"/>
      <c r="H188" s="221"/>
      <c r="I188" s="30"/>
      <c r="L188" s="72"/>
      <c r="M188" s="72"/>
      <c r="N188" s="30"/>
    </row>
    <row r="189" spans="1:14" s="51" customFormat="1" ht="15.75" customHeight="1" x14ac:dyDescent="0.25">
      <c r="A189" s="224">
        <f t="shared" si="10"/>
        <v>3</v>
      </c>
      <c r="B189" s="225"/>
      <c r="C189" s="227">
        <v>2</v>
      </c>
      <c r="D189" s="217">
        <f>(59.48)*(10.764)</f>
        <v>640.24271999999996</v>
      </c>
      <c r="E189" s="216">
        <v>0</v>
      </c>
      <c r="F189" s="216">
        <f>D189*(($F$174)+1)+(IF(E189&lt;101,E189,IF(E189&lt;201,E189/2,IF(E189&lt;=301,E189/3,E189/4))))</f>
        <v>992.376216</v>
      </c>
      <c r="G189" s="220"/>
      <c r="H189" s="221"/>
      <c r="I189" s="30"/>
      <c r="L189" s="72"/>
      <c r="M189" s="72"/>
      <c r="N189" s="30"/>
    </row>
    <row r="190" spans="1:14" s="51" customFormat="1" ht="15.75" customHeight="1" x14ac:dyDescent="0.25">
      <c r="A190" s="224">
        <f t="shared" si="10"/>
        <v>4</v>
      </c>
      <c r="B190" s="225"/>
      <c r="C190" s="218" t="s">
        <v>257</v>
      </c>
      <c r="D190" s="228"/>
      <c r="E190" s="228"/>
      <c r="F190" s="219"/>
      <c r="G190" s="220"/>
      <c r="H190" s="221"/>
      <c r="I190" s="30"/>
      <c r="L190" s="72"/>
      <c r="M190" s="72"/>
      <c r="N190" s="30">
        <f>120*8000</f>
        <v>960000</v>
      </c>
    </row>
    <row r="191" spans="1:14" s="37" customFormat="1" ht="15.75" customHeight="1" x14ac:dyDescent="0.25">
      <c r="A191" s="224">
        <f t="shared" si="10"/>
        <v>5</v>
      </c>
      <c r="B191" s="225"/>
      <c r="C191" s="220"/>
      <c r="D191" s="229"/>
      <c r="E191" s="229"/>
      <c r="F191" s="221"/>
      <c r="G191" s="220"/>
      <c r="H191" s="221"/>
      <c r="I191" s="37">
        <v>1</v>
      </c>
      <c r="J191" s="30"/>
    </row>
    <row r="192" spans="1:14" s="37" customFormat="1" ht="15.75" customHeight="1" x14ac:dyDescent="0.25">
      <c r="A192" s="224">
        <f t="shared" si="10"/>
        <v>6</v>
      </c>
      <c r="B192" s="225"/>
      <c r="C192" s="220"/>
      <c r="D192" s="229"/>
      <c r="E192" s="229"/>
      <c r="F192" s="221"/>
      <c r="G192" s="220"/>
      <c r="H192" s="221"/>
      <c r="I192" s="30"/>
      <c r="L192" s="72"/>
      <c r="M192" s="72"/>
      <c r="N192" s="30"/>
    </row>
    <row r="193" spans="1:14" s="37" customFormat="1" ht="15.75" customHeight="1" x14ac:dyDescent="0.25">
      <c r="A193" s="224">
        <f t="shared" si="10"/>
        <v>7</v>
      </c>
      <c r="B193" s="225"/>
      <c r="C193" s="220"/>
      <c r="D193" s="229"/>
      <c r="E193" s="229"/>
      <c r="F193" s="221"/>
      <c r="G193" s="220"/>
      <c r="H193" s="221"/>
      <c r="I193" s="30"/>
      <c r="J193" s="37">
        <f>13600000/F197</f>
        <v>9251.4183420886657</v>
      </c>
      <c r="L193" s="72"/>
      <c r="M193" s="72"/>
      <c r="N193" s="30"/>
    </row>
    <row r="194" spans="1:14" s="37" customFormat="1" ht="15.75" customHeight="1" x14ac:dyDescent="0.25">
      <c r="A194" s="224">
        <f t="shared" si="10"/>
        <v>8</v>
      </c>
      <c r="B194" s="225"/>
      <c r="C194" s="222"/>
      <c r="D194" s="230"/>
      <c r="E194" s="230"/>
      <c r="F194" s="223"/>
      <c r="G194" s="220"/>
      <c r="H194" s="221"/>
      <c r="I194" s="30"/>
      <c r="J194" s="37">
        <f>11600000/F198</f>
        <v>11689.115290122994</v>
      </c>
      <c r="L194" s="72"/>
      <c r="M194" s="72"/>
      <c r="N194" s="30"/>
    </row>
    <row r="195" spans="1:14" s="37" customFormat="1" ht="15.75" customHeight="1" x14ac:dyDescent="0.25">
      <c r="A195" s="79" t="s">
        <v>219</v>
      </c>
      <c r="B195" s="80"/>
      <c r="C195" s="80"/>
      <c r="D195" s="80"/>
      <c r="E195" s="80"/>
      <c r="F195" s="80"/>
      <c r="G195" s="80"/>
      <c r="H195" s="81"/>
      <c r="I195" s="30"/>
      <c r="L195" s="72"/>
      <c r="M195" s="72"/>
      <c r="N195" s="30"/>
    </row>
    <row r="196" spans="1:14" s="37" customFormat="1" ht="15.75" customHeight="1" x14ac:dyDescent="0.25">
      <c r="A196" s="224">
        <v>1</v>
      </c>
      <c r="B196" s="225"/>
      <c r="C196" s="227">
        <v>3</v>
      </c>
      <c r="D196" s="217">
        <f>(86.04+2.07)*(10.764)</f>
        <v>948.41603999999995</v>
      </c>
      <c r="E196" s="216">
        <v>0</v>
      </c>
      <c r="F196" s="216">
        <f>D196*(($F$174)+1)+(IF(E196&lt;101,E196,IF(E196&lt;201,E196/2,IF(E196&lt;=301,E196/3,E196/4))))</f>
        <v>1470.044862</v>
      </c>
      <c r="G196" s="218" t="str">
        <f>A195</f>
        <v>4th Floor For Residential, Society Office &amp; E-Deck</v>
      </c>
      <c r="H196" s="219"/>
      <c r="I196" s="30"/>
      <c r="L196" s="72"/>
      <c r="M196" s="72"/>
      <c r="N196" s="30"/>
    </row>
    <row r="197" spans="1:14" s="37" customFormat="1" ht="15.75" customHeight="1" x14ac:dyDescent="0.25">
      <c r="A197" s="224">
        <f t="shared" ref="A197:A203" si="11">A196+1</f>
        <v>2</v>
      </c>
      <c r="B197" s="225"/>
      <c r="C197" s="227">
        <v>3</v>
      </c>
      <c r="D197" s="217">
        <f>(86.04+2.07)*(10.764)</f>
        <v>948.41603999999995</v>
      </c>
      <c r="E197" s="216">
        <v>0</v>
      </c>
      <c r="F197" s="216">
        <f>D197*(($F$174)+1)+(IF(E197&lt;101,E197,IF(E197&lt;201,E197/2,IF(E197&lt;=301,E197/3,E197/4))))</f>
        <v>1470.044862</v>
      </c>
      <c r="G197" s="220"/>
      <c r="H197" s="221"/>
      <c r="I197" s="30"/>
      <c r="L197" s="72"/>
      <c r="M197" s="72"/>
      <c r="N197" s="30"/>
    </row>
    <row r="198" spans="1:14" s="37" customFormat="1" ht="15.75" customHeight="1" x14ac:dyDescent="0.25">
      <c r="A198" s="224">
        <f t="shared" si="11"/>
        <v>3</v>
      </c>
      <c r="B198" s="225"/>
      <c r="C198" s="227">
        <v>2</v>
      </c>
      <c r="D198" s="217">
        <f>(59.48)*(10.764)</f>
        <v>640.24271999999996</v>
      </c>
      <c r="E198" s="216">
        <v>0</v>
      </c>
      <c r="F198" s="216">
        <f>D198*(($F$174)+1)+(IF(E198&lt;101,E198,IF(E198&lt;201,E198/2,IF(E198&lt;=301,E198/3,E198/4))))</f>
        <v>992.376216</v>
      </c>
      <c r="G198" s="220"/>
      <c r="H198" s="221"/>
      <c r="I198" s="30"/>
      <c r="L198" s="72"/>
      <c r="M198" s="72"/>
      <c r="N198" s="30"/>
    </row>
    <row r="199" spans="1:14" s="37" customFormat="1" ht="15.75" customHeight="1" x14ac:dyDescent="0.25">
      <c r="A199" s="224">
        <f t="shared" si="11"/>
        <v>4</v>
      </c>
      <c r="B199" s="225"/>
      <c r="C199" s="231" t="s">
        <v>217</v>
      </c>
      <c r="D199" s="232"/>
      <c r="E199" s="232"/>
      <c r="F199" s="233"/>
      <c r="G199" s="220"/>
      <c r="H199" s="221"/>
      <c r="I199" s="30"/>
      <c r="L199" s="72"/>
      <c r="M199" s="72"/>
      <c r="N199" s="30"/>
    </row>
    <row r="200" spans="1:14" s="37" customFormat="1" ht="15.75" customHeight="1" x14ac:dyDescent="0.25">
      <c r="A200" s="224">
        <f t="shared" si="11"/>
        <v>5</v>
      </c>
      <c r="B200" s="225"/>
      <c r="C200" s="234" t="s">
        <v>218</v>
      </c>
      <c r="D200" s="235"/>
      <c r="E200" s="235"/>
      <c r="F200" s="236"/>
      <c r="G200" s="220"/>
      <c r="H200" s="221"/>
      <c r="I200" s="37">
        <v>4</v>
      </c>
      <c r="J200" s="85"/>
      <c r="K200" s="85"/>
    </row>
    <row r="201" spans="1:14" s="37" customFormat="1" ht="15.75" customHeight="1" x14ac:dyDescent="0.25">
      <c r="A201" s="224">
        <f t="shared" si="11"/>
        <v>6</v>
      </c>
      <c r="B201" s="225"/>
      <c r="C201" s="234"/>
      <c r="D201" s="235"/>
      <c r="E201" s="235"/>
      <c r="F201" s="236"/>
      <c r="G201" s="220"/>
      <c r="H201" s="221"/>
      <c r="I201" s="30"/>
      <c r="L201" s="72"/>
      <c r="M201" s="72"/>
      <c r="N201" s="30"/>
    </row>
    <row r="202" spans="1:14" s="37" customFormat="1" ht="15.75" customHeight="1" x14ac:dyDescent="0.25">
      <c r="A202" s="224">
        <f t="shared" si="11"/>
        <v>7</v>
      </c>
      <c r="B202" s="225"/>
      <c r="C202" s="237"/>
      <c r="D202" s="238"/>
      <c r="E202" s="238"/>
      <c r="F202" s="239"/>
      <c r="G202" s="220"/>
      <c r="H202" s="221"/>
      <c r="I202" s="30"/>
      <c r="L202" s="72"/>
      <c r="M202" s="72"/>
      <c r="N202" s="30"/>
    </row>
    <row r="203" spans="1:14" s="37" customFormat="1" ht="15.75" customHeight="1" x14ac:dyDescent="0.25">
      <c r="A203" s="224">
        <f t="shared" si="11"/>
        <v>8</v>
      </c>
      <c r="B203" s="225"/>
      <c r="C203" s="231" t="s">
        <v>220</v>
      </c>
      <c r="D203" s="232"/>
      <c r="E203" s="232"/>
      <c r="F203" s="233"/>
      <c r="G203" s="222"/>
      <c r="H203" s="223"/>
      <c r="I203" s="30"/>
      <c r="L203" s="72"/>
      <c r="M203" s="72"/>
      <c r="N203" s="30"/>
    </row>
    <row r="204" spans="1:14" s="37" customFormat="1" ht="15.75" customHeight="1" x14ac:dyDescent="0.25">
      <c r="A204" s="73" t="s">
        <v>258</v>
      </c>
      <c r="B204" s="73"/>
      <c r="C204" s="73"/>
      <c r="D204" s="73"/>
      <c r="E204" s="73"/>
      <c r="F204" s="73"/>
      <c r="G204" s="73"/>
      <c r="H204" s="73"/>
      <c r="I204" s="30"/>
      <c r="L204" s="72"/>
      <c r="M204" s="72"/>
      <c r="N204" s="30"/>
    </row>
    <row r="205" spans="1:14" s="37" customFormat="1" ht="15.75" customHeight="1" x14ac:dyDescent="0.25">
      <c r="A205" s="215">
        <v>1</v>
      </c>
      <c r="B205" s="215"/>
      <c r="C205" s="227">
        <v>3</v>
      </c>
      <c r="D205" s="217">
        <f>(86.06)*(10.764)</f>
        <v>926.34983999999997</v>
      </c>
      <c r="E205" s="216">
        <v>0</v>
      </c>
      <c r="F205" s="216">
        <f t="shared" ref="F205:F212" si="12">D205*(($F$174)+1)+(IF(E205&lt;101,E205,IF(E205&lt;201,E205/2,IF(E205&lt;=301,E205/3,E205/4))))</f>
        <v>1435.8422519999999</v>
      </c>
      <c r="G205" s="215" t="str">
        <f>A204</f>
        <v>5th, 6th, 8th &amp; 9th Floor For Residnential</v>
      </c>
      <c r="H205" s="215"/>
      <c r="I205" s="30"/>
      <c r="L205" s="72"/>
      <c r="M205" s="72"/>
      <c r="N205" s="30"/>
    </row>
    <row r="206" spans="1:14" s="37" customFormat="1" ht="15.75" customHeight="1" x14ac:dyDescent="0.25">
      <c r="A206" s="215">
        <f t="shared" ref="A206:A212" si="13">A205+1</f>
        <v>2</v>
      </c>
      <c r="B206" s="215"/>
      <c r="C206" s="227">
        <v>3</v>
      </c>
      <c r="D206" s="217">
        <f>(86.06)*(10.764)</f>
        <v>926.34983999999997</v>
      </c>
      <c r="E206" s="216">
        <v>0</v>
      </c>
      <c r="F206" s="216">
        <f t="shared" si="12"/>
        <v>1435.8422519999999</v>
      </c>
      <c r="G206" s="215"/>
      <c r="H206" s="215"/>
      <c r="I206" s="30"/>
      <c r="L206" s="72"/>
      <c r="M206" s="72"/>
      <c r="N206" s="30"/>
    </row>
    <row r="207" spans="1:14" s="37" customFormat="1" ht="15.75" customHeight="1" x14ac:dyDescent="0.25">
      <c r="A207" s="215">
        <f t="shared" si="13"/>
        <v>3</v>
      </c>
      <c r="B207" s="215"/>
      <c r="C207" s="227">
        <v>2</v>
      </c>
      <c r="D207" s="217">
        <f>(59.48)*(10.764)</f>
        <v>640.24271999999996</v>
      </c>
      <c r="E207" s="216">
        <v>0</v>
      </c>
      <c r="F207" s="216">
        <f t="shared" si="12"/>
        <v>992.376216</v>
      </c>
      <c r="G207" s="215"/>
      <c r="H207" s="215"/>
      <c r="I207" s="30"/>
      <c r="L207" s="72"/>
      <c r="M207" s="72"/>
      <c r="N207" s="30"/>
    </row>
    <row r="208" spans="1:14" s="37" customFormat="1" ht="15.75" customHeight="1" x14ac:dyDescent="0.25">
      <c r="A208" s="215">
        <f t="shared" si="13"/>
        <v>4</v>
      </c>
      <c r="B208" s="215"/>
      <c r="C208" s="227">
        <v>2</v>
      </c>
      <c r="D208" s="217">
        <f>(59.48)*(10.764)</f>
        <v>640.24271999999996</v>
      </c>
      <c r="E208" s="216">
        <v>0</v>
      </c>
      <c r="F208" s="216">
        <f t="shared" si="12"/>
        <v>992.376216</v>
      </c>
      <c r="G208" s="215"/>
      <c r="H208" s="215"/>
      <c r="I208" s="30"/>
      <c r="L208" s="72"/>
      <c r="M208" s="72"/>
      <c r="N208" s="30"/>
    </row>
    <row r="209" spans="1:14" s="37" customFormat="1" ht="15.75" customHeight="1" x14ac:dyDescent="0.25">
      <c r="A209" s="215">
        <f t="shared" si="13"/>
        <v>5</v>
      </c>
      <c r="B209" s="215"/>
      <c r="C209" s="227">
        <v>3</v>
      </c>
      <c r="D209" s="217">
        <f>(84.51)*(10.764)</f>
        <v>909.66564000000005</v>
      </c>
      <c r="E209" s="216">
        <v>0</v>
      </c>
      <c r="F209" s="216">
        <f t="shared" si="12"/>
        <v>1409.9817420000002</v>
      </c>
      <c r="G209" s="215"/>
      <c r="H209" s="215"/>
      <c r="I209" s="37">
        <v>1</v>
      </c>
      <c r="J209" s="30"/>
    </row>
    <row r="210" spans="1:14" s="37" customFormat="1" ht="15.75" customHeight="1" x14ac:dyDescent="0.25">
      <c r="A210" s="215">
        <f t="shared" si="13"/>
        <v>6</v>
      </c>
      <c r="B210" s="215"/>
      <c r="C210" s="227">
        <v>3</v>
      </c>
      <c r="D210" s="217">
        <f>(84.51)*(10.764)</f>
        <v>909.66564000000005</v>
      </c>
      <c r="E210" s="216">
        <v>0</v>
      </c>
      <c r="F210" s="216">
        <f t="shared" si="12"/>
        <v>1409.9817420000002</v>
      </c>
      <c r="G210" s="215"/>
      <c r="H210" s="215"/>
      <c r="I210" s="30"/>
      <c r="L210" s="72"/>
      <c r="M210" s="72"/>
      <c r="N210" s="30"/>
    </row>
    <row r="211" spans="1:14" s="37" customFormat="1" ht="15.75" customHeight="1" x14ac:dyDescent="0.25">
      <c r="A211" s="215">
        <f t="shared" si="13"/>
        <v>7</v>
      </c>
      <c r="B211" s="215"/>
      <c r="C211" s="227">
        <v>2</v>
      </c>
      <c r="D211" s="217">
        <f>(59.75)*(10.764)</f>
        <v>643.149</v>
      </c>
      <c r="E211" s="216">
        <v>0</v>
      </c>
      <c r="F211" s="216">
        <f t="shared" si="12"/>
        <v>996.88094999999998</v>
      </c>
      <c r="G211" s="215"/>
      <c r="H211" s="215"/>
      <c r="I211" s="30"/>
      <c r="L211" s="72"/>
      <c r="M211" s="72"/>
      <c r="N211" s="30"/>
    </row>
    <row r="212" spans="1:14" s="37" customFormat="1" ht="15.75" customHeight="1" x14ac:dyDescent="0.25">
      <c r="A212" s="215">
        <f t="shared" si="13"/>
        <v>8</v>
      </c>
      <c r="B212" s="215"/>
      <c r="C212" s="227">
        <v>2</v>
      </c>
      <c r="D212" s="217">
        <f>(59.75)*(10.764)</f>
        <v>643.149</v>
      </c>
      <c r="E212" s="216">
        <v>0</v>
      </c>
      <c r="F212" s="216">
        <f t="shared" si="12"/>
        <v>996.88094999999998</v>
      </c>
      <c r="G212" s="215"/>
      <c r="H212" s="215"/>
      <c r="I212" s="30"/>
      <c r="L212" s="72"/>
      <c r="M212" s="72"/>
      <c r="N212" s="30"/>
    </row>
    <row r="213" spans="1:14" s="37" customFormat="1" ht="15.75" customHeight="1" x14ac:dyDescent="0.25">
      <c r="A213" s="73" t="s">
        <v>188</v>
      </c>
      <c r="B213" s="73"/>
      <c r="C213" s="73"/>
      <c r="D213" s="73"/>
      <c r="E213" s="73"/>
      <c r="F213" s="73"/>
      <c r="G213" s="73"/>
      <c r="H213" s="73"/>
      <c r="I213" s="30"/>
      <c r="L213" s="72"/>
      <c r="M213" s="72"/>
      <c r="N213" s="30"/>
    </row>
    <row r="214" spans="1:14" s="37" customFormat="1" ht="15.75" customHeight="1" x14ac:dyDescent="0.25">
      <c r="A214" s="215">
        <v>1</v>
      </c>
      <c r="B214" s="215"/>
      <c r="C214" s="227">
        <v>3</v>
      </c>
      <c r="D214" s="217">
        <f>(86.06)*(10.764)</f>
        <v>926.34983999999997</v>
      </c>
      <c r="E214" s="216">
        <v>0</v>
      </c>
      <c r="F214" s="216">
        <f>D214*(($F$174)+1)+(IF(E214&lt;101,E214,IF(E214&lt;201,E214/2,IF(E214&lt;=301,E214/3,E214/4))))</f>
        <v>1435.8422519999999</v>
      </c>
      <c r="G214" s="215" t="str">
        <f>A213</f>
        <v>7th Floor (Part Refuge Area)</v>
      </c>
      <c r="H214" s="215"/>
      <c r="I214" s="30"/>
      <c r="L214" s="72"/>
      <c r="M214" s="72"/>
      <c r="N214" s="30"/>
    </row>
    <row r="215" spans="1:14" s="37" customFormat="1" ht="15.75" customHeight="1" x14ac:dyDescent="0.25">
      <c r="A215" s="215">
        <f t="shared" ref="A215:A221" si="14">A214+1</f>
        <v>2</v>
      </c>
      <c r="B215" s="215"/>
      <c r="C215" s="227">
        <v>3</v>
      </c>
      <c r="D215" s="217">
        <f>(86.06)*(10.764)</f>
        <v>926.34983999999997</v>
      </c>
      <c r="E215" s="216">
        <v>0</v>
      </c>
      <c r="F215" s="216">
        <f>D215*(($F$174)+1)+(IF(E215&lt;101,E215,IF(E215&lt;201,E215/2,IF(E215&lt;=301,E215/3,E215/4))))</f>
        <v>1435.8422519999999</v>
      </c>
      <c r="G215" s="215"/>
      <c r="H215" s="215"/>
      <c r="I215" s="30"/>
      <c r="L215" s="72"/>
      <c r="M215" s="72"/>
      <c r="N215" s="30"/>
    </row>
    <row r="216" spans="1:14" s="37" customFormat="1" ht="15.75" customHeight="1" x14ac:dyDescent="0.25">
      <c r="A216" s="215">
        <f t="shared" si="14"/>
        <v>3</v>
      </c>
      <c r="B216" s="215"/>
      <c r="C216" s="240" t="s">
        <v>187</v>
      </c>
      <c r="D216" s="240"/>
      <c r="E216" s="240"/>
      <c r="F216" s="240"/>
      <c r="G216" s="215"/>
      <c r="H216" s="215"/>
      <c r="I216" s="30"/>
      <c r="L216" s="72"/>
      <c r="M216" s="72"/>
      <c r="N216" s="30"/>
    </row>
    <row r="217" spans="1:14" s="37" customFormat="1" ht="15.75" customHeight="1" x14ac:dyDescent="0.25">
      <c r="A217" s="215">
        <f t="shared" si="14"/>
        <v>4</v>
      </c>
      <c r="B217" s="215"/>
      <c r="C217" s="227">
        <v>2</v>
      </c>
      <c r="D217" s="217">
        <f>(59.48)*(10.764)</f>
        <v>640.24271999999996</v>
      </c>
      <c r="E217" s="216">
        <v>0</v>
      </c>
      <c r="F217" s="216">
        <f>D217*(($F$174)+1)+(IF(E217&lt;101,E217,IF(E217&lt;201,E217/2,IF(E217&lt;=301,E217/3,E217/4))))</f>
        <v>992.376216</v>
      </c>
      <c r="G217" s="215"/>
      <c r="H217" s="215"/>
      <c r="I217" s="30"/>
      <c r="L217" s="72"/>
      <c r="M217" s="72"/>
      <c r="N217" s="30"/>
    </row>
    <row r="218" spans="1:14" s="37" customFormat="1" ht="15.75" customHeight="1" x14ac:dyDescent="0.25">
      <c r="A218" s="215">
        <f t="shared" si="14"/>
        <v>5</v>
      </c>
      <c r="B218" s="215"/>
      <c r="C218" s="227">
        <v>3</v>
      </c>
      <c r="D218" s="217">
        <f>(84.51)*(10.764)</f>
        <v>909.66564000000005</v>
      </c>
      <c r="E218" s="216">
        <v>0</v>
      </c>
      <c r="F218" s="216">
        <f>D218*(($F$174)+1)+(IF(E218&lt;101,E218,IF(E218&lt;201,E218/2,IF(E218&lt;=301,E218/3,E218/4))))</f>
        <v>1409.9817420000002</v>
      </c>
      <c r="G218" s="215"/>
      <c r="H218" s="215"/>
      <c r="I218" s="37">
        <v>8</v>
      </c>
      <c r="J218" s="30"/>
    </row>
    <row r="219" spans="1:14" s="37" customFormat="1" ht="15.75" customHeight="1" x14ac:dyDescent="0.25">
      <c r="A219" s="215">
        <f t="shared" si="14"/>
        <v>6</v>
      </c>
      <c r="B219" s="215"/>
      <c r="C219" s="227">
        <v>3</v>
      </c>
      <c r="D219" s="217">
        <f>(84.51)*(10.764)</f>
        <v>909.66564000000005</v>
      </c>
      <c r="E219" s="216">
        <v>0</v>
      </c>
      <c r="F219" s="216">
        <f>D219*(($F$174)+1)+(IF(E219&lt;101,E219,IF(E219&lt;201,E219/2,IF(E219&lt;=301,E219/3,E219/4))))</f>
        <v>1409.9817420000002</v>
      </c>
      <c r="G219" s="215"/>
      <c r="H219" s="215"/>
      <c r="I219" s="30"/>
      <c r="L219" s="72"/>
      <c r="M219" s="72"/>
      <c r="N219" s="30"/>
    </row>
    <row r="220" spans="1:14" s="37" customFormat="1" ht="15.75" customHeight="1" x14ac:dyDescent="0.25">
      <c r="A220" s="215">
        <f t="shared" si="14"/>
        <v>7</v>
      </c>
      <c r="B220" s="215"/>
      <c r="C220" s="227">
        <v>2</v>
      </c>
      <c r="D220" s="217">
        <f>(59.75)*(10.764)</f>
        <v>643.149</v>
      </c>
      <c r="E220" s="216">
        <v>0</v>
      </c>
      <c r="F220" s="216">
        <f>D220*(($F$174)+1)+(IF(E220&lt;101,E220,IF(E220&lt;201,E220/2,IF(E220&lt;=301,E220/3,E220/4))))</f>
        <v>996.88094999999998</v>
      </c>
      <c r="G220" s="215"/>
      <c r="H220" s="215"/>
      <c r="I220" s="30"/>
      <c r="L220" s="72"/>
      <c r="M220" s="72"/>
      <c r="N220" s="30"/>
    </row>
    <row r="221" spans="1:14" s="37" customFormat="1" ht="15.75" customHeight="1" x14ac:dyDescent="0.25">
      <c r="A221" s="215">
        <f t="shared" si="14"/>
        <v>8</v>
      </c>
      <c r="B221" s="215"/>
      <c r="C221" s="227">
        <v>2</v>
      </c>
      <c r="D221" s="217">
        <f>(59.75)*(10.764)</f>
        <v>643.149</v>
      </c>
      <c r="E221" s="216">
        <v>0</v>
      </c>
      <c r="F221" s="216">
        <f>D221*(($F$174)+1)+(IF(E221&lt;101,E221,IF(E221&lt;201,E221/2,IF(E221&lt;=301,E221/3,E221/4))))</f>
        <v>996.88094999999998</v>
      </c>
      <c r="G221" s="215"/>
      <c r="H221" s="215"/>
      <c r="I221" s="30"/>
      <c r="L221" s="72"/>
      <c r="M221" s="72"/>
      <c r="N221" s="30"/>
    </row>
    <row r="222" spans="1:14" s="37" customFormat="1" ht="15.75" customHeight="1" x14ac:dyDescent="0.25">
      <c r="A222" s="79" t="s">
        <v>222</v>
      </c>
      <c r="B222" s="80"/>
      <c r="C222" s="80"/>
      <c r="D222" s="80"/>
      <c r="E222" s="80"/>
      <c r="F222" s="80"/>
      <c r="G222" s="80"/>
      <c r="H222" s="81"/>
      <c r="I222" s="30"/>
      <c r="L222" s="72"/>
      <c r="M222" s="72"/>
      <c r="N222" s="30"/>
    </row>
    <row r="223" spans="1:14" s="37" customFormat="1" ht="15.75" customHeight="1" x14ac:dyDescent="0.25">
      <c r="A223" s="224">
        <v>1</v>
      </c>
      <c r="B223" s="225"/>
      <c r="C223" s="227">
        <v>3</v>
      </c>
      <c r="D223" s="217">
        <f>(83.58+7.29)*(10.764)</f>
        <v>978.12468000000001</v>
      </c>
      <c r="E223" s="216">
        <v>0</v>
      </c>
      <c r="F223" s="216">
        <f t="shared" ref="F223:F230" si="15">D223*(($F$174)+1)+(IF(E223&lt;101,E223,IF(E223&lt;201,E223/2,IF(E223&lt;=301,E223/3,E223/4))))</f>
        <v>1516.0932540000001</v>
      </c>
      <c r="G223" s="218" t="str">
        <f>A222</f>
        <v>10th, 11th, 13th to 16th, 18th &amp; 19th Floor</v>
      </c>
      <c r="H223" s="219"/>
      <c r="I223" s="30"/>
      <c r="L223" s="72"/>
      <c r="M223" s="72"/>
      <c r="N223" s="30"/>
    </row>
    <row r="224" spans="1:14" s="37" customFormat="1" ht="15.75" customHeight="1" x14ac:dyDescent="0.25">
      <c r="A224" s="224">
        <f t="shared" ref="A224:A230" si="16">A223+1</f>
        <v>2</v>
      </c>
      <c r="B224" s="225"/>
      <c r="C224" s="227">
        <v>3</v>
      </c>
      <c r="D224" s="217">
        <f>(83.58+7.29)*(10.764)</f>
        <v>978.12468000000001</v>
      </c>
      <c r="E224" s="216">
        <v>0</v>
      </c>
      <c r="F224" s="216">
        <f t="shared" si="15"/>
        <v>1516.0932540000001</v>
      </c>
      <c r="G224" s="220"/>
      <c r="H224" s="221"/>
      <c r="I224" s="30"/>
      <c r="L224" s="72"/>
      <c r="M224" s="72"/>
      <c r="N224" s="30"/>
    </row>
    <row r="225" spans="1:14" s="37" customFormat="1" ht="15.75" customHeight="1" x14ac:dyDescent="0.25">
      <c r="A225" s="224">
        <f t="shared" si="16"/>
        <v>3</v>
      </c>
      <c r="B225" s="225"/>
      <c r="C225" s="227">
        <v>2</v>
      </c>
      <c r="D225" s="217">
        <f>(57.29+2.19)*(10.764)</f>
        <v>640.24271999999996</v>
      </c>
      <c r="E225" s="216">
        <v>0</v>
      </c>
      <c r="F225" s="216">
        <f t="shared" si="15"/>
        <v>992.376216</v>
      </c>
      <c r="G225" s="220"/>
      <c r="H225" s="221"/>
      <c r="I225" s="30"/>
      <c r="L225" s="72"/>
      <c r="M225" s="72"/>
      <c r="N225" s="30"/>
    </row>
    <row r="226" spans="1:14" s="37" customFormat="1" ht="15.75" customHeight="1" x14ac:dyDescent="0.25">
      <c r="A226" s="224">
        <f t="shared" si="16"/>
        <v>4</v>
      </c>
      <c r="B226" s="225"/>
      <c r="C226" s="227">
        <v>2</v>
      </c>
      <c r="D226" s="217">
        <f>(57.29+2.19)*(10.764)</f>
        <v>640.24271999999996</v>
      </c>
      <c r="E226" s="216">
        <v>0</v>
      </c>
      <c r="F226" s="216">
        <f t="shared" si="15"/>
        <v>992.376216</v>
      </c>
      <c r="G226" s="220"/>
      <c r="H226" s="221"/>
      <c r="I226" s="30"/>
      <c r="L226" s="72"/>
      <c r="M226" s="72"/>
      <c r="N226" s="30"/>
    </row>
    <row r="227" spans="1:14" s="37" customFormat="1" ht="15.75" customHeight="1" x14ac:dyDescent="0.25">
      <c r="A227" s="224">
        <f t="shared" si="16"/>
        <v>5</v>
      </c>
      <c r="B227" s="225"/>
      <c r="C227" s="227">
        <v>3</v>
      </c>
      <c r="D227" s="217">
        <f>(82.46+6.86)*(10.764)</f>
        <v>961.44047999999987</v>
      </c>
      <c r="E227" s="216">
        <v>0</v>
      </c>
      <c r="F227" s="216">
        <f t="shared" si="15"/>
        <v>1490.2327439999999</v>
      </c>
      <c r="G227" s="220"/>
      <c r="H227" s="221"/>
      <c r="I227" s="37">
        <v>2</v>
      </c>
      <c r="J227" s="30"/>
    </row>
    <row r="228" spans="1:14" s="37" customFormat="1" ht="15.75" customHeight="1" x14ac:dyDescent="0.25">
      <c r="A228" s="224">
        <f t="shared" si="16"/>
        <v>6</v>
      </c>
      <c r="B228" s="225"/>
      <c r="C228" s="227">
        <v>3</v>
      </c>
      <c r="D228" s="217">
        <f>(82.46+6.86)*(10.764)</f>
        <v>961.44047999999987</v>
      </c>
      <c r="E228" s="216">
        <v>0</v>
      </c>
      <c r="F228" s="216">
        <f t="shared" si="15"/>
        <v>1490.2327439999999</v>
      </c>
      <c r="G228" s="220"/>
      <c r="H228" s="221"/>
      <c r="I228" s="30"/>
      <c r="L228" s="72"/>
      <c r="M228" s="72"/>
      <c r="N228" s="30"/>
    </row>
    <row r="229" spans="1:14" s="37" customFormat="1" ht="15.75" customHeight="1" x14ac:dyDescent="0.25">
      <c r="A229" s="224">
        <f t="shared" si="16"/>
        <v>7</v>
      </c>
      <c r="B229" s="225"/>
      <c r="C229" s="227">
        <v>2</v>
      </c>
      <c r="D229" s="217">
        <f>(57.56+2.19)*(10.764)</f>
        <v>643.149</v>
      </c>
      <c r="E229" s="216">
        <v>0</v>
      </c>
      <c r="F229" s="216">
        <f t="shared" si="15"/>
        <v>996.88094999999998</v>
      </c>
      <c r="G229" s="220"/>
      <c r="H229" s="221"/>
      <c r="I229" s="30"/>
      <c r="L229" s="72"/>
      <c r="M229" s="72"/>
      <c r="N229" s="30"/>
    </row>
    <row r="230" spans="1:14" s="37" customFormat="1" ht="15.75" customHeight="1" x14ac:dyDescent="0.25">
      <c r="A230" s="224">
        <f t="shared" si="16"/>
        <v>8</v>
      </c>
      <c r="B230" s="225"/>
      <c r="C230" s="227">
        <v>2</v>
      </c>
      <c r="D230" s="217">
        <f>(57.56+2.19)*(10.764)</f>
        <v>643.149</v>
      </c>
      <c r="E230" s="216">
        <v>0</v>
      </c>
      <c r="F230" s="216">
        <f t="shared" si="15"/>
        <v>996.88094999999998</v>
      </c>
      <c r="G230" s="222"/>
      <c r="H230" s="223"/>
      <c r="I230" s="30"/>
      <c r="L230" s="72"/>
      <c r="M230" s="72"/>
      <c r="N230" s="30"/>
    </row>
    <row r="231" spans="1:14" s="37" customFormat="1" ht="15.75" customHeight="1" x14ac:dyDescent="0.25">
      <c r="A231" s="79" t="s">
        <v>189</v>
      </c>
      <c r="B231" s="80"/>
      <c r="C231" s="80"/>
      <c r="D231" s="80"/>
      <c r="E231" s="80"/>
      <c r="F231" s="80"/>
      <c r="G231" s="80"/>
      <c r="H231" s="81"/>
      <c r="I231" s="30"/>
      <c r="L231" s="72"/>
      <c r="M231" s="72"/>
      <c r="N231" s="30"/>
    </row>
    <row r="232" spans="1:14" s="37" customFormat="1" ht="15.75" customHeight="1" x14ac:dyDescent="0.25">
      <c r="A232" s="224">
        <v>1</v>
      </c>
      <c r="B232" s="225"/>
      <c r="C232" s="227">
        <v>3</v>
      </c>
      <c r="D232" s="217">
        <f>(83.58+7.29)*(10.764)</f>
        <v>978.12468000000001</v>
      </c>
      <c r="E232" s="216">
        <v>0</v>
      </c>
      <c r="F232" s="216">
        <f>D232*(($F$174)+1)+(IF(E232&lt;101,E232,IF(E232&lt;201,E232/2,IF(E232&lt;=301,E232/3,E232/4))))</f>
        <v>1516.0932540000001</v>
      </c>
      <c r="G232" s="218" t="str">
        <f>A231</f>
        <v>12th &amp; 17th Floor (Part Refuge Area)</v>
      </c>
      <c r="H232" s="219"/>
      <c r="I232" s="30"/>
      <c r="L232" s="72"/>
      <c r="M232" s="72"/>
      <c r="N232" s="30"/>
    </row>
    <row r="233" spans="1:14" s="37" customFormat="1" ht="15.75" customHeight="1" x14ac:dyDescent="0.25">
      <c r="A233" s="224">
        <f t="shared" ref="A233:A239" si="17">A232+1</f>
        <v>2</v>
      </c>
      <c r="B233" s="225"/>
      <c r="C233" s="227">
        <v>3</v>
      </c>
      <c r="D233" s="217">
        <f>(83.58+7.29)*(10.764)</f>
        <v>978.12468000000001</v>
      </c>
      <c r="E233" s="216">
        <v>0</v>
      </c>
      <c r="F233" s="216">
        <f>D233*(($F$174)+1)+(IF(E233&lt;101,E233,IF(E233&lt;201,E233/2,IF(E233&lt;=301,E233/3,E233/4))))</f>
        <v>1516.0932540000001</v>
      </c>
      <c r="G233" s="220"/>
      <c r="H233" s="221"/>
      <c r="I233" s="30"/>
      <c r="L233" s="72"/>
      <c r="M233" s="72"/>
      <c r="N233" s="30"/>
    </row>
    <row r="234" spans="1:14" s="37" customFormat="1" ht="15.75" customHeight="1" x14ac:dyDescent="0.25">
      <c r="A234" s="224">
        <f t="shared" si="17"/>
        <v>3</v>
      </c>
      <c r="B234" s="225"/>
      <c r="C234" s="231" t="s">
        <v>187</v>
      </c>
      <c r="D234" s="232"/>
      <c r="E234" s="232"/>
      <c r="F234" s="233"/>
      <c r="G234" s="220"/>
      <c r="H234" s="221"/>
      <c r="I234" s="30"/>
      <c r="L234" s="72"/>
      <c r="M234" s="72"/>
      <c r="N234" s="30"/>
    </row>
    <row r="235" spans="1:14" s="37" customFormat="1" ht="15.75" customHeight="1" x14ac:dyDescent="0.25">
      <c r="A235" s="224">
        <f t="shared" si="17"/>
        <v>4</v>
      </c>
      <c r="B235" s="225"/>
      <c r="C235" s="227">
        <v>2</v>
      </c>
      <c r="D235" s="217">
        <f>(57.29+2.19)*(10.764)</f>
        <v>640.24271999999996</v>
      </c>
      <c r="E235" s="216">
        <v>0</v>
      </c>
      <c r="F235" s="216">
        <f>D235*(($F$174)+1)+(IF(E235&lt;101,E235,IF(E235&lt;201,E235/2,IF(E235&lt;=301,E235/3,E235/4))))</f>
        <v>992.376216</v>
      </c>
      <c r="G235" s="220"/>
      <c r="H235" s="221"/>
      <c r="I235" s="30"/>
      <c r="L235" s="72"/>
      <c r="M235" s="72"/>
      <c r="N235" s="30"/>
    </row>
    <row r="236" spans="1:14" s="37" customFormat="1" ht="15.75" customHeight="1" x14ac:dyDescent="0.25">
      <c r="A236" s="224">
        <f t="shared" si="17"/>
        <v>5</v>
      </c>
      <c r="B236" s="225"/>
      <c r="C236" s="227">
        <v>3</v>
      </c>
      <c r="D236" s="217">
        <f>(82.46+6.86)*(10.764)</f>
        <v>961.44047999999987</v>
      </c>
      <c r="E236" s="216">
        <v>0</v>
      </c>
      <c r="F236" s="216">
        <f>D236*(($F$174)+1)+(IF(E236&lt;101,E236,IF(E236&lt;201,E236/2,IF(E236&lt;=301,E236/3,E236/4))))</f>
        <v>1490.2327439999999</v>
      </c>
      <c r="G236" s="220"/>
      <c r="H236" s="221"/>
      <c r="I236" s="52">
        <f>2+4+4+4+4+4+1</f>
        <v>23</v>
      </c>
      <c r="J236" s="30"/>
      <c r="K236" s="37">
        <f>18+16</f>
        <v>34</v>
      </c>
    </row>
    <row r="237" spans="1:14" s="37" customFormat="1" ht="15.75" customHeight="1" x14ac:dyDescent="0.25">
      <c r="A237" s="224">
        <f t="shared" si="17"/>
        <v>6</v>
      </c>
      <c r="B237" s="225"/>
      <c r="C237" s="227">
        <v>3</v>
      </c>
      <c r="D237" s="217">
        <f>(82.46+6.86)*(10.764)</f>
        <v>961.44047999999987</v>
      </c>
      <c r="E237" s="216">
        <v>0</v>
      </c>
      <c r="F237" s="216">
        <f>D237*(($F$174)+1)+(IF(E237&lt;101,E237,IF(E237&lt;201,E237/2,IF(E237&lt;=301,E237/3,E237/4))))</f>
        <v>1490.2327439999999</v>
      </c>
      <c r="G237" s="220"/>
      <c r="H237" s="221"/>
      <c r="I237" s="30"/>
      <c r="L237" s="72"/>
      <c r="M237" s="72"/>
      <c r="N237" s="30"/>
    </row>
    <row r="238" spans="1:14" s="37" customFormat="1" ht="15.75" customHeight="1" x14ac:dyDescent="0.25">
      <c r="A238" s="224">
        <f t="shared" si="17"/>
        <v>7</v>
      </c>
      <c r="B238" s="225"/>
      <c r="C238" s="227">
        <v>2</v>
      </c>
      <c r="D238" s="217">
        <f>(57.56+2.19)*(10.764)</f>
        <v>643.149</v>
      </c>
      <c r="E238" s="216">
        <v>0</v>
      </c>
      <c r="F238" s="216">
        <f>D238*(($F$174)+1)+(IF(E238&lt;101,E238,IF(E238&lt;201,E238/2,IF(E238&lt;=301,E238/3,E238/4))))</f>
        <v>996.88094999999998</v>
      </c>
      <c r="G238" s="220"/>
      <c r="H238" s="221"/>
      <c r="I238" s="30"/>
      <c r="L238" s="72"/>
      <c r="M238" s="72"/>
      <c r="N238" s="30"/>
    </row>
    <row r="239" spans="1:14" s="37" customFormat="1" ht="15.75" customHeight="1" x14ac:dyDescent="0.25">
      <c r="A239" s="224">
        <f t="shared" si="17"/>
        <v>8</v>
      </c>
      <c r="B239" s="225"/>
      <c r="C239" s="227">
        <v>2</v>
      </c>
      <c r="D239" s="217">
        <f>(57.56+2.19)*(10.764)</f>
        <v>643.149</v>
      </c>
      <c r="E239" s="216">
        <v>0</v>
      </c>
      <c r="F239" s="216">
        <f>D239*(($F$174)+1)+(IF(E239&lt;101,E239,IF(E239&lt;201,E239/2,IF(E239&lt;=301,E239/3,E239/4))))</f>
        <v>996.88094999999998</v>
      </c>
      <c r="G239" s="222"/>
      <c r="H239" s="223"/>
      <c r="I239" s="30"/>
      <c r="L239" s="72"/>
      <c r="M239" s="72"/>
      <c r="N239" s="30"/>
    </row>
    <row r="240" spans="1:14" s="37" customFormat="1" ht="15.75" customHeight="1" x14ac:dyDescent="0.25">
      <c r="A240" s="79" t="s">
        <v>225</v>
      </c>
      <c r="B240" s="80"/>
      <c r="C240" s="80"/>
      <c r="D240" s="80"/>
      <c r="E240" s="80"/>
      <c r="F240" s="80"/>
      <c r="G240" s="80"/>
      <c r="H240" s="81"/>
      <c r="I240" s="30"/>
      <c r="L240" s="72"/>
      <c r="M240" s="72"/>
      <c r="N240" s="30"/>
    </row>
    <row r="241" spans="1:14" s="37" customFormat="1" ht="15.75" customHeight="1" x14ac:dyDescent="0.25">
      <c r="A241" s="215">
        <v>1</v>
      </c>
      <c r="B241" s="215"/>
      <c r="C241" s="227">
        <v>3</v>
      </c>
      <c r="D241" s="217">
        <f>(94.54)*(10.764)</f>
        <v>1017.62856</v>
      </c>
      <c r="E241" s="216">
        <v>0</v>
      </c>
      <c r="F241" s="216">
        <f t="shared" ref="F241:F248" si="18">D241*(($F$174)+1)+(IF(E241&lt;101,E241,IF(E241&lt;201,E241/2,IF(E241&lt;=301,E241/3,E241/4))))</f>
        <v>1577.3242680000001</v>
      </c>
      <c r="G241" s="215" t="str">
        <f>A240</f>
        <v>20th to 21st, 23rd to 26th, 28th to 31st, 33rd to 36th, 38th to 41st, 43rd to 46th &amp; 48th Floor</v>
      </c>
      <c r="H241" s="215"/>
      <c r="I241" s="30"/>
      <c r="L241" s="72"/>
      <c r="M241" s="72"/>
      <c r="N241" s="30"/>
    </row>
    <row r="242" spans="1:14" s="37" customFormat="1" ht="15.75" customHeight="1" x14ac:dyDescent="0.25">
      <c r="A242" s="215">
        <f t="shared" ref="A242:A248" si="19">A241+1</f>
        <v>2</v>
      </c>
      <c r="B242" s="215"/>
      <c r="C242" s="227">
        <v>3</v>
      </c>
      <c r="D242" s="217">
        <f>(94.53)*(10.764)</f>
        <v>1017.5209199999999</v>
      </c>
      <c r="E242" s="216">
        <v>0</v>
      </c>
      <c r="F242" s="216">
        <f t="shared" si="18"/>
        <v>1577.157426</v>
      </c>
      <c r="G242" s="215"/>
      <c r="H242" s="215"/>
      <c r="I242" s="30"/>
      <c r="L242" s="72"/>
      <c r="M242" s="72"/>
      <c r="N242" s="30"/>
    </row>
    <row r="243" spans="1:14" s="37" customFormat="1" ht="15.75" customHeight="1" x14ac:dyDescent="0.25">
      <c r="A243" s="215">
        <f t="shared" si="19"/>
        <v>3</v>
      </c>
      <c r="B243" s="215"/>
      <c r="C243" s="227">
        <v>2</v>
      </c>
      <c r="D243" s="217">
        <f>(62.59)*10.764</f>
        <v>673.71875999999997</v>
      </c>
      <c r="E243" s="216">
        <v>0</v>
      </c>
      <c r="F243" s="216">
        <f t="shared" si="18"/>
        <v>1044.2640779999999</v>
      </c>
      <c r="G243" s="215"/>
      <c r="H243" s="215"/>
      <c r="I243" s="30"/>
      <c r="L243" s="72"/>
      <c r="M243" s="72"/>
      <c r="N243" s="30"/>
    </row>
    <row r="244" spans="1:14" s="37" customFormat="1" ht="15.75" customHeight="1" x14ac:dyDescent="0.25">
      <c r="A244" s="215">
        <f t="shared" si="19"/>
        <v>4</v>
      </c>
      <c r="B244" s="215"/>
      <c r="C244" s="227">
        <v>2</v>
      </c>
      <c r="D244" s="217">
        <f>(62.59)*10.764</f>
        <v>673.71875999999997</v>
      </c>
      <c r="E244" s="216">
        <v>0</v>
      </c>
      <c r="F244" s="216">
        <f t="shared" si="18"/>
        <v>1044.2640779999999</v>
      </c>
      <c r="G244" s="215"/>
      <c r="H244" s="215"/>
      <c r="I244" s="30"/>
      <c r="L244" s="72"/>
      <c r="M244" s="72"/>
      <c r="N244" s="30"/>
    </row>
    <row r="245" spans="1:14" s="37" customFormat="1" ht="15.75" customHeight="1" x14ac:dyDescent="0.25">
      <c r="A245" s="215">
        <f t="shared" si="19"/>
        <v>5</v>
      </c>
      <c r="B245" s="215"/>
      <c r="C245" s="227">
        <v>3</v>
      </c>
      <c r="D245" s="217">
        <f>(92.98)*(10.764)</f>
        <v>1000.83672</v>
      </c>
      <c r="E245" s="216">
        <v>0</v>
      </c>
      <c r="F245" s="216">
        <f t="shared" si="18"/>
        <v>1551.296916</v>
      </c>
      <c r="G245" s="215"/>
      <c r="H245" s="215"/>
      <c r="I245" s="52">
        <v>6</v>
      </c>
      <c r="J245" s="30"/>
    </row>
    <row r="246" spans="1:14" s="37" customFormat="1" ht="15.75" customHeight="1" x14ac:dyDescent="0.25">
      <c r="A246" s="215">
        <f t="shared" si="19"/>
        <v>6</v>
      </c>
      <c r="B246" s="215"/>
      <c r="C246" s="227">
        <v>3</v>
      </c>
      <c r="D246" s="217">
        <f>(92.98)*(10.764)</f>
        <v>1000.83672</v>
      </c>
      <c r="E246" s="216">
        <v>0</v>
      </c>
      <c r="F246" s="216">
        <f t="shared" si="18"/>
        <v>1551.296916</v>
      </c>
      <c r="G246" s="215"/>
      <c r="H246" s="215"/>
      <c r="I246" s="30"/>
      <c r="L246" s="72"/>
      <c r="M246" s="72"/>
      <c r="N246" s="30"/>
    </row>
    <row r="247" spans="1:14" s="37" customFormat="1" ht="15.75" customHeight="1" x14ac:dyDescent="0.25">
      <c r="A247" s="215">
        <f t="shared" si="19"/>
        <v>7</v>
      </c>
      <c r="B247" s="215"/>
      <c r="C247" s="227">
        <v>2</v>
      </c>
      <c r="D247" s="217">
        <f>(62.97)*10.764</f>
        <v>677.80907999999999</v>
      </c>
      <c r="E247" s="216">
        <v>0</v>
      </c>
      <c r="F247" s="216">
        <f t="shared" si="18"/>
        <v>1050.6040740000001</v>
      </c>
      <c r="G247" s="215"/>
      <c r="H247" s="215"/>
      <c r="I247" s="30"/>
      <c r="L247" s="72"/>
      <c r="M247" s="72"/>
      <c r="N247" s="30"/>
    </row>
    <row r="248" spans="1:14" s="37" customFormat="1" ht="15.75" customHeight="1" x14ac:dyDescent="0.25">
      <c r="A248" s="215">
        <f t="shared" si="19"/>
        <v>8</v>
      </c>
      <c r="B248" s="215"/>
      <c r="C248" s="227">
        <v>2</v>
      </c>
      <c r="D248" s="217">
        <f>(62.97)*10.764</f>
        <v>677.80907999999999</v>
      </c>
      <c r="E248" s="216">
        <v>0</v>
      </c>
      <c r="F248" s="216">
        <f t="shared" si="18"/>
        <v>1050.6040740000001</v>
      </c>
      <c r="G248" s="215"/>
      <c r="H248" s="215"/>
      <c r="I248" s="30"/>
      <c r="L248" s="72"/>
      <c r="M248" s="72"/>
      <c r="N248" s="30"/>
    </row>
    <row r="249" spans="1:14" s="37" customFormat="1" ht="15.75" customHeight="1" x14ac:dyDescent="0.25">
      <c r="A249" s="73" t="s">
        <v>226</v>
      </c>
      <c r="B249" s="73"/>
      <c r="C249" s="73"/>
      <c r="D249" s="73"/>
      <c r="E249" s="73"/>
      <c r="F249" s="73"/>
      <c r="G249" s="73"/>
      <c r="H249" s="73"/>
      <c r="I249" s="30"/>
      <c r="L249" s="72"/>
      <c r="M249" s="72"/>
      <c r="N249" s="30"/>
    </row>
    <row r="250" spans="1:14" s="37" customFormat="1" ht="15.75" customHeight="1" x14ac:dyDescent="0.25">
      <c r="A250" s="215">
        <v>1</v>
      </c>
      <c r="B250" s="215"/>
      <c r="C250" s="227">
        <v>3</v>
      </c>
      <c r="D250" s="217">
        <f>(83.58+10.96)*(10.764)</f>
        <v>1017.6285599999999</v>
      </c>
      <c r="E250" s="216">
        <v>0</v>
      </c>
      <c r="F250" s="216">
        <f>D250*(($F$174)+1)+(IF(E250&lt;101,E250,IF(E250&lt;201,E250/2,IF(E250&lt;=301,E250/3,E250/4))))</f>
        <v>1577.3242679999998</v>
      </c>
      <c r="G250" s="215" t="str">
        <f>A249</f>
        <v>22nd, 27th, 32nd, 37th, 42nd &amp; 47th Floor (Part Refuge Area)</v>
      </c>
      <c r="H250" s="215"/>
      <c r="I250" s="30"/>
      <c r="L250" s="72"/>
      <c r="M250" s="72"/>
      <c r="N250" s="30"/>
    </row>
    <row r="251" spans="1:14" s="37" customFormat="1" ht="15.75" customHeight="1" x14ac:dyDescent="0.25">
      <c r="A251" s="215">
        <f t="shared" ref="A251:A257" si="20">A250+1</f>
        <v>2</v>
      </c>
      <c r="B251" s="215"/>
      <c r="C251" s="227">
        <v>3</v>
      </c>
      <c r="D251" s="217">
        <f>(83.58+10.95)*(10.764)</f>
        <v>1017.5209199999999</v>
      </c>
      <c r="E251" s="216">
        <v>0</v>
      </c>
      <c r="F251" s="216">
        <f>D251*(($F$174)+1)+(IF(E251&lt;101,E251,IF(E251&lt;201,E251/2,IF(E251&lt;=301,E251/3,E251/4))))</f>
        <v>1577.157426</v>
      </c>
      <c r="G251" s="215"/>
      <c r="H251" s="215"/>
      <c r="I251" s="30"/>
      <c r="L251" s="72"/>
      <c r="M251" s="72"/>
      <c r="N251" s="30"/>
    </row>
    <row r="252" spans="1:14" s="37" customFormat="1" ht="15.75" customHeight="1" x14ac:dyDescent="0.25">
      <c r="A252" s="215">
        <f t="shared" si="20"/>
        <v>3</v>
      </c>
      <c r="B252" s="215"/>
      <c r="C252" s="240" t="s">
        <v>187</v>
      </c>
      <c r="D252" s="232"/>
      <c r="E252" s="232"/>
      <c r="F252" s="233"/>
      <c r="G252" s="215"/>
      <c r="H252" s="215"/>
      <c r="I252" s="30"/>
      <c r="L252" s="72"/>
      <c r="M252" s="72"/>
      <c r="N252" s="30"/>
    </row>
    <row r="253" spans="1:14" s="37" customFormat="1" ht="15.75" customHeight="1" x14ac:dyDescent="0.25">
      <c r="A253" s="215">
        <f t="shared" si="20"/>
        <v>4</v>
      </c>
      <c r="B253" s="215"/>
      <c r="C253" s="227">
        <v>2</v>
      </c>
      <c r="D253" s="217">
        <f>(57.29+5.3)*(10.764)</f>
        <v>673.71875999999997</v>
      </c>
      <c r="E253" s="216">
        <v>0</v>
      </c>
      <c r="F253" s="216">
        <f>D253*(($F$174)+1)+(IF(E253&lt;101,E253,IF(E253&lt;201,E253/2,IF(E253&lt;=301,E253/3,E253/4))))</f>
        <v>1044.2640779999999</v>
      </c>
      <c r="G253" s="215"/>
      <c r="H253" s="215"/>
      <c r="I253" s="30"/>
      <c r="L253" s="72"/>
      <c r="M253" s="72"/>
      <c r="N253" s="30"/>
    </row>
    <row r="254" spans="1:14" s="37" customFormat="1" ht="15.75" customHeight="1" x14ac:dyDescent="0.25">
      <c r="A254" s="215">
        <f t="shared" si="20"/>
        <v>5</v>
      </c>
      <c r="B254" s="215"/>
      <c r="C254" s="227">
        <v>3</v>
      </c>
      <c r="D254" s="217">
        <f>(82.46+10.52)*(10.764)</f>
        <v>1000.8367199999998</v>
      </c>
      <c r="E254" s="216">
        <v>0</v>
      </c>
      <c r="F254" s="216">
        <f>D254*(($F$174)+1)+(IF(E254&lt;101,E254,IF(E254&lt;201,E254/2,IF(E254&lt;=301,E254/3,E254/4))))</f>
        <v>1551.2969159999998</v>
      </c>
      <c r="G254" s="215"/>
      <c r="H254" s="215"/>
      <c r="J254" s="30"/>
    </row>
    <row r="255" spans="1:14" s="37" customFormat="1" ht="15.75" customHeight="1" x14ac:dyDescent="0.25">
      <c r="A255" s="215">
        <f t="shared" si="20"/>
        <v>6</v>
      </c>
      <c r="B255" s="215"/>
      <c r="C255" s="227">
        <v>3</v>
      </c>
      <c r="D255" s="217">
        <f>(82.46+10.52)*(10.764)</f>
        <v>1000.8367199999998</v>
      </c>
      <c r="E255" s="216">
        <v>0</v>
      </c>
      <c r="F255" s="216">
        <f>D255*(($F$174)+1)+(IF(E255&lt;101,E255,IF(E255&lt;201,E255/2,IF(E255&lt;=301,E255/3,E255/4))))</f>
        <v>1551.2969159999998</v>
      </c>
      <c r="G255" s="215"/>
      <c r="H255" s="215"/>
      <c r="J255" s="30"/>
    </row>
    <row r="256" spans="1:14" s="37" customFormat="1" ht="15.75" customHeight="1" x14ac:dyDescent="0.25">
      <c r="A256" s="215">
        <f t="shared" si="20"/>
        <v>7</v>
      </c>
      <c r="B256" s="215"/>
      <c r="C256" s="227">
        <v>2</v>
      </c>
      <c r="D256" s="217">
        <f>(57.56+5.41)*(10.764)</f>
        <v>677.80907999999999</v>
      </c>
      <c r="E256" s="216">
        <v>0</v>
      </c>
      <c r="F256" s="216">
        <f>D256*(($F$174)+1)+(IF(E256&lt;101,E256,IF(E256&lt;201,E256/2,IF(E256&lt;=301,E256/3,E256/4))))</f>
        <v>1050.6040740000001</v>
      </c>
      <c r="G256" s="215"/>
      <c r="H256" s="215"/>
      <c r="J256" s="30"/>
    </row>
    <row r="257" spans="1:14" s="37" customFormat="1" ht="15.75" customHeight="1" x14ac:dyDescent="0.25">
      <c r="A257" s="215">
        <f t="shared" si="20"/>
        <v>8</v>
      </c>
      <c r="B257" s="215"/>
      <c r="C257" s="227">
        <v>2</v>
      </c>
      <c r="D257" s="217">
        <f>(57.56+5.41)*(10.764)</f>
        <v>677.80907999999999</v>
      </c>
      <c r="E257" s="216">
        <v>0</v>
      </c>
      <c r="F257" s="216">
        <f>D257*(($F$174)+1)+(IF(E257&lt;101,E257,IF(E257&lt;201,E257/2,IF(E257&lt;=301,E257/3,E257/4))))</f>
        <v>1050.6040740000001</v>
      </c>
      <c r="G257" s="215"/>
      <c r="H257" s="215"/>
      <c r="I257" s="37">
        <v>1</v>
      </c>
      <c r="J257" s="30"/>
    </row>
    <row r="258" spans="1:14" s="37" customFormat="1" ht="15.75" customHeight="1" x14ac:dyDescent="0.25">
      <c r="A258" s="82" t="s">
        <v>190</v>
      </c>
      <c r="B258" s="83"/>
      <c r="C258" s="83"/>
      <c r="D258" s="83"/>
      <c r="E258" s="83"/>
      <c r="F258" s="83"/>
      <c r="G258" s="83"/>
      <c r="H258" s="84"/>
      <c r="I258" s="30"/>
      <c r="L258" s="72"/>
      <c r="M258" s="72"/>
      <c r="N258" s="30"/>
    </row>
    <row r="259" spans="1:14" s="37" customFormat="1" ht="15.75" customHeight="1" x14ac:dyDescent="0.25">
      <c r="A259" s="79" t="s">
        <v>215</v>
      </c>
      <c r="B259" s="80"/>
      <c r="C259" s="80"/>
      <c r="D259" s="80"/>
      <c r="E259" s="80"/>
      <c r="F259" s="80"/>
      <c r="G259" s="80"/>
      <c r="H259" s="81"/>
      <c r="I259" s="30"/>
      <c r="L259" s="72"/>
      <c r="M259" s="72"/>
      <c r="N259" s="30"/>
    </row>
    <row r="260" spans="1:14" s="37" customFormat="1" ht="15.75" customHeight="1" x14ac:dyDescent="0.25">
      <c r="A260" s="79" t="s">
        <v>223</v>
      </c>
      <c r="B260" s="80"/>
      <c r="C260" s="80"/>
      <c r="D260" s="80"/>
      <c r="E260" s="80"/>
      <c r="F260" s="80"/>
      <c r="G260" s="80"/>
      <c r="H260" s="81"/>
      <c r="I260" s="30"/>
      <c r="L260" s="72"/>
      <c r="M260" s="72"/>
      <c r="N260" s="30"/>
    </row>
    <row r="261" spans="1:14" s="37" customFormat="1" ht="15.75" customHeight="1" x14ac:dyDescent="0.25">
      <c r="A261" s="79" t="s">
        <v>192</v>
      </c>
      <c r="B261" s="80"/>
      <c r="C261" s="80"/>
      <c r="D261" s="80"/>
      <c r="E261" s="80"/>
      <c r="F261" s="80"/>
      <c r="G261" s="80"/>
      <c r="H261" s="81"/>
      <c r="I261" s="30"/>
      <c r="L261" s="72"/>
      <c r="M261" s="72"/>
      <c r="N261" s="30"/>
    </row>
    <row r="262" spans="1:14" s="37" customFormat="1" ht="15.75" customHeight="1" x14ac:dyDescent="0.25">
      <c r="A262" s="224">
        <v>1</v>
      </c>
      <c r="B262" s="225"/>
      <c r="C262" s="218" t="s">
        <v>209</v>
      </c>
      <c r="D262" s="228"/>
      <c r="E262" s="228"/>
      <c r="F262" s="219"/>
      <c r="G262" s="218" t="str">
        <f>A261</f>
        <v>1st Floor For Part Residential &amp; Parking</v>
      </c>
      <c r="H262" s="219"/>
      <c r="I262" s="30"/>
      <c r="L262" s="72"/>
      <c r="M262" s="72"/>
      <c r="N262" s="30"/>
    </row>
    <row r="263" spans="1:14" s="37" customFormat="1" ht="15.75" customHeight="1" x14ac:dyDescent="0.25">
      <c r="A263" s="224">
        <f t="shared" ref="A263:A269" si="21">A262+1</f>
        <v>2</v>
      </c>
      <c r="B263" s="225"/>
      <c r="C263" s="222"/>
      <c r="D263" s="230"/>
      <c r="E263" s="230"/>
      <c r="F263" s="223"/>
      <c r="G263" s="220"/>
      <c r="H263" s="221"/>
      <c r="I263" s="54"/>
      <c r="J263" s="54"/>
      <c r="L263" s="72"/>
      <c r="M263" s="72"/>
      <c r="N263" s="30"/>
    </row>
    <row r="264" spans="1:14" s="37" customFormat="1" ht="15.75" customHeight="1" x14ac:dyDescent="0.25">
      <c r="A264" s="224">
        <f t="shared" si="21"/>
        <v>3</v>
      </c>
      <c r="B264" s="225"/>
      <c r="C264" s="227">
        <v>2</v>
      </c>
      <c r="D264" s="217">
        <f>(57.29+2.19)*(10.764)</f>
        <v>640.24271999999996</v>
      </c>
      <c r="E264" s="216">
        <v>0</v>
      </c>
      <c r="F264" s="216">
        <f>D264*(($F$174)+1)+(IF(E264&lt;101,E264,IF(E264&lt;201,E264/2,IF(E264&lt;=301,E264/3,E264/4))))</f>
        <v>992.376216</v>
      </c>
      <c r="G264" s="220"/>
      <c r="H264" s="221"/>
      <c r="I264" s="30"/>
      <c r="J264" s="54"/>
      <c r="L264" s="72"/>
      <c r="M264" s="72"/>
      <c r="N264" s="30"/>
    </row>
    <row r="265" spans="1:14" s="37" customFormat="1" ht="15.75" customHeight="1" x14ac:dyDescent="0.25">
      <c r="A265" s="224">
        <f t="shared" si="21"/>
        <v>4</v>
      </c>
      <c r="B265" s="225"/>
      <c r="C265" s="224" t="s">
        <v>191</v>
      </c>
      <c r="D265" s="241"/>
      <c r="E265" s="241"/>
      <c r="F265" s="225"/>
      <c r="G265" s="220"/>
      <c r="H265" s="221"/>
      <c r="I265" s="30"/>
      <c r="L265" s="72"/>
      <c r="M265" s="72"/>
      <c r="N265" s="30"/>
    </row>
    <row r="266" spans="1:14" s="37" customFormat="1" ht="15.75" customHeight="1" x14ac:dyDescent="0.25">
      <c r="A266" s="224">
        <f t="shared" si="21"/>
        <v>5</v>
      </c>
      <c r="B266" s="225"/>
      <c r="C266" s="218" t="s">
        <v>186</v>
      </c>
      <c r="D266" s="228"/>
      <c r="E266" s="228"/>
      <c r="F266" s="219"/>
      <c r="G266" s="220"/>
      <c r="H266" s="221"/>
      <c r="I266" s="37">
        <v>2</v>
      </c>
      <c r="J266" s="30"/>
    </row>
    <row r="267" spans="1:14" s="37" customFormat="1" ht="15.75" customHeight="1" x14ac:dyDescent="0.25">
      <c r="A267" s="224">
        <f t="shared" si="21"/>
        <v>6</v>
      </c>
      <c r="B267" s="225"/>
      <c r="C267" s="220"/>
      <c r="D267" s="229"/>
      <c r="E267" s="229"/>
      <c r="F267" s="221"/>
      <c r="G267" s="220"/>
      <c r="H267" s="221"/>
      <c r="I267" s="30"/>
      <c r="L267" s="72"/>
      <c r="M267" s="72"/>
      <c r="N267" s="30"/>
    </row>
    <row r="268" spans="1:14" s="37" customFormat="1" ht="15.75" customHeight="1" x14ac:dyDescent="0.25">
      <c r="A268" s="224">
        <f t="shared" si="21"/>
        <v>7</v>
      </c>
      <c r="B268" s="225"/>
      <c r="C268" s="222"/>
      <c r="D268" s="230"/>
      <c r="E268" s="230"/>
      <c r="F268" s="223"/>
      <c r="G268" s="220"/>
      <c r="H268" s="221"/>
      <c r="I268" s="30"/>
      <c r="L268" s="72"/>
      <c r="M268" s="72"/>
      <c r="N268" s="30"/>
    </row>
    <row r="269" spans="1:14" s="37" customFormat="1" ht="15.75" customHeight="1" x14ac:dyDescent="0.25">
      <c r="A269" s="224">
        <f t="shared" si="21"/>
        <v>8</v>
      </c>
      <c r="B269" s="225"/>
      <c r="C269" s="227">
        <v>2</v>
      </c>
      <c r="D269" s="217">
        <f>(57.29+2.19)*(10.764)</f>
        <v>640.24271999999996</v>
      </c>
      <c r="E269" s="216">
        <v>0</v>
      </c>
      <c r="F269" s="216">
        <f>D269*(($F$174)+1)+(IF(E269&lt;101,E269,IF(E269&lt;201,E269/2,IF(E269&lt;=301,E269/3,E269/4))))</f>
        <v>992.376216</v>
      </c>
      <c r="G269" s="222"/>
      <c r="H269" s="223"/>
      <c r="I269" s="30"/>
      <c r="L269" s="72"/>
      <c r="M269" s="72"/>
      <c r="N269" s="30"/>
    </row>
    <row r="270" spans="1:14" s="37" customFormat="1" ht="15.75" customHeight="1" x14ac:dyDescent="0.25">
      <c r="A270" s="79" t="s">
        <v>216</v>
      </c>
      <c r="B270" s="80"/>
      <c r="C270" s="80"/>
      <c r="D270" s="80"/>
      <c r="E270" s="80"/>
      <c r="F270" s="80"/>
      <c r="G270" s="80"/>
      <c r="H270" s="81"/>
      <c r="I270" s="30"/>
      <c r="L270" s="72"/>
      <c r="M270" s="72"/>
      <c r="N270" s="30"/>
    </row>
    <row r="271" spans="1:14" s="37" customFormat="1" ht="15.75" customHeight="1" x14ac:dyDescent="0.25">
      <c r="A271" s="224">
        <v>1</v>
      </c>
      <c r="B271" s="225"/>
      <c r="C271" s="227">
        <v>3</v>
      </c>
      <c r="D271" s="217">
        <f>(83.58+2.48)*(10.764)</f>
        <v>926.34983999999997</v>
      </c>
      <c r="E271" s="217">
        <f>(3.45*8.45+3.05*6.55)*10.764</f>
        <v>528.83531999999991</v>
      </c>
      <c r="F271" s="216">
        <f t="shared" ref="F271:F272" si="22">D271*(($F$174)+1)+(IF(E271&lt;101,E271,IF(E271&lt;201,E271/2,IF(E271&lt;=301,E271/3,E271/4))))</f>
        <v>1568.051082</v>
      </c>
      <c r="G271" s="218" t="str">
        <f>A270</f>
        <v>2nd Floor For Part Residential &amp; Parking</v>
      </c>
      <c r="H271" s="219"/>
      <c r="I271" s="30"/>
      <c r="L271" s="72"/>
      <c r="M271" s="72"/>
      <c r="N271" s="30"/>
    </row>
    <row r="272" spans="1:14" s="37" customFormat="1" ht="15.75" customHeight="1" x14ac:dyDescent="0.25">
      <c r="A272" s="224">
        <f t="shared" ref="A272:A278" si="23">A271+1</f>
        <v>2</v>
      </c>
      <c r="B272" s="225"/>
      <c r="C272" s="227">
        <v>3</v>
      </c>
      <c r="D272" s="217">
        <f>(83.58+2.48)*(10.764)</f>
        <v>926.34983999999997</v>
      </c>
      <c r="E272" s="217">
        <f>(3.45*8.45+3.05*6.55)*10.764</f>
        <v>528.83531999999991</v>
      </c>
      <c r="F272" s="216">
        <f t="shared" si="22"/>
        <v>1568.051082</v>
      </c>
      <c r="G272" s="220"/>
      <c r="H272" s="221"/>
      <c r="I272" s="30"/>
      <c r="L272" s="72"/>
      <c r="M272" s="72"/>
      <c r="N272" s="30"/>
    </row>
    <row r="273" spans="1:14" s="37" customFormat="1" ht="15.75" customHeight="1" x14ac:dyDescent="0.25">
      <c r="A273" s="224">
        <f t="shared" si="23"/>
        <v>3</v>
      </c>
      <c r="B273" s="225"/>
      <c r="C273" s="227">
        <v>2</v>
      </c>
      <c r="D273" s="217">
        <f>(57.29+2.19)*(10.764)</f>
        <v>640.24271999999996</v>
      </c>
      <c r="E273" s="216">
        <v>0</v>
      </c>
      <c r="F273" s="216">
        <f>D273*(($F$174)+1)+(IF(E273&lt;101,E273,IF(E273&lt;201,E273/2,IF(E273&lt;=301,E273/3,E273/4))))</f>
        <v>992.376216</v>
      </c>
      <c r="G273" s="220"/>
      <c r="H273" s="221"/>
      <c r="I273" s="30"/>
      <c r="L273" s="72"/>
      <c r="M273" s="72"/>
      <c r="N273" s="30"/>
    </row>
    <row r="274" spans="1:14" s="37" customFormat="1" ht="15.75" customHeight="1" x14ac:dyDescent="0.25">
      <c r="A274" s="224">
        <f t="shared" si="23"/>
        <v>4</v>
      </c>
      <c r="B274" s="225"/>
      <c r="C274" s="218" t="s">
        <v>186</v>
      </c>
      <c r="D274" s="228"/>
      <c r="E274" s="228"/>
      <c r="F274" s="219"/>
      <c r="G274" s="220"/>
      <c r="H274" s="221"/>
      <c r="I274" s="30"/>
      <c r="L274" s="72"/>
      <c r="M274" s="72"/>
      <c r="N274" s="30"/>
    </row>
    <row r="275" spans="1:14" s="52" customFormat="1" ht="15.75" customHeight="1" x14ac:dyDescent="0.25">
      <c r="A275" s="224">
        <f t="shared" si="23"/>
        <v>5</v>
      </c>
      <c r="B275" s="225"/>
      <c r="C275" s="220"/>
      <c r="D275" s="229"/>
      <c r="E275" s="229"/>
      <c r="F275" s="221"/>
      <c r="G275" s="220"/>
      <c r="H275" s="221"/>
      <c r="I275" s="52">
        <v>2</v>
      </c>
      <c r="J275" s="30"/>
    </row>
    <row r="276" spans="1:14" s="52" customFormat="1" ht="15.75" customHeight="1" x14ac:dyDescent="0.25">
      <c r="A276" s="224">
        <f t="shared" si="23"/>
        <v>6</v>
      </c>
      <c r="B276" s="225"/>
      <c r="C276" s="220"/>
      <c r="D276" s="229"/>
      <c r="E276" s="229"/>
      <c r="F276" s="221"/>
      <c r="G276" s="220"/>
      <c r="H276" s="221"/>
      <c r="I276" s="30"/>
      <c r="L276" s="72"/>
      <c r="M276" s="72"/>
      <c r="N276" s="30"/>
    </row>
    <row r="277" spans="1:14" s="52" customFormat="1" ht="15.75" customHeight="1" x14ac:dyDescent="0.25">
      <c r="A277" s="224">
        <f t="shared" si="23"/>
        <v>7</v>
      </c>
      <c r="B277" s="225"/>
      <c r="C277" s="222"/>
      <c r="D277" s="230"/>
      <c r="E277" s="230"/>
      <c r="F277" s="223"/>
      <c r="G277" s="220"/>
      <c r="H277" s="221"/>
      <c r="I277" s="30"/>
      <c r="L277" s="72"/>
      <c r="M277" s="72"/>
      <c r="N277" s="30"/>
    </row>
    <row r="278" spans="1:14" s="52" customFormat="1" ht="15.75" customHeight="1" x14ac:dyDescent="0.25">
      <c r="A278" s="224">
        <f t="shared" si="23"/>
        <v>8</v>
      </c>
      <c r="B278" s="225"/>
      <c r="C278" s="227">
        <v>2</v>
      </c>
      <c r="D278" s="217">
        <f>(57.29+2.19)*(10.764)</f>
        <v>640.24271999999996</v>
      </c>
      <c r="E278" s="216">
        <v>0</v>
      </c>
      <c r="F278" s="216">
        <f>D278*(($F$174)+1)+(IF(E278&lt;101,E278,IF(E278&lt;201,E278/2,IF(E278&lt;=301,E278/3,E278/4))))</f>
        <v>992.376216</v>
      </c>
      <c r="G278" s="222"/>
      <c r="H278" s="223"/>
      <c r="I278" s="30"/>
      <c r="L278" s="72"/>
      <c r="M278" s="72"/>
      <c r="N278" s="30"/>
    </row>
    <row r="279" spans="1:14" s="52" customFormat="1" ht="15.75" customHeight="1" x14ac:dyDescent="0.25">
      <c r="A279" s="79" t="s">
        <v>206</v>
      </c>
      <c r="B279" s="80"/>
      <c r="C279" s="80"/>
      <c r="D279" s="80"/>
      <c r="E279" s="80"/>
      <c r="F279" s="80"/>
      <c r="G279" s="80"/>
      <c r="H279" s="81"/>
      <c r="I279" s="30"/>
      <c r="L279" s="72"/>
      <c r="M279" s="72"/>
      <c r="N279" s="30"/>
    </row>
    <row r="280" spans="1:14" s="52" customFormat="1" ht="15.75" customHeight="1" x14ac:dyDescent="0.25">
      <c r="A280" s="224">
        <v>1</v>
      </c>
      <c r="B280" s="225"/>
      <c r="C280" s="227">
        <v>3</v>
      </c>
      <c r="D280" s="217">
        <f>(83.58+2.48)*(10.764)</f>
        <v>926.34983999999997</v>
      </c>
      <c r="E280" s="216">
        <v>0</v>
      </c>
      <c r="F280" s="216">
        <f t="shared" ref="F280:F281" si="24">D280*(($F$174)+1)+(IF(E280&lt;101,E280,IF(E280&lt;201,E280/2,IF(E280&lt;=301,E280/3,E280/4))))</f>
        <v>1435.8422519999999</v>
      </c>
      <c r="G280" s="218" t="str">
        <f>A279</f>
        <v>3rd Floor For Part Residential &amp; Parking</v>
      </c>
      <c r="H280" s="219"/>
      <c r="I280" s="30"/>
      <c r="L280" s="72"/>
      <c r="M280" s="72"/>
      <c r="N280" s="30"/>
    </row>
    <row r="281" spans="1:14" s="52" customFormat="1" ht="15.75" customHeight="1" x14ac:dyDescent="0.25">
      <c r="A281" s="224">
        <f t="shared" ref="A281:A287" si="25">A280+1</f>
        <v>2</v>
      </c>
      <c r="B281" s="225"/>
      <c r="C281" s="227">
        <v>3</v>
      </c>
      <c r="D281" s="217">
        <f>(83.58+2.48)*(10.764)</f>
        <v>926.34983999999997</v>
      </c>
      <c r="E281" s="216">
        <v>0</v>
      </c>
      <c r="F281" s="216">
        <f t="shared" si="24"/>
        <v>1435.8422519999999</v>
      </c>
      <c r="G281" s="220"/>
      <c r="H281" s="221"/>
      <c r="I281" s="30"/>
      <c r="L281" s="72"/>
      <c r="M281" s="72"/>
      <c r="N281" s="30"/>
    </row>
    <row r="282" spans="1:14" s="52" customFormat="1" ht="15.75" customHeight="1" x14ac:dyDescent="0.25">
      <c r="A282" s="224">
        <f t="shared" si="25"/>
        <v>3</v>
      </c>
      <c r="B282" s="225"/>
      <c r="C282" s="227">
        <v>2</v>
      </c>
      <c r="D282" s="217">
        <f>(57.29+2.19)*(10.764)</f>
        <v>640.24271999999996</v>
      </c>
      <c r="E282" s="216">
        <v>0</v>
      </c>
      <c r="F282" s="216">
        <f>D282*(($F$174)+1)+(IF(E282&lt;101,E282,IF(E282&lt;201,E282/2,IF(E282&lt;=301,E282/3,E282/4))))</f>
        <v>992.376216</v>
      </c>
      <c r="G282" s="220"/>
      <c r="H282" s="221"/>
      <c r="I282" s="30"/>
      <c r="L282" s="72"/>
      <c r="M282" s="72"/>
      <c r="N282" s="30"/>
    </row>
    <row r="283" spans="1:14" s="52" customFormat="1" ht="15.75" customHeight="1" x14ac:dyDescent="0.25">
      <c r="A283" s="224">
        <f t="shared" si="25"/>
        <v>4</v>
      </c>
      <c r="B283" s="225"/>
      <c r="C283" s="218" t="s">
        <v>186</v>
      </c>
      <c r="D283" s="228"/>
      <c r="E283" s="228"/>
      <c r="F283" s="219"/>
      <c r="G283" s="220"/>
      <c r="H283" s="221"/>
      <c r="I283" s="30"/>
      <c r="L283" s="72"/>
      <c r="M283" s="72"/>
      <c r="N283" s="30"/>
    </row>
    <row r="284" spans="1:14" s="37" customFormat="1" ht="15.75" customHeight="1" x14ac:dyDescent="0.25">
      <c r="A284" s="224">
        <f t="shared" si="25"/>
        <v>5</v>
      </c>
      <c r="B284" s="225"/>
      <c r="C284" s="220"/>
      <c r="D284" s="229"/>
      <c r="E284" s="229"/>
      <c r="F284" s="221"/>
      <c r="G284" s="220"/>
      <c r="H284" s="221"/>
      <c r="I284" s="37">
        <v>1</v>
      </c>
      <c r="J284" s="30"/>
    </row>
    <row r="285" spans="1:14" s="37" customFormat="1" ht="15.75" customHeight="1" x14ac:dyDescent="0.25">
      <c r="A285" s="224">
        <f t="shared" si="25"/>
        <v>6</v>
      </c>
      <c r="B285" s="225"/>
      <c r="C285" s="220"/>
      <c r="D285" s="229"/>
      <c r="E285" s="229"/>
      <c r="F285" s="221"/>
      <c r="G285" s="220"/>
      <c r="H285" s="221"/>
      <c r="I285" s="30"/>
      <c r="L285" s="72"/>
      <c r="M285" s="72"/>
      <c r="N285" s="30"/>
    </row>
    <row r="286" spans="1:14" s="37" customFormat="1" ht="15.75" customHeight="1" x14ac:dyDescent="0.25">
      <c r="A286" s="224">
        <f t="shared" si="25"/>
        <v>7</v>
      </c>
      <c r="B286" s="225"/>
      <c r="C286" s="222"/>
      <c r="D286" s="230"/>
      <c r="E286" s="230"/>
      <c r="F286" s="223"/>
      <c r="G286" s="220"/>
      <c r="H286" s="221"/>
      <c r="I286" s="30"/>
      <c r="L286" s="72"/>
      <c r="M286" s="72"/>
      <c r="N286" s="30"/>
    </row>
    <row r="287" spans="1:14" s="37" customFormat="1" ht="15.75" customHeight="1" x14ac:dyDescent="0.25">
      <c r="A287" s="224">
        <f t="shared" si="25"/>
        <v>8</v>
      </c>
      <c r="B287" s="225"/>
      <c r="C287" s="227">
        <v>2</v>
      </c>
      <c r="D287" s="217">
        <f>(57.29+2.19)*(10.764)</f>
        <v>640.24271999999996</v>
      </c>
      <c r="E287" s="216">
        <v>0</v>
      </c>
      <c r="F287" s="216">
        <f>D287*(($F$174)+1)+(IF(E287&lt;101,E287,IF(E287&lt;201,E287/2,IF(E287&lt;=301,E287/3,E287/4))))</f>
        <v>992.376216</v>
      </c>
      <c r="G287" s="222"/>
      <c r="H287" s="223"/>
      <c r="I287" s="30"/>
      <c r="L287" s="72"/>
      <c r="M287" s="72"/>
      <c r="N287" s="30"/>
    </row>
    <row r="288" spans="1:14" s="37" customFormat="1" ht="15.75" customHeight="1" x14ac:dyDescent="0.25">
      <c r="A288" s="79" t="s">
        <v>219</v>
      </c>
      <c r="B288" s="80"/>
      <c r="C288" s="80"/>
      <c r="D288" s="80"/>
      <c r="E288" s="80"/>
      <c r="F288" s="80"/>
      <c r="G288" s="80"/>
      <c r="H288" s="81"/>
      <c r="I288" s="30"/>
      <c r="L288" s="72"/>
      <c r="M288" s="72"/>
      <c r="N288" s="30"/>
    </row>
    <row r="289" spans="1:14" s="37" customFormat="1" ht="15.75" customHeight="1" x14ac:dyDescent="0.25">
      <c r="A289" s="224">
        <v>1</v>
      </c>
      <c r="B289" s="225"/>
      <c r="C289" s="227">
        <v>3</v>
      </c>
      <c r="D289" s="217">
        <f>(83.58+2.48)*(10.764)</f>
        <v>926.34983999999997</v>
      </c>
      <c r="E289" s="216">
        <v>0</v>
      </c>
      <c r="F289" s="216">
        <f t="shared" ref="F289:F290" si="26">D289*(($F$174)+1)+(IF(E289&lt;101,E289,IF(E289&lt;201,E289/2,IF(E289&lt;=301,E289/3,E289/4))))</f>
        <v>1435.8422519999999</v>
      </c>
      <c r="G289" s="218" t="str">
        <f>A288</f>
        <v>4th Floor For Residential, Society Office &amp; E-Deck</v>
      </c>
      <c r="H289" s="219"/>
      <c r="I289" s="30"/>
      <c r="L289" s="72"/>
      <c r="M289" s="72"/>
      <c r="N289" s="30"/>
    </row>
    <row r="290" spans="1:14" s="37" customFormat="1" ht="15.75" customHeight="1" x14ac:dyDescent="0.25">
      <c r="A290" s="224">
        <f t="shared" ref="A290:A296" si="27">A289+1</f>
        <v>2</v>
      </c>
      <c r="B290" s="225"/>
      <c r="C290" s="227">
        <v>3</v>
      </c>
      <c r="D290" s="217">
        <f>(83.58+2.48)*(10.764)</f>
        <v>926.34983999999997</v>
      </c>
      <c r="E290" s="216">
        <v>0</v>
      </c>
      <c r="F290" s="216">
        <f t="shared" si="26"/>
        <v>1435.8422519999999</v>
      </c>
      <c r="G290" s="220"/>
      <c r="H290" s="221"/>
      <c r="I290" s="30"/>
      <c r="L290" s="72"/>
      <c r="M290" s="72"/>
      <c r="N290" s="30"/>
    </row>
    <row r="291" spans="1:14" s="37" customFormat="1" ht="15.75" customHeight="1" x14ac:dyDescent="0.25">
      <c r="A291" s="224">
        <f t="shared" si="27"/>
        <v>3</v>
      </c>
      <c r="B291" s="225"/>
      <c r="C291" s="227">
        <v>2</v>
      </c>
      <c r="D291" s="217">
        <f>(57.29+2.19)*(10.764)</f>
        <v>640.24271999999996</v>
      </c>
      <c r="E291" s="216">
        <v>0</v>
      </c>
      <c r="F291" s="216">
        <f>D291*(($F$174)+1)+(IF(E291&lt;101,E291,IF(E291&lt;201,E291/2,IF(E291&lt;=301,E291/3,E291/4))))</f>
        <v>992.376216</v>
      </c>
      <c r="G291" s="220"/>
      <c r="H291" s="221"/>
      <c r="I291" s="30"/>
      <c r="L291" s="72"/>
      <c r="M291" s="72"/>
      <c r="N291" s="30"/>
    </row>
    <row r="292" spans="1:14" s="37" customFormat="1" ht="15.75" customHeight="1" x14ac:dyDescent="0.25">
      <c r="A292" s="224">
        <f t="shared" si="27"/>
        <v>4</v>
      </c>
      <c r="B292" s="225"/>
      <c r="C292" s="224" t="s">
        <v>217</v>
      </c>
      <c r="D292" s="241"/>
      <c r="E292" s="241"/>
      <c r="F292" s="225"/>
      <c r="G292" s="220"/>
      <c r="H292" s="221"/>
      <c r="I292" s="30"/>
      <c r="L292" s="72"/>
      <c r="M292" s="72"/>
      <c r="N292" s="30"/>
    </row>
    <row r="293" spans="1:14" s="37" customFormat="1" ht="15.75" customHeight="1" x14ac:dyDescent="0.25">
      <c r="A293" s="224">
        <f t="shared" si="27"/>
        <v>5</v>
      </c>
      <c r="B293" s="225"/>
      <c r="C293" s="220" t="s">
        <v>224</v>
      </c>
      <c r="D293" s="229"/>
      <c r="E293" s="229"/>
      <c r="F293" s="221"/>
      <c r="G293" s="220"/>
      <c r="H293" s="221"/>
      <c r="I293" s="37">
        <v>4</v>
      </c>
      <c r="J293" s="30"/>
    </row>
    <row r="294" spans="1:14" s="37" customFormat="1" ht="15.75" customHeight="1" x14ac:dyDescent="0.25">
      <c r="A294" s="224">
        <f t="shared" si="27"/>
        <v>6</v>
      </c>
      <c r="B294" s="225"/>
      <c r="C294" s="220"/>
      <c r="D294" s="229"/>
      <c r="E294" s="229"/>
      <c r="F294" s="221"/>
      <c r="G294" s="220"/>
      <c r="H294" s="221"/>
      <c r="I294" s="30">
        <f>3.3*5.2+2.89*2.34+3.05*3.51+3.4*4.28+3.81*3.1+1.37*(2.29+2.29)+1.52*2.44+1.15+1.8*1.2+4.5*0.9+0.9*2.6+0.75*3.25</f>
        <v>83.111999999999995</v>
      </c>
      <c r="J294" s="53">
        <f>1.04*2.39</f>
        <v>2.4856000000000003</v>
      </c>
      <c r="L294" s="72"/>
      <c r="M294" s="72"/>
      <c r="N294" s="30"/>
    </row>
    <row r="295" spans="1:14" s="37" customFormat="1" ht="15.75" customHeight="1" x14ac:dyDescent="0.25">
      <c r="A295" s="224">
        <f t="shared" si="27"/>
        <v>7</v>
      </c>
      <c r="B295" s="225"/>
      <c r="C295" s="222"/>
      <c r="D295" s="230"/>
      <c r="E295" s="230"/>
      <c r="F295" s="223"/>
      <c r="G295" s="220"/>
      <c r="H295" s="221"/>
      <c r="I295" s="30"/>
      <c r="L295" s="72"/>
      <c r="M295" s="72"/>
      <c r="N295" s="30"/>
    </row>
    <row r="296" spans="1:14" s="37" customFormat="1" ht="15.75" customHeight="1" x14ac:dyDescent="0.25">
      <c r="A296" s="224">
        <f t="shared" si="27"/>
        <v>8</v>
      </c>
      <c r="B296" s="225"/>
      <c r="C296" s="227">
        <v>2</v>
      </c>
      <c r="D296" s="217">
        <f>(57.29+2.19)*(10.764)</f>
        <v>640.24271999999996</v>
      </c>
      <c r="E296" s="216">
        <v>0</v>
      </c>
      <c r="F296" s="216">
        <f>D296*(($F$174)+1)+(IF(E296&lt;101,E296,IF(E296&lt;201,E296/2,IF(E296&lt;=301,E296/3,E296/4))))</f>
        <v>992.376216</v>
      </c>
      <c r="G296" s="222"/>
      <c r="H296" s="223"/>
      <c r="I296" s="30">
        <f>3.05*4.88+2.14*2.59+3.05*(3.52+3.81)+1.37*(2.29+2.3)+2.34*1.05+2.7*0.9+0.9*1.13+0.75*2.4</f>
        <v>56.775400000000005</v>
      </c>
      <c r="J296" s="55">
        <f>2.09*1.05</f>
        <v>2.1945000000000001</v>
      </c>
      <c r="L296" s="72"/>
      <c r="M296" s="72"/>
      <c r="N296" s="30"/>
    </row>
    <row r="297" spans="1:14" s="37" customFormat="1" ht="15.75" customHeight="1" x14ac:dyDescent="0.25">
      <c r="A297" s="73" t="s">
        <v>258</v>
      </c>
      <c r="B297" s="73"/>
      <c r="C297" s="73"/>
      <c r="D297" s="73"/>
      <c r="E297" s="73"/>
      <c r="F297" s="73"/>
      <c r="G297" s="73"/>
      <c r="H297" s="73"/>
      <c r="I297" s="30"/>
      <c r="L297" s="72"/>
      <c r="M297" s="72"/>
      <c r="N297" s="30"/>
    </row>
    <row r="298" spans="1:14" s="37" customFormat="1" ht="15.75" customHeight="1" x14ac:dyDescent="0.25">
      <c r="A298" s="215">
        <v>1</v>
      </c>
      <c r="B298" s="215"/>
      <c r="C298" s="227">
        <v>3</v>
      </c>
      <c r="D298" s="217">
        <f>(83.58+2.48)*(10.764)</f>
        <v>926.34983999999997</v>
      </c>
      <c r="E298" s="216">
        <v>0</v>
      </c>
      <c r="F298" s="216">
        <f t="shared" ref="F298:F299" si="28">D298*(($F$174)+1)+(IF(E298&lt;101,E298,IF(E298&lt;201,E298/2,IF(E298&lt;=301,E298/3,E298/4))))</f>
        <v>1435.8422519999999</v>
      </c>
      <c r="G298" s="215" t="str">
        <f>A297</f>
        <v>5th, 6th, 8th &amp; 9th Floor For Residnential</v>
      </c>
      <c r="H298" s="215"/>
      <c r="I298" s="30"/>
      <c r="L298" s="72"/>
      <c r="M298" s="72"/>
      <c r="N298" s="30"/>
    </row>
    <row r="299" spans="1:14" s="37" customFormat="1" ht="15.75" customHeight="1" x14ac:dyDescent="0.25">
      <c r="A299" s="215">
        <f t="shared" ref="A299:A305" si="29">A298+1</f>
        <v>2</v>
      </c>
      <c r="B299" s="215"/>
      <c r="C299" s="227">
        <v>3</v>
      </c>
      <c r="D299" s="217">
        <f>(83.57+2.48)*(10.764)</f>
        <v>926.24219999999991</v>
      </c>
      <c r="E299" s="216">
        <v>0</v>
      </c>
      <c r="F299" s="216">
        <f t="shared" si="28"/>
        <v>1435.6754099999998</v>
      </c>
      <c r="G299" s="215"/>
      <c r="H299" s="215"/>
      <c r="I299" s="30"/>
      <c r="L299" s="72"/>
      <c r="M299" s="72"/>
      <c r="N299" s="30"/>
    </row>
    <row r="300" spans="1:14" s="37" customFormat="1" ht="15.75" customHeight="1" x14ac:dyDescent="0.25">
      <c r="A300" s="215">
        <f t="shared" si="29"/>
        <v>3</v>
      </c>
      <c r="B300" s="215"/>
      <c r="C300" s="227">
        <v>2</v>
      </c>
      <c r="D300" s="217">
        <f>(57.29+2.19)*(10.764)</f>
        <v>640.24271999999996</v>
      </c>
      <c r="E300" s="216">
        <v>0</v>
      </c>
      <c r="F300" s="216">
        <f>D300*(($F$174)+1)+(IF(E300&lt;101,E300,IF(E300&lt;201,E300/2,IF(E300&lt;=301,E300/3,E300/4))))</f>
        <v>992.376216</v>
      </c>
      <c r="G300" s="215"/>
      <c r="H300" s="215"/>
      <c r="I300" s="30"/>
      <c r="L300" s="72"/>
      <c r="M300" s="72"/>
      <c r="N300" s="30"/>
    </row>
    <row r="301" spans="1:14" s="37" customFormat="1" ht="15.75" customHeight="1" x14ac:dyDescent="0.25">
      <c r="A301" s="215">
        <f t="shared" si="29"/>
        <v>4</v>
      </c>
      <c r="B301" s="215"/>
      <c r="C301" s="227">
        <v>2</v>
      </c>
      <c r="D301" s="217">
        <f>(57.29+2.19)*(10.764)</f>
        <v>640.24271999999996</v>
      </c>
      <c r="E301" s="216">
        <v>0</v>
      </c>
      <c r="F301" s="216">
        <f>D301*(($F$174)+1)+(IF(E301&lt;101,E301,IF(E301&lt;201,E301/2,IF(E301&lt;=301,E301/3,E301/4))))</f>
        <v>992.376216</v>
      </c>
      <c r="G301" s="215"/>
      <c r="H301" s="215"/>
      <c r="I301" s="30"/>
      <c r="L301" s="72"/>
      <c r="M301" s="72"/>
      <c r="N301" s="30"/>
    </row>
    <row r="302" spans="1:14" s="37" customFormat="1" ht="15.75" customHeight="1" x14ac:dyDescent="0.25">
      <c r="A302" s="215">
        <f t="shared" si="29"/>
        <v>5</v>
      </c>
      <c r="B302" s="215"/>
      <c r="C302" s="227">
        <v>3</v>
      </c>
      <c r="D302" s="217">
        <f>(82.46+2.05)*(10.764)</f>
        <v>909.66563999999983</v>
      </c>
      <c r="E302" s="216">
        <v>0</v>
      </c>
      <c r="F302" s="216">
        <f t="shared" ref="F302:F303" si="30">D302*(($F$174)+1)+(IF(E302&lt;101,E302,IF(E302&lt;201,E302/2,IF(E302&lt;=301,E302/3,E302/4))))</f>
        <v>1409.9817419999997</v>
      </c>
      <c r="G302" s="215"/>
      <c r="H302" s="215"/>
      <c r="I302" s="49">
        <v>1</v>
      </c>
      <c r="J302" s="48"/>
      <c r="K302" s="48"/>
    </row>
    <row r="303" spans="1:14" s="37" customFormat="1" ht="15.75" customHeight="1" x14ac:dyDescent="0.25">
      <c r="A303" s="215">
        <f t="shared" si="29"/>
        <v>6</v>
      </c>
      <c r="B303" s="215"/>
      <c r="C303" s="227">
        <v>3</v>
      </c>
      <c r="D303" s="217">
        <f>(82.46+2.05)*(10.764)</f>
        <v>909.66563999999983</v>
      </c>
      <c r="E303" s="216">
        <v>0</v>
      </c>
      <c r="F303" s="216">
        <f t="shared" si="30"/>
        <v>1409.9817419999997</v>
      </c>
      <c r="G303" s="215"/>
      <c r="H303" s="215"/>
      <c r="I303" s="30"/>
      <c r="L303" s="72"/>
      <c r="M303" s="72"/>
      <c r="N303" s="30"/>
    </row>
    <row r="304" spans="1:14" s="37" customFormat="1" ht="15.75" customHeight="1" x14ac:dyDescent="0.25">
      <c r="A304" s="215">
        <f t="shared" si="29"/>
        <v>7</v>
      </c>
      <c r="B304" s="215"/>
      <c r="C304" s="227">
        <v>2</v>
      </c>
      <c r="D304" s="217">
        <f>(57.25+2.19)*(10.764)</f>
        <v>639.81215999999995</v>
      </c>
      <c r="E304" s="216">
        <v>0</v>
      </c>
      <c r="F304" s="216">
        <f>D304*(($F$174)+1)+(IF(E304&lt;101,E304,IF(E304&lt;201,E304/2,IF(E304&lt;=301,E304/3,E304/4))))</f>
        <v>991.70884799999999</v>
      </c>
      <c r="G304" s="215"/>
      <c r="H304" s="215"/>
      <c r="I304" s="30"/>
      <c r="L304" s="72"/>
      <c r="M304" s="72"/>
      <c r="N304" s="30"/>
    </row>
    <row r="305" spans="1:14" s="37" customFormat="1" ht="15.75" customHeight="1" x14ac:dyDescent="0.25">
      <c r="A305" s="215">
        <f t="shared" si="29"/>
        <v>8</v>
      </c>
      <c r="B305" s="215"/>
      <c r="C305" s="227">
        <v>2</v>
      </c>
      <c r="D305" s="217">
        <f>(57.29+2.19)*(10.764)</f>
        <v>640.24271999999996</v>
      </c>
      <c r="E305" s="216">
        <v>0</v>
      </c>
      <c r="F305" s="216">
        <f>D305*(($F$174)+1)+(IF(E305&lt;101,E305,IF(E305&lt;201,E305/2,IF(E305&lt;=301,E305/3,E305/4))))</f>
        <v>992.376216</v>
      </c>
      <c r="G305" s="215"/>
      <c r="H305" s="215"/>
      <c r="I305" s="30"/>
      <c r="L305" s="72"/>
      <c r="M305" s="72"/>
      <c r="N305" s="30"/>
    </row>
    <row r="306" spans="1:14" s="37" customFormat="1" ht="15.75" customHeight="1" x14ac:dyDescent="0.25">
      <c r="A306" s="73" t="s">
        <v>188</v>
      </c>
      <c r="B306" s="73"/>
      <c r="C306" s="73"/>
      <c r="D306" s="73"/>
      <c r="E306" s="73"/>
      <c r="F306" s="73"/>
      <c r="G306" s="73"/>
      <c r="H306" s="73"/>
      <c r="I306" s="30"/>
      <c r="L306" s="72"/>
      <c r="M306" s="72"/>
      <c r="N306" s="30"/>
    </row>
    <row r="307" spans="1:14" s="37" customFormat="1" ht="15.75" customHeight="1" x14ac:dyDescent="0.25">
      <c r="A307" s="215">
        <v>1</v>
      </c>
      <c r="B307" s="215"/>
      <c r="C307" s="227">
        <v>3</v>
      </c>
      <c r="D307" s="217">
        <f>(83.58+2.48)*(10.764)</f>
        <v>926.34983999999997</v>
      </c>
      <c r="E307" s="216">
        <v>0</v>
      </c>
      <c r="F307" s="216">
        <f t="shared" ref="F307:F308" si="31">D307*(($F$174)+1)+(IF(E307&lt;101,E307,IF(E307&lt;201,E307/2,IF(E307&lt;=301,E307/3,E307/4))))</f>
        <v>1435.8422519999999</v>
      </c>
      <c r="G307" s="215" t="str">
        <f>A306</f>
        <v>7th Floor (Part Refuge Area)</v>
      </c>
      <c r="H307" s="215"/>
      <c r="I307" s="30"/>
      <c r="L307" s="72"/>
      <c r="M307" s="72"/>
      <c r="N307" s="30"/>
    </row>
    <row r="308" spans="1:14" s="37" customFormat="1" ht="15.75" customHeight="1" x14ac:dyDescent="0.25">
      <c r="A308" s="215">
        <f t="shared" ref="A308:A314" si="32">A307+1</f>
        <v>2</v>
      </c>
      <c r="B308" s="215"/>
      <c r="C308" s="227">
        <v>3</v>
      </c>
      <c r="D308" s="217">
        <f>(83.57+2.48)*(10.764)</f>
        <v>926.24219999999991</v>
      </c>
      <c r="E308" s="216">
        <v>0</v>
      </c>
      <c r="F308" s="216">
        <f t="shared" si="31"/>
        <v>1435.6754099999998</v>
      </c>
      <c r="G308" s="215"/>
      <c r="H308" s="215"/>
      <c r="I308" s="30"/>
      <c r="L308" s="72"/>
      <c r="M308" s="72"/>
      <c r="N308" s="30"/>
    </row>
    <row r="309" spans="1:14" s="37" customFormat="1" ht="15.75" customHeight="1" x14ac:dyDescent="0.25">
      <c r="A309" s="215">
        <f t="shared" si="32"/>
        <v>3</v>
      </c>
      <c r="B309" s="215"/>
      <c r="C309" s="227">
        <v>2</v>
      </c>
      <c r="D309" s="217">
        <f>(57.29+2.19)*(10.764)</f>
        <v>640.24271999999996</v>
      </c>
      <c r="E309" s="216">
        <v>0</v>
      </c>
      <c r="F309" s="216">
        <f>D309*(($F$174)+1)+(IF(E309&lt;101,E309,IF(E309&lt;201,E309/2,IF(E309&lt;=301,E309/3,E309/4))))</f>
        <v>992.376216</v>
      </c>
      <c r="G309" s="215"/>
      <c r="H309" s="215"/>
      <c r="I309" s="30"/>
      <c r="L309" s="72"/>
      <c r="M309" s="72"/>
      <c r="N309" s="30"/>
    </row>
    <row r="310" spans="1:14" s="37" customFormat="1" ht="15.75" customHeight="1" x14ac:dyDescent="0.25">
      <c r="A310" s="215">
        <f t="shared" si="32"/>
        <v>4</v>
      </c>
      <c r="B310" s="215"/>
      <c r="C310" s="227">
        <v>2</v>
      </c>
      <c r="D310" s="217">
        <f>(57.29+2.19)*(10.764)</f>
        <v>640.24271999999996</v>
      </c>
      <c r="E310" s="216">
        <v>0</v>
      </c>
      <c r="F310" s="216">
        <f>D310*(($F$174)+1)+(IF(E310&lt;101,E310,IF(E310&lt;201,E310/2,IF(E310&lt;=301,E310/3,E310/4))))</f>
        <v>992.376216</v>
      </c>
      <c r="G310" s="215"/>
      <c r="H310" s="215"/>
      <c r="I310" s="30"/>
      <c r="L310" s="72"/>
      <c r="M310" s="72"/>
      <c r="N310" s="30"/>
    </row>
    <row r="311" spans="1:14" s="31" customFormat="1" x14ac:dyDescent="0.25">
      <c r="A311" s="215">
        <f t="shared" si="32"/>
        <v>5</v>
      </c>
      <c r="B311" s="215"/>
      <c r="C311" s="227">
        <v>3</v>
      </c>
      <c r="D311" s="217">
        <f>(82.46+2.05)*(10.764)</f>
        <v>909.66563999999983</v>
      </c>
      <c r="E311" s="216">
        <v>0</v>
      </c>
      <c r="F311" s="216">
        <f t="shared" ref="F311:F312" si="33">D311*(($F$174)+1)+(IF(E311&lt;101,E311,IF(E311&lt;201,E311/2,IF(E311&lt;=301,E311/3,E311/4))))</f>
        <v>1409.9817419999997</v>
      </c>
      <c r="G311" s="215"/>
      <c r="H311" s="215"/>
      <c r="I311" s="30"/>
      <c r="L311" s="72"/>
      <c r="M311" s="72"/>
    </row>
    <row r="312" spans="1:14" s="31" customFormat="1" x14ac:dyDescent="0.25">
      <c r="A312" s="215">
        <f t="shared" si="32"/>
        <v>6</v>
      </c>
      <c r="B312" s="215"/>
      <c r="C312" s="227">
        <v>3</v>
      </c>
      <c r="D312" s="217">
        <f>(82.46+2.05)*(10.764)</f>
        <v>909.66563999999983</v>
      </c>
      <c r="E312" s="216">
        <v>0</v>
      </c>
      <c r="F312" s="216">
        <f t="shared" si="33"/>
        <v>1409.9817419999997</v>
      </c>
      <c r="G312" s="215"/>
      <c r="H312" s="215"/>
      <c r="I312" s="30"/>
      <c r="N312" s="30"/>
    </row>
    <row r="313" spans="1:14" s="44" customFormat="1" ht="15.75" customHeight="1" x14ac:dyDescent="0.25">
      <c r="A313" s="215">
        <f t="shared" si="32"/>
        <v>7</v>
      </c>
      <c r="B313" s="215"/>
      <c r="C313" s="227">
        <v>2</v>
      </c>
      <c r="D313" s="217">
        <f>(57.25+2.19)*(10.764)</f>
        <v>639.81215999999995</v>
      </c>
      <c r="E313" s="216">
        <v>0</v>
      </c>
      <c r="F313" s="216">
        <f>D313*(($F$174)+1)+(IF(E313&lt;101,E313,IF(E313&lt;201,E313/2,IF(E313&lt;=301,E313/3,E313/4))))</f>
        <v>991.70884799999999</v>
      </c>
      <c r="G313" s="215"/>
      <c r="H313" s="215"/>
      <c r="I313" s="30"/>
      <c r="L313" s="72"/>
      <c r="M313" s="72"/>
      <c r="N313" s="30"/>
    </row>
    <row r="314" spans="1:14" s="44" customFormat="1" ht="15.75" customHeight="1" x14ac:dyDescent="0.25">
      <c r="A314" s="215">
        <f t="shared" si="32"/>
        <v>8</v>
      </c>
      <c r="B314" s="215"/>
      <c r="C314" s="215" t="s">
        <v>187</v>
      </c>
      <c r="D314" s="215"/>
      <c r="E314" s="215"/>
      <c r="F314" s="215"/>
      <c r="G314" s="215"/>
      <c r="H314" s="215"/>
      <c r="I314" s="30"/>
      <c r="L314" s="72"/>
      <c r="M314" s="72"/>
      <c r="N314" s="30"/>
    </row>
    <row r="315" spans="1:14" s="44" customFormat="1" ht="15.75" customHeight="1" x14ac:dyDescent="0.25">
      <c r="A315" s="242" t="s">
        <v>222</v>
      </c>
      <c r="B315" s="73"/>
      <c r="C315" s="73"/>
      <c r="D315" s="73"/>
      <c r="E315" s="73"/>
      <c r="F315" s="73"/>
      <c r="G315" s="73"/>
      <c r="H315" s="73"/>
      <c r="I315" s="30"/>
      <c r="L315" s="72"/>
      <c r="M315" s="72"/>
      <c r="N315" s="30"/>
    </row>
    <row r="316" spans="1:14" s="44" customFormat="1" ht="15.75" customHeight="1" x14ac:dyDescent="0.25">
      <c r="A316" s="215">
        <v>1</v>
      </c>
      <c r="B316" s="215"/>
      <c r="C316" s="227">
        <v>3</v>
      </c>
      <c r="D316" s="217">
        <f>(83.58+7.29)*(10.764)</f>
        <v>978.12468000000001</v>
      </c>
      <c r="E316" s="216">
        <v>0</v>
      </c>
      <c r="F316" s="216">
        <f t="shared" ref="F316:F317" si="34">D316*(($F$174)+1)+(IF(E316&lt;101,E316,IF(E316&lt;201,E316/2,IF(E316&lt;=301,E316/3,E316/4))))</f>
        <v>1516.0932540000001</v>
      </c>
      <c r="G316" s="215" t="str">
        <f>A315</f>
        <v>10th, 11th, 13th to 16th, 18th &amp; 19th Floor</v>
      </c>
      <c r="H316" s="215"/>
      <c r="I316" s="30"/>
      <c r="L316" s="72"/>
      <c r="M316" s="72"/>
      <c r="N316" s="30"/>
    </row>
    <row r="317" spans="1:14" s="44" customFormat="1" ht="15.75" customHeight="1" x14ac:dyDescent="0.25">
      <c r="A317" s="215">
        <f t="shared" ref="A317:A323" si="35">A316+1</f>
        <v>2</v>
      </c>
      <c r="B317" s="215"/>
      <c r="C317" s="227">
        <v>3</v>
      </c>
      <c r="D317" s="217">
        <f>(83.57+7.29)*(10.764)</f>
        <v>978.01703999999995</v>
      </c>
      <c r="E317" s="216">
        <v>0</v>
      </c>
      <c r="F317" s="216">
        <f t="shared" si="34"/>
        <v>1515.926412</v>
      </c>
      <c r="G317" s="215"/>
      <c r="H317" s="215"/>
      <c r="I317" s="30"/>
      <c r="L317" s="72"/>
      <c r="M317" s="72"/>
      <c r="N317" s="30"/>
    </row>
    <row r="318" spans="1:14" s="44" customFormat="1" ht="15.75" customHeight="1" x14ac:dyDescent="0.25">
      <c r="A318" s="215">
        <f t="shared" si="35"/>
        <v>3</v>
      </c>
      <c r="B318" s="215"/>
      <c r="C318" s="227">
        <v>2</v>
      </c>
      <c r="D318" s="217">
        <f>(57.29+2.19)*(10.764)</f>
        <v>640.24271999999996</v>
      </c>
      <c r="E318" s="216">
        <v>0</v>
      </c>
      <c r="F318" s="216">
        <f>D318*(($F$174)+1)+(IF(E318&lt;101,E318,IF(E318&lt;201,E318/2,IF(E318&lt;=301,E318/3,E318/4))))</f>
        <v>992.376216</v>
      </c>
      <c r="G318" s="215"/>
      <c r="H318" s="215"/>
      <c r="I318" s="30"/>
      <c r="L318" s="72"/>
      <c r="M318" s="72"/>
      <c r="N318" s="30"/>
    </row>
    <row r="319" spans="1:14" s="44" customFormat="1" ht="15.75" customHeight="1" x14ac:dyDescent="0.25">
      <c r="A319" s="215">
        <f t="shared" si="35"/>
        <v>4</v>
      </c>
      <c r="B319" s="215"/>
      <c r="C319" s="227">
        <v>2</v>
      </c>
      <c r="D319" s="217">
        <f>(57.29+2.19)*(10.764)</f>
        <v>640.24271999999996</v>
      </c>
      <c r="E319" s="216">
        <v>0</v>
      </c>
      <c r="F319" s="216">
        <f>D319*(($F$174)+1)+(IF(E319&lt;101,E319,IF(E319&lt;201,E319/2,IF(E319&lt;=301,E319/3,E319/4))))</f>
        <v>992.376216</v>
      </c>
      <c r="G319" s="215"/>
      <c r="H319" s="215"/>
      <c r="I319" s="30"/>
      <c r="L319" s="72"/>
      <c r="M319" s="72"/>
      <c r="N319" s="30"/>
    </row>
    <row r="320" spans="1:14" s="44" customFormat="1" ht="15.75" customHeight="1" x14ac:dyDescent="0.25">
      <c r="A320" s="215">
        <f t="shared" si="35"/>
        <v>5</v>
      </c>
      <c r="B320" s="215"/>
      <c r="C320" s="227">
        <v>3</v>
      </c>
      <c r="D320" s="217">
        <f>(82.46+6.86)*(10.764)</f>
        <v>961.44047999999987</v>
      </c>
      <c r="E320" s="216">
        <v>0</v>
      </c>
      <c r="F320" s="216">
        <f t="shared" ref="F320:F321" si="36">D320*(($F$174)+1)+(IF(E320&lt;101,E320,IF(E320&lt;201,E320/2,IF(E320&lt;=301,E320/3,E320/4))))</f>
        <v>1490.2327439999999</v>
      </c>
      <c r="G320" s="215"/>
      <c r="H320" s="215"/>
      <c r="I320" s="49">
        <v>2</v>
      </c>
      <c r="J320" s="48"/>
      <c r="K320" s="48"/>
    </row>
    <row r="321" spans="1:14" s="44" customFormat="1" ht="15.75" customHeight="1" x14ac:dyDescent="0.25">
      <c r="A321" s="215">
        <f t="shared" si="35"/>
        <v>6</v>
      </c>
      <c r="B321" s="215"/>
      <c r="C321" s="227">
        <v>3</v>
      </c>
      <c r="D321" s="217">
        <f>(82.46+6.86)*(10.764)</f>
        <v>961.44047999999987</v>
      </c>
      <c r="E321" s="216">
        <v>0</v>
      </c>
      <c r="F321" s="216">
        <f t="shared" si="36"/>
        <v>1490.2327439999999</v>
      </c>
      <c r="G321" s="215"/>
      <c r="H321" s="215"/>
      <c r="I321" s="30"/>
      <c r="L321" s="72"/>
      <c r="M321" s="72"/>
      <c r="N321" s="30"/>
    </row>
    <row r="322" spans="1:14" s="44" customFormat="1" ht="15.75" customHeight="1" x14ac:dyDescent="0.25">
      <c r="A322" s="215">
        <f t="shared" si="35"/>
        <v>7</v>
      </c>
      <c r="B322" s="215"/>
      <c r="C322" s="227">
        <v>2</v>
      </c>
      <c r="D322" s="217">
        <f>(57.25+2.19)*(10.764)</f>
        <v>639.81215999999995</v>
      </c>
      <c r="E322" s="216">
        <v>0</v>
      </c>
      <c r="F322" s="216">
        <f>D322*(($F$174)+1)+(IF(E322&lt;101,E322,IF(E322&lt;201,E322/2,IF(E322&lt;=301,E322/3,E322/4))))</f>
        <v>991.70884799999999</v>
      </c>
      <c r="G322" s="215"/>
      <c r="H322" s="215"/>
      <c r="I322" s="30"/>
      <c r="L322" s="72"/>
      <c r="M322" s="72"/>
      <c r="N322" s="30"/>
    </row>
    <row r="323" spans="1:14" s="44" customFormat="1" ht="15.75" customHeight="1" x14ac:dyDescent="0.25">
      <c r="A323" s="215">
        <f t="shared" si="35"/>
        <v>8</v>
      </c>
      <c r="B323" s="215"/>
      <c r="C323" s="227">
        <v>2</v>
      </c>
      <c r="D323" s="217">
        <f>(57.29+2.19)*(10.764)</f>
        <v>640.24271999999996</v>
      </c>
      <c r="E323" s="216">
        <v>0</v>
      </c>
      <c r="F323" s="216">
        <f>D323*(($F$174)+1)+(IF(E323&lt;101,E323,IF(E323&lt;201,E323/2,IF(E323&lt;=301,E323/3,E323/4))))</f>
        <v>992.376216</v>
      </c>
      <c r="G323" s="215"/>
      <c r="H323" s="215"/>
      <c r="I323" s="30"/>
      <c r="L323" s="72"/>
      <c r="M323" s="72"/>
      <c r="N323" s="30"/>
    </row>
    <row r="324" spans="1:14" s="44" customFormat="1" ht="15.75" customHeight="1" x14ac:dyDescent="0.25">
      <c r="A324" s="73" t="s">
        <v>189</v>
      </c>
      <c r="B324" s="73"/>
      <c r="C324" s="73"/>
      <c r="D324" s="73"/>
      <c r="E324" s="73"/>
      <c r="F324" s="73"/>
      <c r="G324" s="73"/>
      <c r="H324" s="73"/>
      <c r="I324" s="30"/>
      <c r="L324" s="72"/>
      <c r="M324" s="72"/>
      <c r="N324" s="30"/>
    </row>
    <row r="325" spans="1:14" s="44" customFormat="1" ht="15.75" customHeight="1" x14ac:dyDescent="0.25">
      <c r="A325" s="215">
        <v>1</v>
      </c>
      <c r="B325" s="215"/>
      <c r="C325" s="227">
        <v>3</v>
      </c>
      <c r="D325" s="217">
        <f>(83.58+7.29)*(10.764)</f>
        <v>978.12468000000001</v>
      </c>
      <c r="E325" s="216">
        <v>0</v>
      </c>
      <c r="F325" s="216">
        <f t="shared" ref="F325:F326" si="37">D325*(($F$174)+1)+(IF(E325&lt;101,E325,IF(E325&lt;201,E325/2,IF(E325&lt;=301,E325/3,E325/4))))</f>
        <v>1516.0932540000001</v>
      </c>
      <c r="G325" s="215" t="str">
        <f>A324</f>
        <v>12th &amp; 17th Floor (Part Refuge Area)</v>
      </c>
      <c r="H325" s="215"/>
      <c r="I325" s="30"/>
      <c r="L325" s="72"/>
      <c r="M325" s="72"/>
      <c r="N325" s="30"/>
    </row>
    <row r="326" spans="1:14" s="44" customFormat="1" ht="15.75" customHeight="1" x14ac:dyDescent="0.25">
      <c r="A326" s="215">
        <f t="shared" ref="A326:A332" si="38">A325+1</f>
        <v>2</v>
      </c>
      <c r="B326" s="215"/>
      <c r="C326" s="227">
        <v>3</v>
      </c>
      <c r="D326" s="217">
        <f>(83.57+7.29)*(10.764)</f>
        <v>978.01703999999995</v>
      </c>
      <c r="E326" s="216">
        <v>0</v>
      </c>
      <c r="F326" s="216">
        <f t="shared" si="37"/>
        <v>1515.926412</v>
      </c>
      <c r="G326" s="215"/>
      <c r="H326" s="215"/>
      <c r="I326" s="30"/>
      <c r="L326" s="72"/>
      <c r="M326" s="72"/>
      <c r="N326" s="30"/>
    </row>
    <row r="327" spans="1:14" s="44" customFormat="1" ht="15.75" customHeight="1" x14ac:dyDescent="0.25">
      <c r="A327" s="215">
        <f t="shared" si="38"/>
        <v>3</v>
      </c>
      <c r="B327" s="215"/>
      <c r="C327" s="227">
        <v>2</v>
      </c>
      <c r="D327" s="217">
        <f>(57.29+2.19)*(10.764)</f>
        <v>640.24271999999996</v>
      </c>
      <c r="E327" s="216">
        <v>0</v>
      </c>
      <c r="F327" s="216">
        <f>D327*(($F$174)+1)+(IF(E327&lt;101,E327,IF(E327&lt;201,E327/2,IF(E327&lt;=301,E327/3,E327/4))))</f>
        <v>992.376216</v>
      </c>
      <c r="G327" s="215"/>
      <c r="H327" s="215"/>
      <c r="I327" s="30"/>
      <c r="L327" s="72"/>
      <c r="M327" s="72"/>
      <c r="N327" s="30"/>
    </row>
    <row r="328" spans="1:14" s="44" customFormat="1" ht="15.75" customHeight="1" x14ac:dyDescent="0.25">
      <c r="A328" s="215">
        <f t="shared" si="38"/>
        <v>4</v>
      </c>
      <c r="B328" s="215"/>
      <c r="C328" s="227">
        <v>2</v>
      </c>
      <c r="D328" s="217">
        <f>(57.29+2.19)*(10.764)</f>
        <v>640.24271999999996</v>
      </c>
      <c r="E328" s="216">
        <v>0</v>
      </c>
      <c r="F328" s="216">
        <f>D328*(($F$174)+1)+(IF(E328&lt;101,E328,IF(E328&lt;201,E328/2,IF(E328&lt;=301,E328/3,E328/4))))</f>
        <v>992.376216</v>
      </c>
      <c r="G328" s="215"/>
      <c r="H328" s="215"/>
      <c r="I328" s="30"/>
      <c r="L328" s="72"/>
      <c r="M328" s="72"/>
      <c r="N328" s="30"/>
    </row>
    <row r="329" spans="1:14" s="44" customFormat="1" ht="15.75" customHeight="1" x14ac:dyDescent="0.25">
      <c r="A329" s="215">
        <f t="shared" si="38"/>
        <v>5</v>
      </c>
      <c r="B329" s="215"/>
      <c r="C329" s="227">
        <v>3</v>
      </c>
      <c r="D329" s="217">
        <f>(82.46+6.86)*(10.764)</f>
        <v>961.44047999999987</v>
      </c>
      <c r="E329" s="216">
        <v>0</v>
      </c>
      <c r="F329" s="216">
        <f t="shared" ref="F329:F330" si="39">D329*(($F$174)+1)+(IF(E329&lt;101,E329,IF(E329&lt;201,E329/2,IF(E329&lt;=301,E329/3,E329/4))))</f>
        <v>1490.2327439999999</v>
      </c>
      <c r="G329" s="215"/>
      <c r="H329" s="215"/>
      <c r="I329" s="44">
        <v>23</v>
      </c>
      <c r="J329" s="30"/>
    </row>
    <row r="330" spans="1:14" s="44" customFormat="1" ht="15.75" customHeight="1" x14ac:dyDescent="0.25">
      <c r="A330" s="215">
        <f t="shared" si="38"/>
        <v>6</v>
      </c>
      <c r="B330" s="215"/>
      <c r="C330" s="227">
        <v>3</v>
      </c>
      <c r="D330" s="217">
        <f>(82.46+6.86)*(10.764)</f>
        <v>961.44047999999987</v>
      </c>
      <c r="E330" s="216">
        <v>0</v>
      </c>
      <c r="F330" s="216">
        <f t="shared" si="39"/>
        <v>1490.2327439999999</v>
      </c>
      <c r="G330" s="215"/>
      <c r="H330" s="215"/>
      <c r="I330" s="30"/>
      <c r="L330" s="72"/>
      <c r="M330" s="72"/>
      <c r="N330" s="30"/>
    </row>
    <row r="331" spans="1:14" s="44" customFormat="1" ht="15.75" customHeight="1" x14ac:dyDescent="0.25">
      <c r="A331" s="215">
        <f t="shared" si="38"/>
        <v>7</v>
      </c>
      <c r="B331" s="215"/>
      <c r="C331" s="227">
        <v>2</v>
      </c>
      <c r="D331" s="217">
        <f>(57.25+2.19)*(10.764)</f>
        <v>639.81215999999995</v>
      </c>
      <c r="E331" s="216">
        <v>0</v>
      </c>
      <c r="F331" s="216">
        <f>D331*(($F$174)+1)+(IF(E331&lt;101,E331,IF(E331&lt;201,E331/2,IF(E331&lt;=301,E331/3,E331/4))))</f>
        <v>991.70884799999999</v>
      </c>
      <c r="G331" s="215"/>
      <c r="H331" s="215"/>
      <c r="I331" s="30"/>
      <c r="L331" s="72"/>
      <c r="M331" s="72"/>
      <c r="N331" s="30"/>
    </row>
    <row r="332" spans="1:14" s="44" customFormat="1" ht="15.75" customHeight="1" x14ac:dyDescent="0.25">
      <c r="A332" s="215">
        <f t="shared" si="38"/>
        <v>8</v>
      </c>
      <c r="B332" s="215"/>
      <c r="C332" s="215" t="s">
        <v>187</v>
      </c>
      <c r="D332" s="215"/>
      <c r="E332" s="215"/>
      <c r="F332" s="215"/>
      <c r="G332" s="215"/>
      <c r="H332" s="215"/>
      <c r="I332" s="30"/>
      <c r="L332" s="72"/>
      <c r="M332" s="72"/>
      <c r="N332" s="30"/>
    </row>
    <row r="333" spans="1:14" s="44" customFormat="1" ht="15.75" customHeight="1" x14ac:dyDescent="0.25">
      <c r="A333" s="79" t="s">
        <v>225</v>
      </c>
      <c r="B333" s="80"/>
      <c r="C333" s="80"/>
      <c r="D333" s="80"/>
      <c r="E333" s="80"/>
      <c r="F333" s="80"/>
      <c r="G333" s="80"/>
      <c r="H333" s="81"/>
      <c r="I333" s="30"/>
      <c r="L333" s="72"/>
      <c r="M333" s="72"/>
      <c r="N333" s="30"/>
    </row>
    <row r="334" spans="1:14" s="44" customFormat="1" ht="15.75" customHeight="1" x14ac:dyDescent="0.25">
      <c r="A334" s="215">
        <v>1</v>
      </c>
      <c r="B334" s="215"/>
      <c r="C334" s="227">
        <v>3</v>
      </c>
      <c r="D334" s="217">
        <f>(83.58+10.96)*(10.764)</f>
        <v>1017.6285599999999</v>
      </c>
      <c r="E334" s="216">
        <v>0</v>
      </c>
      <c r="F334" s="216">
        <f t="shared" ref="F334:F335" si="40">D334*(($F$174)+1)+(IF(E334&lt;101,E334,IF(E334&lt;201,E334/2,IF(E334&lt;=301,E334/3,E334/4))))</f>
        <v>1577.3242679999998</v>
      </c>
      <c r="G334" s="215" t="str">
        <f>A333</f>
        <v>20th to 21st, 23rd to 26th, 28th to 31st, 33rd to 36th, 38th to 41st, 43rd to 46th &amp; 48th Floor</v>
      </c>
      <c r="H334" s="215"/>
      <c r="I334" s="30"/>
      <c r="L334" s="72"/>
      <c r="M334" s="72"/>
      <c r="N334" s="30"/>
    </row>
    <row r="335" spans="1:14" s="44" customFormat="1" ht="15.75" customHeight="1" x14ac:dyDescent="0.25">
      <c r="A335" s="215">
        <f t="shared" ref="A335:A341" si="41">A334+1</f>
        <v>2</v>
      </c>
      <c r="B335" s="215"/>
      <c r="C335" s="227">
        <v>3</v>
      </c>
      <c r="D335" s="217">
        <f>(83.57+10.96)*(10.764)</f>
        <v>1017.5209199999999</v>
      </c>
      <c r="E335" s="216">
        <v>0</v>
      </c>
      <c r="F335" s="216">
        <f t="shared" si="40"/>
        <v>1577.157426</v>
      </c>
      <c r="G335" s="215"/>
      <c r="H335" s="215"/>
      <c r="I335" s="30"/>
      <c r="L335" s="72"/>
      <c r="M335" s="72"/>
      <c r="N335" s="30"/>
    </row>
    <row r="336" spans="1:14" s="44" customFormat="1" ht="15.75" customHeight="1" x14ac:dyDescent="0.25">
      <c r="A336" s="215">
        <f t="shared" si="41"/>
        <v>3</v>
      </c>
      <c r="B336" s="215"/>
      <c r="C336" s="227">
        <v>2</v>
      </c>
      <c r="D336" s="217">
        <f>(57.29+5.3)*10.764</f>
        <v>673.71875999999997</v>
      </c>
      <c r="E336" s="216">
        <v>0</v>
      </c>
      <c r="F336" s="216">
        <f>D336*(($F$174)+1)+(IF(E336&lt;101,E336,IF(E336&lt;201,E336/2,IF(E336&lt;=301,E336/3,E336/4))))</f>
        <v>1044.2640779999999</v>
      </c>
      <c r="G336" s="215"/>
      <c r="H336" s="215"/>
      <c r="I336" s="30"/>
      <c r="L336" s="72"/>
      <c r="M336" s="72"/>
      <c r="N336" s="30"/>
    </row>
    <row r="337" spans="1:14" s="44" customFormat="1" ht="15.75" customHeight="1" x14ac:dyDescent="0.25">
      <c r="A337" s="215">
        <f t="shared" si="41"/>
        <v>4</v>
      </c>
      <c r="B337" s="215"/>
      <c r="C337" s="227">
        <v>2</v>
      </c>
      <c r="D337" s="217">
        <f>(57.29+5.3)*10.764</f>
        <v>673.71875999999997</v>
      </c>
      <c r="E337" s="216">
        <v>0</v>
      </c>
      <c r="F337" s="216">
        <f>D337*(($F$174)+1)+(IF(E337&lt;101,E337,IF(E337&lt;201,E337/2,IF(E337&lt;=301,E337/3,E337/4))))</f>
        <v>1044.2640779999999</v>
      </c>
      <c r="G337" s="215"/>
      <c r="H337" s="215"/>
      <c r="I337" s="30"/>
      <c r="L337" s="72"/>
      <c r="M337" s="72"/>
      <c r="N337" s="30"/>
    </row>
    <row r="338" spans="1:14" s="44" customFormat="1" ht="15.75" customHeight="1" x14ac:dyDescent="0.25">
      <c r="A338" s="215">
        <f t="shared" si="41"/>
        <v>5</v>
      </c>
      <c r="B338" s="215"/>
      <c r="C338" s="227">
        <v>3</v>
      </c>
      <c r="D338" s="217">
        <f>(82.46+10.52)*(10.764)</f>
        <v>1000.8367199999998</v>
      </c>
      <c r="E338" s="216">
        <v>0</v>
      </c>
      <c r="F338" s="216">
        <f t="shared" ref="F338:F339" si="42">D338*(($F$174)+1)+(IF(E338&lt;101,E338,IF(E338&lt;201,E338/2,IF(E338&lt;=301,E338/3,E338/4))))</f>
        <v>1551.2969159999998</v>
      </c>
      <c r="G338" s="215"/>
      <c r="H338" s="215"/>
      <c r="I338" s="44">
        <v>6</v>
      </c>
      <c r="J338" s="111">
        <f>62.55-5.3</f>
        <v>57.25</v>
      </c>
    </row>
    <row r="339" spans="1:14" s="44" customFormat="1" ht="15.75" customHeight="1" x14ac:dyDescent="0.25">
      <c r="A339" s="215">
        <f t="shared" si="41"/>
        <v>6</v>
      </c>
      <c r="B339" s="215"/>
      <c r="C339" s="227">
        <v>3</v>
      </c>
      <c r="D339" s="217">
        <f>(82.46+10.52)*(10.764)</f>
        <v>1000.8367199999998</v>
      </c>
      <c r="E339" s="216">
        <v>0</v>
      </c>
      <c r="F339" s="216">
        <f t="shared" si="42"/>
        <v>1551.2969159999998</v>
      </c>
      <c r="G339" s="215"/>
      <c r="H339" s="215"/>
      <c r="I339" s="30"/>
      <c r="J339" s="111">
        <f>62.59-5.3</f>
        <v>57.290000000000006</v>
      </c>
      <c r="L339" s="72"/>
      <c r="M339" s="72"/>
      <c r="N339" s="30"/>
    </row>
    <row r="340" spans="1:14" s="44" customFormat="1" ht="15.75" customHeight="1" x14ac:dyDescent="0.25">
      <c r="A340" s="215">
        <f t="shared" si="41"/>
        <v>7</v>
      </c>
      <c r="B340" s="215"/>
      <c r="C340" s="227">
        <v>2</v>
      </c>
      <c r="D340" s="217">
        <f>(57.25+5.3)*10.764</f>
        <v>673.28819999999996</v>
      </c>
      <c r="E340" s="216">
        <v>0</v>
      </c>
      <c r="F340" s="216">
        <f>D340*(($F$174)+1)+(IF(E340&lt;101,E340,IF(E340&lt;201,E340/2,IF(E340&lt;=301,E340/3,E340/4))))</f>
        <v>1043.59671</v>
      </c>
      <c r="G340" s="215"/>
      <c r="H340" s="215"/>
      <c r="I340" s="30"/>
      <c r="L340" s="72"/>
      <c r="M340" s="72"/>
      <c r="N340" s="30"/>
    </row>
    <row r="341" spans="1:14" s="44" customFormat="1" ht="15.75" customHeight="1" x14ac:dyDescent="0.25">
      <c r="A341" s="215">
        <f t="shared" si="41"/>
        <v>8</v>
      </c>
      <c r="B341" s="215"/>
      <c r="C341" s="227">
        <v>2</v>
      </c>
      <c r="D341" s="217">
        <f>(57.29+5.3)*10.764</f>
        <v>673.71875999999997</v>
      </c>
      <c r="E341" s="216">
        <v>0</v>
      </c>
      <c r="F341" s="216">
        <f>D341*(($F$174)+1)+(IF(E341&lt;101,E341,IF(E341&lt;201,E341/2,IF(E341&lt;=301,E341/3,E341/4))))</f>
        <v>1044.2640779999999</v>
      </c>
      <c r="G341" s="215"/>
      <c r="H341" s="215"/>
      <c r="I341" s="30"/>
      <c r="L341" s="72"/>
      <c r="M341" s="72"/>
      <c r="N341" s="30"/>
    </row>
    <row r="342" spans="1:14" s="44" customFormat="1" ht="15.75" customHeight="1" x14ac:dyDescent="0.25">
      <c r="A342" s="73" t="s">
        <v>226</v>
      </c>
      <c r="B342" s="73"/>
      <c r="C342" s="73"/>
      <c r="D342" s="73"/>
      <c r="E342" s="73"/>
      <c r="F342" s="73"/>
      <c r="G342" s="73"/>
      <c r="H342" s="73"/>
      <c r="I342" s="30"/>
      <c r="L342" s="72"/>
      <c r="M342" s="72"/>
      <c r="N342" s="30"/>
    </row>
    <row r="343" spans="1:14" s="44" customFormat="1" ht="15.75" customHeight="1" x14ac:dyDescent="0.25">
      <c r="A343" s="215">
        <v>1</v>
      </c>
      <c r="B343" s="215"/>
      <c r="C343" s="227">
        <v>3</v>
      </c>
      <c r="D343" s="217">
        <f>(83.58+10.96)*(10.764)</f>
        <v>1017.6285599999999</v>
      </c>
      <c r="E343" s="216">
        <v>0</v>
      </c>
      <c r="F343" s="216">
        <f t="shared" ref="F343:F344" si="43">D343*(($F$174)+1)+(IF(E343&lt;101,E343,IF(E343&lt;201,E343/2,IF(E343&lt;=301,E343/3,E343/4))))</f>
        <v>1577.3242679999998</v>
      </c>
      <c r="G343" s="215" t="str">
        <f>A342</f>
        <v>22nd, 27th, 32nd, 37th, 42nd &amp; 47th Floor (Part Refuge Area)</v>
      </c>
      <c r="H343" s="215"/>
      <c r="I343" s="30"/>
      <c r="L343" s="72"/>
      <c r="M343" s="72"/>
      <c r="N343" s="30"/>
    </row>
    <row r="344" spans="1:14" s="44" customFormat="1" ht="15.75" customHeight="1" x14ac:dyDescent="0.25">
      <c r="A344" s="215">
        <f t="shared" ref="A344:A350" si="44">A343+1</f>
        <v>2</v>
      </c>
      <c r="B344" s="215"/>
      <c r="C344" s="227">
        <v>3</v>
      </c>
      <c r="D344" s="217">
        <f>(83.57+10.96)*(10.764)</f>
        <v>1017.5209199999999</v>
      </c>
      <c r="E344" s="216">
        <v>0</v>
      </c>
      <c r="F344" s="216">
        <f t="shared" si="43"/>
        <v>1577.157426</v>
      </c>
      <c r="G344" s="215"/>
      <c r="H344" s="215"/>
      <c r="I344" s="30"/>
      <c r="L344" s="72"/>
      <c r="M344" s="72"/>
      <c r="N344" s="30"/>
    </row>
    <row r="345" spans="1:14" s="44" customFormat="1" ht="15.75" customHeight="1" x14ac:dyDescent="0.25">
      <c r="A345" s="215">
        <f t="shared" si="44"/>
        <v>3</v>
      </c>
      <c r="B345" s="215"/>
      <c r="C345" s="227">
        <v>2</v>
      </c>
      <c r="D345" s="217">
        <f>(57.29+5.3)*10.764</f>
        <v>673.71875999999997</v>
      </c>
      <c r="E345" s="216">
        <v>0</v>
      </c>
      <c r="F345" s="216">
        <f>D345*(($F$174)+1)+(IF(E345&lt;101,E345,IF(E345&lt;201,E345/2,IF(E345&lt;=301,E345/3,E345/4))))</f>
        <v>1044.2640779999999</v>
      </c>
      <c r="G345" s="215"/>
      <c r="H345" s="215"/>
      <c r="I345" s="30"/>
      <c r="L345" s="72"/>
      <c r="M345" s="72"/>
      <c r="N345" s="30"/>
    </row>
    <row r="346" spans="1:14" s="44" customFormat="1" ht="15.75" customHeight="1" x14ac:dyDescent="0.25">
      <c r="A346" s="215">
        <f t="shared" si="44"/>
        <v>4</v>
      </c>
      <c r="B346" s="215"/>
      <c r="C346" s="227">
        <v>2</v>
      </c>
      <c r="D346" s="217">
        <f>(57.29+5.3)*10.764</f>
        <v>673.71875999999997</v>
      </c>
      <c r="E346" s="216">
        <v>0</v>
      </c>
      <c r="F346" s="216">
        <f>D346*(($F$174)+1)+(IF(E346&lt;101,E346,IF(E346&lt;201,E346/2,IF(E346&lt;=301,E346/3,E346/4))))</f>
        <v>1044.2640779999999</v>
      </c>
      <c r="G346" s="215"/>
      <c r="H346" s="215"/>
      <c r="I346" s="30"/>
      <c r="L346" s="72"/>
      <c r="M346" s="72"/>
      <c r="N346" s="30"/>
    </row>
    <row r="347" spans="1:14" s="52" customFormat="1" ht="15.75" customHeight="1" x14ac:dyDescent="0.25">
      <c r="A347" s="215">
        <f t="shared" si="44"/>
        <v>5</v>
      </c>
      <c r="B347" s="215"/>
      <c r="C347" s="227">
        <v>3</v>
      </c>
      <c r="D347" s="217">
        <f>(82.46+10.52)*(10.764)</f>
        <v>1000.8367199999998</v>
      </c>
      <c r="E347" s="216">
        <v>0</v>
      </c>
      <c r="F347" s="216">
        <f t="shared" ref="F347:F348" si="45">D347*(($F$174)+1)+(IF(E347&lt;101,E347,IF(E347&lt;201,E347/2,IF(E347&lt;=301,E347/3,E347/4))))</f>
        <v>1551.2969159999998</v>
      </c>
      <c r="G347" s="215"/>
      <c r="H347" s="215"/>
      <c r="I347" s="41">
        <v>10.763999999999999</v>
      </c>
      <c r="J347" s="30"/>
    </row>
    <row r="348" spans="1:14" s="52" customFormat="1" ht="15.75" customHeight="1" x14ac:dyDescent="0.25">
      <c r="A348" s="215">
        <f t="shared" si="44"/>
        <v>6</v>
      </c>
      <c r="B348" s="215"/>
      <c r="C348" s="227">
        <v>3</v>
      </c>
      <c r="D348" s="217">
        <f>(82.46+10.52)*(10.764)</f>
        <v>1000.8367199999998</v>
      </c>
      <c r="E348" s="216">
        <v>0</v>
      </c>
      <c r="F348" s="216">
        <f t="shared" si="45"/>
        <v>1551.2969159999998</v>
      </c>
      <c r="G348" s="215"/>
      <c r="H348" s="215"/>
      <c r="J348" s="30"/>
    </row>
    <row r="349" spans="1:14" s="52" customFormat="1" ht="15.75" customHeight="1" x14ac:dyDescent="0.25">
      <c r="A349" s="215">
        <f t="shared" si="44"/>
        <v>7</v>
      </c>
      <c r="B349" s="215"/>
      <c r="C349" s="227">
        <v>2</v>
      </c>
      <c r="D349" s="217">
        <f>(57.25+5.3)*10.764</f>
        <v>673.28819999999996</v>
      </c>
      <c r="E349" s="216">
        <v>0</v>
      </c>
      <c r="F349" s="216">
        <f>D349*(($F$174)+1)+(IF(E349&lt;101,E349,IF(E349&lt;201,E349/2,IF(E349&lt;=301,E349/3,E349/4))))</f>
        <v>1043.59671</v>
      </c>
      <c r="G349" s="215"/>
      <c r="H349" s="215"/>
      <c r="J349" s="30"/>
    </row>
    <row r="350" spans="1:14" s="52" customFormat="1" ht="15.75" customHeight="1" x14ac:dyDescent="0.25">
      <c r="A350" s="215">
        <f t="shared" si="44"/>
        <v>8</v>
      </c>
      <c r="B350" s="215"/>
      <c r="C350" s="215" t="s">
        <v>187</v>
      </c>
      <c r="D350" s="215"/>
      <c r="E350" s="215"/>
      <c r="F350" s="215"/>
      <c r="G350" s="215"/>
      <c r="H350" s="215"/>
      <c r="I350" s="52">
        <v>1</v>
      </c>
      <c r="J350" s="30"/>
    </row>
    <row r="351" spans="1:14" s="52" customFormat="1" ht="15.75" customHeight="1" x14ac:dyDescent="0.25">
      <c r="A351" s="82" t="s">
        <v>208</v>
      </c>
      <c r="B351" s="83"/>
      <c r="C351" s="83"/>
      <c r="D351" s="83"/>
      <c r="E351" s="83"/>
      <c r="F351" s="83"/>
      <c r="G351" s="83"/>
      <c r="H351" s="84"/>
      <c r="I351" s="30"/>
      <c r="L351" s="72"/>
      <c r="M351" s="72"/>
      <c r="N351" s="30"/>
    </row>
    <row r="352" spans="1:14" s="52" customFormat="1" ht="15.75" customHeight="1" x14ac:dyDescent="0.25">
      <c r="A352" s="79" t="s">
        <v>215</v>
      </c>
      <c r="B352" s="80"/>
      <c r="C352" s="80"/>
      <c r="D352" s="80"/>
      <c r="E352" s="80"/>
      <c r="F352" s="80"/>
      <c r="G352" s="80"/>
      <c r="H352" s="81"/>
      <c r="I352" s="30"/>
      <c r="L352" s="72"/>
      <c r="M352" s="72"/>
      <c r="N352" s="30"/>
    </row>
    <row r="353" spans="1:14" s="52" customFormat="1" ht="15.75" customHeight="1" x14ac:dyDescent="0.25">
      <c r="A353" s="79" t="s">
        <v>221</v>
      </c>
      <c r="B353" s="80"/>
      <c r="C353" s="80"/>
      <c r="D353" s="80"/>
      <c r="E353" s="80"/>
      <c r="F353" s="80"/>
      <c r="G353" s="80"/>
      <c r="H353" s="81"/>
      <c r="I353" s="30"/>
      <c r="L353" s="72"/>
      <c r="M353" s="72"/>
      <c r="N353" s="30"/>
    </row>
    <row r="354" spans="1:14" s="52" customFormat="1" ht="15.75" customHeight="1" x14ac:dyDescent="0.25">
      <c r="A354" s="79" t="s">
        <v>260</v>
      </c>
      <c r="B354" s="80"/>
      <c r="C354" s="80"/>
      <c r="D354" s="80"/>
      <c r="E354" s="80"/>
      <c r="F354" s="80"/>
      <c r="G354" s="80"/>
      <c r="H354" s="81"/>
      <c r="I354" s="30"/>
      <c r="L354" s="72"/>
      <c r="M354" s="72"/>
      <c r="N354" s="30"/>
    </row>
    <row r="355" spans="1:14" s="52" customFormat="1" ht="15.75" customHeight="1" x14ac:dyDescent="0.25">
      <c r="A355" s="224">
        <v>1</v>
      </c>
      <c r="B355" s="225"/>
      <c r="C355" s="218" t="s">
        <v>209</v>
      </c>
      <c r="D355" s="228"/>
      <c r="E355" s="228"/>
      <c r="F355" s="219"/>
      <c r="G355" s="218" t="str">
        <f>A354</f>
        <v xml:space="preserve">1st Floor For Residential &amp; Part Parking Area </v>
      </c>
      <c r="H355" s="219"/>
      <c r="I355" s="30"/>
      <c r="L355" s="72"/>
      <c r="M355" s="72"/>
      <c r="N355" s="30"/>
    </row>
    <row r="356" spans="1:14" s="52" customFormat="1" ht="15.75" customHeight="1" x14ac:dyDescent="0.25">
      <c r="A356" s="224">
        <f t="shared" ref="A356:A362" si="46">A355+1</f>
        <v>2</v>
      </c>
      <c r="B356" s="225"/>
      <c r="C356" s="222"/>
      <c r="D356" s="230"/>
      <c r="E356" s="230"/>
      <c r="F356" s="223"/>
      <c r="G356" s="220"/>
      <c r="H356" s="221"/>
      <c r="I356" s="30"/>
      <c r="L356" s="72"/>
      <c r="M356" s="72"/>
      <c r="N356" s="30"/>
    </row>
    <row r="357" spans="1:14" s="52" customFormat="1" ht="15.75" customHeight="1" x14ac:dyDescent="0.25">
      <c r="A357" s="224">
        <f t="shared" si="46"/>
        <v>3</v>
      </c>
      <c r="B357" s="225"/>
      <c r="C357" s="227">
        <v>2</v>
      </c>
      <c r="D357" s="217">
        <f>(57.29+2.19)*(10.764)</f>
        <v>640.24271999999996</v>
      </c>
      <c r="E357" s="216">
        <v>0</v>
      </c>
      <c r="F357" s="216">
        <f>D357*(($F$174)+1)+(IF(E357&lt;101,E357,IF(E357&lt;201,E357/2,IF(E357&lt;=301,E357/3,E357/4))))</f>
        <v>992.376216</v>
      </c>
      <c r="G357" s="220"/>
      <c r="H357" s="221"/>
      <c r="I357" s="30"/>
      <c r="L357" s="72"/>
      <c r="M357" s="72"/>
      <c r="N357" s="30"/>
    </row>
    <row r="358" spans="1:14" s="52" customFormat="1" ht="15.75" customHeight="1" x14ac:dyDescent="0.25">
      <c r="A358" s="224">
        <f t="shared" si="46"/>
        <v>4</v>
      </c>
      <c r="B358" s="225"/>
      <c r="C358" s="224" t="s">
        <v>191</v>
      </c>
      <c r="D358" s="241"/>
      <c r="E358" s="241"/>
      <c r="F358" s="225"/>
      <c r="G358" s="220"/>
      <c r="H358" s="221"/>
      <c r="I358" s="30"/>
      <c r="L358" s="72"/>
      <c r="M358" s="72"/>
      <c r="N358" s="30"/>
    </row>
    <row r="359" spans="1:14" s="52" customFormat="1" ht="15.75" customHeight="1" x14ac:dyDescent="0.25">
      <c r="A359" s="224">
        <f t="shared" si="46"/>
        <v>5</v>
      </c>
      <c r="B359" s="225"/>
      <c r="C359" s="218" t="s">
        <v>259</v>
      </c>
      <c r="D359" s="228"/>
      <c r="E359" s="228"/>
      <c r="F359" s="219"/>
      <c r="G359" s="220"/>
      <c r="H359" s="221"/>
      <c r="I359" s="52">
        <v>1</v>
      </c>
      <c r="J359" s="30"/>
    </row>
    <row r="360" spans="1:14" s="52" customFormat="1" ht="15.75" customHeight="1" x14ac:dyDescent="0.25">
      <c r="A360" s="224">
        <f t="shared" si="46"/>
        <v>6</v>
      </c>
      <c r="B360" s="225"/>
      <c r="C360" s="220"/>
      <c r="D360" s="229"/>
      <c r="E360" s="229"/>
      <c r="F360" s="221"/>
      <c r="G360" s="220"/>
      <c r="H360" s="221"/>
      <c r="I360" s="30"/>
      <c r="L360" s="72"/>
      <c r="M360" s="72"/>
      <c r="N360" s="30"/>
    </row>
    <row r="361" spans="1:14" s="52" customFormat="1" ht="15.75" customHeight="1" x14ac:dyDescent="0.25">
      <c r="A361" s="224">
        <f t="shared" si="46"/>
        <v>7</v>
      </c>
      <c r="B361" s="225"/>
      <c r="C361" s="222"/>
      <c r="D361" s="230"/>
      <c r="E361" s="230"/>
      <c r="F361" s="223"/>
      <c r="G361" s="220"/>
      <c r="H361" s="221"/>
      <c r="I361" s="30"/>
      <c r="L361" s="72"/>
      <c r="M361" s="72"/>
      <c r="N361" s="30"/>
    </row>
    <row r="362" spans="1:14" s="52" customFormat="1" ht="15.75" customHeight="1" x14ac:dyDescent="0.25">
      <c r="A362" s="224">
        <f t="shared" si="46"/>
        <v>8</v>
      </c>
      <c r="B362" s="225"/>
      <c r="C362" s="227">
        <v>2</v>
      </c>
      <c r="D362" s="217">
        <f>(57.29+2.19)*(10.764)</f>
        <v>640.24271999999996</v>
      </c>
      <c r="E362" s="216">
        <v>0</v>
      </c>
      <c r="F362" s="216">
        <f>D362*(($F$174)+1)+(IF(E362&lt;101,E362,IF(E362&lt;201,E362/2,IF(E362&lt;=301,E362/3,E362/4))))</f>
        <v>992.376216</v>
      </c>
      <c r="G362" s="222"/>
      <c r="H362" s="223"/>
      <c r="I362" s="30"/>
      <c r="L362" s="72"/>
      <c r="M362" s="72"/>
      <c r="N362" s="30"/>
    </row>
    <row r="363" spans="1:14" s="52" customFormat="1" ht="15.75" customHeight="1" x14ac:dyDescent="0.25">
      <c r="A363" s="79" t="s">
        <v>261</v>
      </c>
      <c r="B363" s="80"/>
      <c r="C363" s="80"/>
      <c r="D363" s="80"/>
      <c r="E363" s="80"/>
      <c r="F363" s="80"/>
      <c r="G363" s="80"/>
      <c r="H363" s="81"/>
      <c r="I363" s="30"/>
      <c r="L363" s="72"/>
      <c r="M363" s="72"/>
      <c r="N363" s="30"/>
    </row>
    <row r="364" spans="1:14" s="52" customFormat="1" ht="15.75" customHeight="1" x14ac:dyDescent="0.25">
      <c r="A364" s="224">
        <v>1</v>
      </c>
      <c r="B364" s="225"/>
      <c r="C364" s="227">
        <v>3</v>
      </c>
      <c r="D364" s="217">
        <f>(83.58+2.48)*(10.764)</f>
        <v>926.34983999999997</v>
      </c>
      <c r="E364" s="216">
        <f>(3.35*8.45+2.85*6.6)*10.764</f>
        <v>507.1727699999999</v>
      </c>
      <c r="F364" s="216">
        <f t="shared" ref="F364:F365" si="47">D364*(($F$174)+1)+(IF(E364&lt;101,E364,IF(E364&lt;201,E364/2,IF(E364&lt;=301,E364/3,E364/4))))</f>
        <v>1562.6354444999999</v>
      </c>
      <c r="G364" s="218" t="str">
        <f>A363</f>
        <v xml:space="preserve">2nd Floor For Residential &amp; Part Parking Area </v>
      </c>
      <c r="H364" s="219"/>
      <c r="I364" s="30"/>
      <c r="L364" s="72"/>
      <c r="M364" s="72"/>
      <c r="N364" s="30"/>
    </row>
    <row r="365" spans="1:14" s="52" customFormat="1" ht="15.75" customHeight="1" x14ac:dyDescent="0.25">
      <c r="A365" s="224">
        <f t="shared" ref="A365:A371" si="48">A364+1</f>
        <v>2</v>
      </c>
      <c r="B365" s="225"/>
      <c r="C365" s="227">
        <v>3</v>
      </c>
      <c r="D365" s="217">
        <f>(83.58+2.48)*(10.764)</f>
        <v>926.34983999999997</v>
      </c>
      <c r="E365" s="216">
        <f>(3.35*8.45+2.85*6.6)*10.764</f>
        <v>507.1727699999999</v>
      </c>
      <c r="F365" s="216">
        <f t="shared" si="47"/>
        <v>1562.6354444999999</v>
      </c>
      <c r="G365" s="220"/>
      <c r="H365" s="221"/>
      <c r="I365" s="30"/>
      <c r="L365" s="72"/>
      <c r="M365" s="72"/>
      <c r="N365" s="30"/>
    </row>
    <row r="366" spans="1:14" s="52" customFormat="1" ht="15.75" customHeight="1" x14ac:dyDescent="0.25">
      <c r="A366" s="224">
        <f t="shared" si="48"/>
        <v>3</v>
      </c>
      <c r="B366" s="225"/>
      <c r="C366" s="227">
        <v>2</v>
      </c>
      <c r="D366" s="217">
        <f>(57.29+2.19)*(10.764)</f>
        <v>640.24271999999996</v>
      </c>
      <c r="E366" s="216">
        <v>0</v>
      </c>
      <c r="F366" s="216">
        <f>D366*(($F$174)+1)+(IF(E366&lt;101,E366,IF(E366&lt;201,E366/2,IF(E366&lt;=301,E366/3,E366/4))))</f>
        <v>992.376216</v>
      </c>
      <c r="G366" s="220"/>
      <c r="H366" s="221"/>
      <c r="I366" s="30"/>
      <c r="L366" s="72"/>
      <c r="M366" s="72"/>
      <c r="N366" s="30"/>
    </row>
    <row r="367" spans="1:14" s="52" customFormat="1" ht="15.75" customHeight="1" x14ac:dyDescent="0.25">
      <c r="A367" s="224">
        <f t="shared" si="48"/>
        <v>4</v>
      </c>
      <c r="B367" s="225"/>
      <c r="C367" s="218" t="s">
        <v>257</v>
      </c>
      <c r="D367" s="228"/>
      <c r="E367" s="228"/>
      <c r="F367" s="219"/>
      <c r="G367" s="220"/>
      <c r="H367" s="221"/>
      <c r="I367" s="30"/>
      <c r="L367" s="72"/>
      <c r="M367" s="72"/>
      <c r="N367" s="30"/>
    </row>
    <row r="368" spans="1:14" s="52" customFormat="1" ht="15.75" customHeight="1" x14ac:dyDescent="0.25">
      <c r="A368" s="224">
        <f t="shared" si="48"/>
        <v>5</v>
      </c>
      <c r="B368" s="225"/>
      <c r="C368" s="220"/>
      <c r="D368" s="229"/>
      <c r="E368" s="229"/>
      <c r="F368" s="221"/>
      <c r="G368" s="220"/>
      <c r="H368" s="221"/>
      <c r="I368" s="52">
        <v>1</v>
      </c>
      <c r="J368" s="30"/>
    </row>
    <row r="369" spans="1:14" s="52" customFormat="1" ht="15.75" customHeight="1" x14ac:dyDescent="0.25">
      <c r="A369" s="224">
        <f t="shared" si="48"/>
        <v>6</v>
      </c>
      <c r="B369" s="225"/>
      <c r="C369" s="220"/>
      <c r="D369" s="229"/>
      <c r="E369" s="229"/>
      <c r="F369" s="221"/>
      <c r="G369" s="220"/>
      <c r="H369" s="221"/>
      <c r="I369" s="30"/>
      <c r="L369" s="72"/>
      <c r="M369" s="72"/>
      <c r="N369" s="30"/>
    </row>
    <row r="370" spans="1:14" s="52" customFormat="1" ht="15.75" customHeight="1" x14ac:dyDescent="0.25">
      <c r="A370" s="224">
        <f t="shared" si="48"/>
        <v>7</v>
      </c>
      <c r="B370" s="225"/>
      <c r="C370" s="222"/>
      <c r="D370" s="230"/>
      <c r="E370" s="230"/>
      <c r="F370" s="223"/>
      <c r="G370" s="220"/>
      <c r="H370" s="221"/>
      <c r="I370" s="30"/>
      <c r="L370" s="72"/>
      <c r="M370" s="72"/>
      <c r="N370" s="30"/>
    </row>
    <row r="371" spans="1:14" s="52" customFormat="1" ht="15.75" customHeight="1" x14ac:dyDescent="0.25">
      <c r="A371" s="224">
        <f t="shared" si="48"/>
        <v>8</v>
      </c>
      <c r="B371" s="225"/>
      <c r="C371" s="227">
        <v>2</v>
      </c>
      <c r="D371" s="217">
        <f>(57.29+2.19)*(10.764)</f>
        <v>640.24271999999996</v>
      </c>
      <c r="E371" s="216">
        <v>0</v>
      </c>
      <c r="F371" s="216">
        <f>D371*(($F$174)+1)+(IF(E371&lt;101,E371,IF(E371&lt;201,E371/2,IF(E371&lt;=301,E371/3,E371/4))))</f>
        <v>992.376216</v>
      </c>
      <c r="G371" s="222"/>
      <c r="H371" s="223"/>
      <c r="I371" s="30"/>
      <c r="L371" s="72"/>
      <c r="M371" s="72"/>
      <c r="N371" s="30"/>
    </row>
    <row r="372" spans="1:14" s="52" customFormat="1" ht="15.75" customHeight="1" x14ac:dyDescent="0.25">
      <c r="A372" s="79" t="s">
        <v>262</v>
      </c>
      <c r="B372" s="80"/>
      <c r="C372" s="80"/>
      <c r="D372" s="80"/>
      <c r="E372" s="80"/>
      <c r="F372" s="80"/>
      <c r="G372" s="80"/>
      <c r="H372" s="81"/>
      <c r="I372" s="30"/>
      <c r="L372" s="72"/>
      <c r="M372" s="72"/>
      <c r="N372" s="30"/>
    </row>
    <row r="373" spans="1:14" s="52" customFormat="1" ht="15.75" customHeight="1" x14ac:dyDescent="0.25">
      <c r="A373" s="224">
        <v>1</v>
      </c>
      <c r="B373" s="225"/>
      <c r="C373" s="227">
        <v>3</v>
      </c>
      <c r="D373" s="217">
        <f>(83.58+2.48)*(10.764)</f>
        <v>926.34983999999997</v>
      </c>
      <c r="E373" s="216">
        <v>0</v>
      </c>
      <c r="F373" s="216">
        <f t="shared" ref="F373:F374" si="49">D373*(($F$174)+1)+(IF(E373&lt;101,E373,IF(E373&lt;201,E373/2,IF(E373&lt;=301,E373/3,E373/4))))</f>
        <v>1435.8422519999999</v>
      </c>
      <c r="G373" s="218" t="str">
        <f>A372</f>
        <v xml:space="preserve">3rd Floor For Residential &amp; Part Parking Area </v>
      </c>
      <c r="H373" s="219"/>
      <c r="I373" s="30"/>
      <c r="L373" s="72"/>
      <c r="M373" s="72"/>
      <c r="N373" s="30"/>
    </row>
    <row r="374" spans="1:14" s="52" customFormat="1" ht="15.75" customHeight="1" x14ac:dyDescent="0.25">
      <c r="A374" s="224">
        <f t="shared" ref="A374:A380" si="50">A373+1</f>
        <v>2</v>
      </c>
      <c r="B374" s="225"/>
      <c r="C374" s="227">
        <v>3</v>
      </c>
      <c r="D374" s="217">
        <f>(83.58+2.48)*(10.764)</f>
        <v>926.34983999999997</v>
      </c>
      <c r="E374" s="216">
        <v>0</v>
      </c>
      <c r="F374" s="216">
        <f t="shared" si="49"/>
        <v>1435.8422519999999</v>
      </c>
      <c r="G374" s="220"/>
      <c r="H374" s="221"/>
      <c r="I374" s="30"/>
      <c r="L374" s="72"/>
      <c r="M374" s="72"/>
      <c r="N374" s="30"/>
    </row>
    <row r="375" spans="1:14" s="52" customFormat="1" ht="15.75" customHeight="1" x14ac:dyDescent="0.25">
      <c r="A375" s="224">
        <f t="shared" si="50"/>
        <v>3</v>
      </c>
      <c r="B375" s="225"/>
      <c r="C375" s="227">
        <v>2</v>
      </c>
      <c r="D375" s="217">
        <f>(57.29+2.19)*(10.764)</f>
        <v>640.24271999999996</v>
      </c>
      <c r="E375" s="216">
        <v>0</v>
      </c>
      <c r="F375" s="216">
        <f>D375*(($F$174)+1)+(IF(E375&lt;101,E375,IF(E375&lt;201,E375/2,IF(E375&lt;=301,E375/3,E375/4))))</f>
        <v>992.376216</v>
      </c>
      <c r="G375" s="220"/>
      <c r="H375" s="221"/>
      <c r="I375" s="30"/>
      <c r="L375" s="72"/>
      <c r="M375" s="72"/>
      <c r="N375" s="30"/>
    </row>
    <row r="376" spans="1:14" s="52" customFormat="1" ht="15.75" customHeight="1" x14ac:dyDescent="0.25">
      <c r="A376" s="224">
        <f t="shared" si="50"/>
        <v>4</v>
      </c>
      <c r="B376" s="225"/>
      <c r="C376" s="218" t="s">
        <v>257</v>
      </c>
      <c r="D376" s="228"/>
      <c r="E376" s="228"/>
      <c r="F376" s="219"/>
      <c r="G376" s="220"/>
      <c r="H376" s="221"/>
      <c r="I376" s="30"/>
      <c r="L376" s="72"/>
      <c r="M376" s="72"/>
      <c r="N376" s="30"/>
    </row>
    <row r="377" spans="1:14" s="52" customFormat="1" ht="15.75" customHeight="1" x14ac:dyDescent="0.25">
      <c r="A377" s="224">
        <f t="shared" si="50"/>
        <v>5</v>
      </c>
      <c r="B377" s="225"/>
      <c r="C377" s="220"/>
      <c r="D377" s="229"/>
      <c r="E377" s="229"/>
      <c r="F377" s="221"/>
      <c r="G377" s="220"/>
      <c r="H377" s="221"/>
      <c r="I377" s="52">
        <v>1</v>
      </c>
      <c r="J377" s="30"/>
    </row>
    <row r="378" spans="1:14" s="52" customFormat="1" ht="15.75" customHeight="1" x14ac:dyDescent="0.25">
      <c r="A378" s="224">
        <f t="shared" si="50"/>
        <v>6</v>
      </c>
      <c r="B378" s="225"/>
      <c r="C378" s="220"/>
      <c r="D378" s="229"/>
      <c r="E378" s="229"/>
      <c r="F378" s="221"/>
      <c r="G378" s="220"/>
      <c r="H378" s="221"/>
      <c r="I378" s="30"/>
      <c r="L378" s="72"/>
      <c r="M378" s="72"/>
      <c r="N378" s="30"/>
    </row>
    <row r="379" spans="1:14" s="52" customFormat="1" ht="15.75" customHeight="1" x14ac:dyDescent="0.25">
      <c r="A379" s="224">
        <f t="shared" si="50"/>
        <v>7</v>
      </c>
      <c r="B379" s="225"/>
      <c r="C379" s="222"/>
      <c r="D379" s="230"/>
      <c r="E379" s="230"/>
      <c r="F379" s="223"/>
      <c r="G379" s="220"/>
      <c r="H379" s="221"/>
      <c r="I379" s="30"/>
      <c r="L379" s="72"/>
      <c r="M379" s="72"/>
      <c r="N379" s="30"/>
    </row>
    <row r="380" spans="1:14" s="52" customFormat="1" ht="15.75" customHeight="1" x14ac:dyDescent="0.25">
      <c r="A380" s="224">
        <f t="shared" si="50"/>
        <v>8</v>
      </c>
      <c r="B380" s="225"/>
      <c r="C380" s="227">
        <v>2</v>
      </c>
      <c r="D380" s="217">
        <f>(57.29+2.19)*(10.764)</f>
        <v>640.24271999999996</v>
      </c>
      <c r="E380" s="216">
        <v>0</v>
      </c>
      <c r="F380" s="216">
        <f>D380*(($F$174)+1)+(IF(E380&lt;101,E380,IF(E380&lt;201,E380/2,IF(E380&lt;=301,E380/3,E380/4))))</f>
        <v>992.376216</v>
      </c>
      <c r="G380" s="222"/>
      <c r="H380" s="223"/>
      <c r="I380" s="30"/>
      <c r="L380" s="72"/>
      <c r="M380" s="72"/>
      <c r="N380" s="30"/>
    </row>
    <row r="381" spans="1:14" s="52" customFormat="1" ht="15.75" customHeight="1" x14ac:dyDescent="0.25">
      <c r="A381" s="79" t="s">
        <v>263</v>
      </c>
      <c r="B381" s="80"/>
      <c r="C381" s="80"/>
      <c r="D381" s="80"/>
      <c r="E381" s="80"/>
      <c r="F381" s="80"/>
      <c r="G381" s="80"/>
      <c r="H381" s="81"/>
      <c r="I381" s="30"/>
      <c r="L381" s="72"/>
      <c r="M381" s="72"/>
      <c r="N381" s="30"/>
    </row>
    <row r="382" spans="1:14" s="52" customFormat="1" ht="15.75" customHeight="1" x14ac:dyDescent="0.25">
      <c r="A382" s="224">
        <v>1</v>
      </c>
      <c r="B382" s="225"/>
      <c r="C382" s="227">
        <v>3</v>
      </c>
      <c r="D382" s="217">
        <f>(83.58+2.48)*(10.764)</f>
        <v>926.34983999999997</v>
      </c>
      <c r="E382" s="216">
        <v>0</v>
      </c>
      <c r="F382" s="216">
        <f t="shared" ref="F382:F383" si="51">D382*(($F$174)+1)+(IF(E382&lt;101,E382,IF(E382&lt;201,E382/2,IF(E382&lt;=301,E382/3,E382/4))))</f>
        <v>1435.8422519999999</v>
      </c>
      <c r="G382" s="218" t="str">
        <f>A381</f>
        <v xml:space="preserve">4th Floor For Residential &amp; Part Parking Area </v>
      </c>
      <c r="H382" s="219"/>
      <c r="I382" s="30"/>
      <c r="L382" s="72"/>
      <c r="M382" s="72"/>
      <c r="N382" s="30"/>
    </row>
    <row r="383" spans="1:14" s="52" customFormat="1" ht="15.75" customHeight="1" x14ac:dyDescent="0.25">
      <c r="A383" s="224">
        <f t="shared" ref="A383:A389" si="52">A382+1</f>
        <v>2</v>
      </c>
      <c r="B383" s="225"/>
      <c r="C383" s="227">
        <v>3</v>
      </c>
      <c r="D383" s="217">
        <f>(83.58+2.48)*(10.764)</f>
        <v>926.34983999999997</v>
      </c>
      <c r="E383" s="216">
        <v>0</v>
      </c>
      <c r="F383" s="216">
        <f t="shared" si="51"/>
        <v>1435.8422519999999</v>
      </c>
      <c r="G383" s="220"/>
      <c r="H383" s="221"/>
      <c r="I383" s="30"/>
      <c r="L383" s="72"/>
      <c r="M383" s="72"/>
      <c r="N383" s="30"/>
    </row>
    <row r="384" spans="1:14" s="52" customFormat="1" ht="15.75" customHeight="1" x14ac:dyDescent="0.25">
      <c r="A384" s="224">
        <f t="shared" si="52"/>
        <v>3</v>
      </c>
      <c r="B384" s="225"/>
      <c r="C384" s="227">
        <v>2</v>
      </c>
      <c r="D384" s="217">
        <f>(57.29+2.19)*(10.764)</f>
        <v>640.24271999999996</v>
      </c>
      <c r="E384" s="216">
        <v>0</v>
      </c>
      <c r="F384" s="216">
        <f>D384*(($F$174)+1)+(IF(E384&lt;101,E384,IF(E384&lt;201,E384/2,IF(E384&lt;=301,E384/3,E384/4))))</f>
        <v>992.376216</v>
      </c>
      <c r="G384" s="220"/>
      <c r="H384" s="221"/>
      <c r="I384" s="30"/>
      <c r="L384" s="72"/>
      <c r="M384" s="72"/>
      <c r="N384" s="30"/>
    </row>
    <row r="385" spans="1:14" s="52" customFormat="1" ht="15.75" customHeight="1" x14ac:dyDescent="0.25">
      <c r="A385" s="224">
        <f t="shared" si="52"/>
        <v>4</v>
      </c>
      <c r="B385" s="225"/>
      <c r="C385" s="218" t="s">
        <v>257</v>
      </c>
      <c r="D385" s="228"/>
      <c r="E385" s="228"/>
      <c r="F385" s="219"/>
      <c r="G385" s="220"/>
      <c r="H385" s="221"/>
      <c r="I385" s="30"/>
      <c r="L385" s="72"/>
      <c r="M385" s="72"/>
      <c r="N385" s="30"/>
    </row>
    <row r="386" spans="1:14" s="52" customFormat="1" ht="15.75" customHeight="1" x14ac:dyDescent="0.25">
      <c r="A386" s="224">
        <f t="shared" si="52"/>
        <v>5</v>
      </c>
      <c r="B386" s="225"/>
      <c r="C386" s="220"/>
      <c r="D386" s="229"/>
      <c r="E386" s="229"/>
      <c r="F386" s="221"/>
      <c r="G386" s="220"/>
      <c r="H386" s="221"/>
      <c r="I386" s="52">
        <v>4</v>
      </c>
      <c r="J386" s="30"/>
    </row>
    <row r="387" spans="1:14" s="52" customFormat="1" ht="15.75" customHeight="1" x14ac:dyDescent="0.25">
      <c r="A387" s="224">
        <f t="shared" si="52"/>
        <v>6</v>
      </c>
      <c r="B387" s="225"/>
      <c r="C387" s="220"/>
      <c r="D387" s="229"/>
      <c r="E387" s="229"/>
      <c r="F387" s="221"/>
      <c r="G387" s="220"/>
      <c r="H387" s="221"/>
      <c r="I387" s="30"/>
      <c r="L387" s="72"/>
      <c r="M387" s="72"/>
      <c r="N387" s="30"/>
    </row>
    <row r="388" spans="1:14" s="52" customFormat="1" ht="15.75" customHeight="1" x14ac:dyDescent="0.25">
      <c r="A388" s="224">
        <f t="shared" si="52"/>
        <v>7</v>
      </c>
      <c r="B388" s="225"/>
      <c r="C388" s="222"/>
      <c r="D388" s="230"/>
      <c r="E388" s="230"/>
      <c r="F388" s="223"/>
      <c r="G388" s="220"/>
      <c r="H388" s="221"/>
      <c r="I388" s="30"/>
      <c r="L388" s="72"/>
      <c r="M388" s="72"/>
      <c r="N388" s="30"/>
    </row>
    <row r="389" spans="1:14" s="52" customFormat="1" ht="15.75" customHeight="1" x14ac:dyDescent="0.25">
      <c r="A389" s="224">
        <f t="shared" si="52"/>
        <v>8</v>
      </c>
      <c r="B389" s="225"/>
      <c r="C389" s="227">
        <v>2</v>
      </c>
      <c r="D389" s="217">
        <f>(57.29+2.19)*(10.764)</f>
        <v>640.24271999999996</v>
      </c>
      <c r="E389" s="216">
        <v>0</v>
      </c>
      <c r="F389" s="216">
        <f>D389*(($F$174)+1)+(IF(E389&lt;101,E389,IF(E389&lt;201,E389/2,IF(E389&lt;=301,E389/3,E389/4))))</f>
        <v>992.376216</v>
      </c>
      <c r="G389" s="222"/>
      <c r="H389" s="223"/>
      <c r="I389" s="30"/>
      <c r="L389" s="72"/>
      <c r="M389" s="72"/>
      <c r="N389" s="30"/>
    </row>
    <row r="390" spans="1:14" s="52" customFormat="1" ht="15.75" customHeight="1" x14ac:dyDescent="0.25">
      <c r="A390" s="79" t="s">
        <v>258</v>
      </c>
      <c r="B390" s="80"/>
      <c r="C390" s="80"/>
      <c r="D390" s="80"/>
      <c r="E390" s="80"/>
      <c r="F390" s="80"/>
      <c r="G390" s="80"/>
      <c r="H390" s="81"/>
      <c r="I390" s="30"/>
      <c r="L390" s="72"/>
      <c r="M390" s="72"/>
      <c r="N390" s="30"/>
    </row>
    <row r="391" spans="1:14" s="52" customFormat="1" ht="15.75" customHeight="1" x14ac:dyDescent="0.25">
      <c r="A391" s="224">
        <v>1</v>
      </c>
      <c r="B391" s="225"/>
      <c r="C391" s="227" t="s">
        <v>227</v>
      </c>
      <c r="D391" s="217">
        <f>(83.58+2.48)*10.764</f>
        <v>926.34983999999997</v>
      </c>
      <c r="E391" s="216">
        <v>0</v>
      </c>
      <c r="F391" s="216">
        <f t="shared" ref="F391:F392" si="53">D391*(($F$174)+1)+(IF(E391&lt;101,E391,IF(E391&lt;201,E391/2,IF(E391&lt;=301,E391/3,E391/4))))</f>
        <v>1435.8422519999999</v>
      </c>
      <c r="G391" s="218" t="str">
        <f>A390</f>
        <v>5th, 6th, 8th &amp; 9th Floor For Residnential</v>
      </c>
      <c r="H391" s="219"/>
      <c r="I391" s="30">
        <f>3.25*5.2+2.9*2.29+3.05*3.51+3.81*3.1+3.4*4.28+4.5*0.9+2.7+2.75*0.9+0.75*3.2+1.37*(2.29+2.29)+1.04*1.97</f>
        <v>80.557900000000018</v>
      </c>
      <c r="L391" s="72"/>
      <c r="M391" s="72"/>
      <c r="N391" s="30"/>
    </row>
    <row r="392" spans="1:14" s="52" customFormat="1" ht="15.75" customHeight="1" x14ac:dyDescent="0.25">
      <c r="A392" s="224">
        <f t="shared" ref="A392:A398" si="54">A391+1</f>
        <v>2</v>
      </c>
      <c r="B392" s="225"/>
      <c r="C392" s="227" t="s">
        <v>227</v>
      </c>
      <c r="D392" s="217">
        <f>(83.58+2.48)*10.764</f>
        <v>926.34983999999997</v>
      </c>
      <c r="E392" s="216">
        <v>0</v>
      </c>
      <c r="F392" s="216">
        <f t="shared" si="53"/>
        <v>1435.8422519999999</v>
      </c>
      <c r="G392" s="220"/>
      <c r="H392" s="221"/>
      <c r="I392" s="30"/>
      <c r="L392" s="72"/>
      <c r="M392" s="72"/>
      <c r="N392" s="30"/>
    </row>
    <row r="393" spans="1:14" s="52" customFormat="1" ht="15.75" customHeight="1" x14ac:dyDescent="0.25">
      <c r="A393" s="224">
        <f t="shared" si="54"/>
        <v>3</v>
      </c>
      <c r="B393" s="225"/>
      <c r="C393" s="227" t="s">
        <v>228</v>
      </c>
      <c r="D393" s="217">
        <f>(57.29+2.19)*10.764</f>
        <v>640.24271999999996</v>
      </c>
      <c r="E393" s="216">
        <v>0</v>
      </c>
      <c r="F393" s="216">
        <f>D393*(($F$174)+1)+(IF(E393&lt;101,E393,IF(E393&lt;201,E393/2,IF(E393&lt;=301,E393/3,E393/4))))</f>
        <v>992.376216</v>
      </c>
      <c r="G393" s="220"/>
      <c r="H393" s="221"/>
      <c r="I393" s="30"/>
      <c r="L393" s="72"/>
      <c r="M393" s="72"/>
      <c r="N393" s="30"/>
    </row>
    <row r="394" spans="1:14" s="52" customFormat="1" ht="15.75" customHeight="1" x14ac:dyDescent="0.25">
      <c r="A394" s="224">
        <f t="shared" si="54"/>
        <v>4</v>
      </c>
      <c r="B394" s="225"/>
      <c r="C394" s="227" t="s">
        <v>228</v>
      </c>
      <c r="D394" s="217">
        <f>(57.29+2.19)*10.764</f>
        <v>640.24271999999996</v>
      </c>
      <c r="E394" s="216">
        <v>0</v>
      </c>
      <c r="F394" s="216">
        <f t="shared" ref="F394:F397" si="55">D394*(($F$174)+1)+(IF(E394&lt;101,E394,IF(E394&lt;201,E394/2,IF(E394&lt;=301,E394/3,E394/4))))</f>
        <v>992.376216</v>
      </c>
      <c r="G394" s="220"/>
      <c r="H394" s="221"/>
      <c r="I394" s="30"/>
      <c r="L394" s="72"/>
      <c r="M394" s="72"/>
      <c r="N394" s="30"/>
    </row>
    <row r="395" spans="1:14" s="52" customFormat="1" ht="15.75" customHeight="1" x14ac:dyDescent="0.25">
      <c r="A395" s="224">
        <f t="shared" si="54"/>
        <v>5</v>
      </c>
      <c r="B395" s="225"/>
      <c r="C395" s="227" t="s">
        <v>227</v>
      </c>
      <c r="D395" s="217">
        <f>(82.46+2.05)*10.764</f>
        <v>909.66563999999983</v>
      </c>
      <c r="E395" s="216">
        <v>0</v>
      </c>
      <c r="F395" s="216">
        <f t="shared" si="55"/>
        <v>1409.9817419999997</v>
      </c>
      <c r="G395" s="220"/>
      <c r="H395" s="221"/>
      <c r="I395" s="52">
        <v>1</v>
      </c>
      <c r="J395" s="30"/>
    </row>
    <row r="396" spans="1:14" s="52" customFormat="1" ht="15.75" customHeight="1" x14ac:dyDescent="0.25">
      <c r="A396" s="224">
        <f t="shared" si="54"/>
        <v>6</v>
      </c>
      <c r="B396" s="225"/>
      <c r="C396" s="227" t="s">
        <v>227</v>
      </c>
      <c r="D396" s="217">
        <f>(82.46+2.05)*10.764</f>
        <v>909.66563999999983</v>
      </c>
      <c r="E396" s="216">
        <v>0</v>
      </c>
      <c r="F396" s="216">
        <f t="shared" si="55"/>
        <v>1409.9817419999997</v>
      </c>
      <c r="G396" s="220"/>
      <c r="H396" s="221"/>
      <c r="I396" s="30"/>
      <c r="L396" s="72"/>
      <c r="M396" s="72"/>
      <c r="N396" s="30"/>
    </row>
    <row r="397" spans="1:14" s="52" customFormat="1" ht="15.75" customHeight="1" x14ac:dyDescent="0.25">
      <c r="A397" s="224">
        <f t="shared" si="54"/>
        <v>7</v>
      </c>
      <c r="B397" s="225"/>
      <c r="C397" s="227" t="s">
        <v>228</v>
      </c>
      <c r="D397" s="217">
        <f>(57.29+2.19)*10.764</f>
        <v>640.24271999999996</v>
      </c>
      <c r="E397" s="216">
        <v>0</v>
      </c>
      <c r="F397" s="216">
        <f t="shared" si="55"/>
        <v>992.376216</v>
      </c>
      <c r="G397" s="220"/>
      <c r="H397" s="221"/>
      <c r="I397" s="30"/>
      <c r="L397" s="72"/>
      <c r="M397" s="72"/>
      <c r="N397" s="30"/>
    </row>
    <row r="398" spans="1:14" s="52" customFormat="1" ht="15.75" customHeight="1" x14ac:dyDescent="0.25">
      <c r="A398" s="224">
        <f t="shared" si="54"/>
        <v>8</v>
      </c>
      <c r="B398" s="225"/>
      <c r="C398" s="227" t="s">
        <v>228</v>
      </c>
      <c r="D398" s="217">
        <f>(57.29+2.19)*10.764</f>
        <v>640.24271999999996</v>
      </c>
      <c r="E398" s="216">
        <v>0</v>
      </c>
      <c r="F398" s="216">
        <f>D398*(($F$174)+1)+(IF(E398&lt;101,E398,IF(E398&lt;201,E398/2,IF(E398&lt;=301,E398/3,E398/4))))</f>
        <v>992.376216</v>
      </c>
      <c r="G398" s="222"/>
      <c r="H398" s="223"/>
      <c r="I398" s="30"/>
      <c r="L398" s="72"/>
      <c r="M398" s="72"/>
      <c r="N398" s="30"/>
    </row>
    <row r="399" spans="1:14" s="52" customFormat="1" ht="15.75" customHeight="1" x14ac:dyDescent="0.25">
      <c r="A399" s="79" t="s">
        <v>229</v>
      </c>
      <c r="B399" s="80"/>
      <c r="C399" s="80"/>
      <c r="D399" s="80"/>
      <c r="E399" s="80"/>
      <c r="F399" s="80"/>
      <c r="G399" s="80"/>
      <c r="H399" s="81"/>
      <c r="I399" s="30"/>
      <c r="L399" s="72"/>
      <c r="M399" s="72"/>
      <c r="N399" s="30"/>
    </row>
    <row r="400" spans="1:14" s="52" customFormat="1" ht="15.75" customHeight="1" x14ac:dyDescent="0.25">
      <c r="A400" s="224">
        <v>1</v>
      </c>
      <c r="B400" s="225"/>
      <c r="C400" s="227" t="s">
        <v>227</v>
      </c>
      <c r="D400" s="217">
        <f>(83.58+2.48)*10.764</f>
        <v>926.34983999999997</v>
      </c>
      <c r="E400" s="216">
        <v>0</v>
      </c>
      <c r="F400" s="216">
        <f t="shared" ref="F400:F401" si="56">D400*(($F$174)+1)+(IF(E400&lt;101,E400,IF(E400&lt;201,E400/2,IF(E400&lt;=301,E400/3,E400/4))))</f>
        <v>1435.8422519999999</v>
      </c>
      <c r="G400" s="218" t="str">
        <f>A399</f>
        <v>7th Floor For Part Refuge Area</v>
      </c>
      <c r="H400" s="219"/>
      <c r="I400" s="30"/>
      <c r="L400" s="72"/>
      <c r="M400" s="72"/>
      <c r="N400" s="30"/>
    </row>
    <row r="401" spans="1:14" s="52" customFormat="1" ht="15.75" customHeight="1" x14ac:dyDescent="0.25">
      <c r="A401" s="224">
        <f t="shared" ref="A401:A407" si="57">A400+1</f>
        <v>2</v>
      </c>
      <c r="B401" s="225"/>
      <c r="C401" s="227" t="s">
        <v>227</v>
      </c>
      <c r="D401" s="217">
        <f>(83.58+2.48)*10.764</f>
        <v>926.34983999999997</v>
      </c>
      <c r="E401" s="216">
        <v>0</v>
      </c>
      <c r="F401" s="216">
        <f t="shared" si="56"/>
        <v>1435.8422519999999</v>
      </c>
      <c r="G401" s="220"/>
      <c r="H401" s="221"/>
      <c r="I401" s="30"/>
      <c r="L401" s="72"/>
      <c r="M401" s="72"/>
      <c r="N401" s="30"/>
    </row>
    <row r="402" spans="1:14" s="52" customFormat="1" ht="15.75" customHeight="1" x14ac:dyDescent="0.25">
      <c r="A402" s="224">
        <f t="shared" si="57"/>
        <v>3</v>
      </c>
      <c r="B402" s="225"/>
      <c r="C402" s="224" t="s">
        <v>187</v>
      </c>
      <c r="D402" s="241"/>
      <c r="E402" s="241"/>
      <c r="F402" s="225"/>
      <c r="G402" s="220"/>
      <c r="H402" s="221"/>
      <c r="I402" s="30"/>
      <c r="L402" s="72"/>
      <c r="M402" s="72"/>
      <c r="N402" s="30"/>
    </row>
    <row r="403" spans="1:14" s="52" customFormat="1" ht="15.75" customHeight="1" x14ac:dyDescent="0.25">
      <c r="A403" s="224">
        <f t="shared" si="57"/>
        <v>4</v>
      </c>
      <c r="B403" s="225"/>
      <c r="C403" s="227" t="s">
        <v>228</v>
      </c>
      <c r="D403" s="217">
        <f>(57.29+2.19)*10.764</f>
        <v>640.24271999999996</v>
      </c>
      <c r="E403" s="216">
        <v>0</v>
      </c>
      <c r="F403" s="216">
        <f t="shared" ref="F403:F406" si="58">D403*(($F$174)+1)+(IF(E403&lt;101,E403,IF(E403&lt;201,E403/2,IF(E403&lt;=301,E403/3,E403/4))))</f>
        <v>992.376216</v>
      </c>
      <c r="G403" s="220"/>
      <c r="H403" s="221"/>
      <c r="I403" s="30"/>
      <c r="L403" s="72"/>
      <c r="M403" s="72"/>
      <c r="N403" s="30"/>
    </row>
    <row r="404" spans="1:14" s="52" customFormat="1" ht="15.75" customHeight="1" x14ac:dyDescent="0.25">
      <c r="A404" s="224">
        <f t="shared" si="57"/>
        <v>5</v>
      </c>
      <c r="B404" s="225"/>
      <c r="C404" s="227" t="s">
        <v>227</v>
      </c>
      <c r="D404" s="217">
        <f>(82.46+2.05)*10.764</f>
        <v>909.66563999999983</v>
      </c>
      <c r="E404" s="216">
        <v>0</v>
      </c>
      <c r="F404" s="216">
        <f t="shared" si="58"/>
        <v>1409.9817419999997</v>
      </c>
      <c r="G404" s="220"/>
      <c r="H404" s="221"/>
      <c r="I404" s="52">
        <v>8</v>
      </c>
      <c r="J404" s="30"/>
    </row>
    <row r="405" spans="1:14" s="52" customFormat="1" ht="15.75" customHeight="1" x14ac:dyDescent="0.25">
      <c r="A405" s="224">
        <f t="shared" si="57"/>
        <v>6</v>
      </c>
      <c r="B405" s="225"/>
      <c r="C405" s="227" t="s">
        <v>227</v>
      </c>
      <c r="D405" s="217">
        <f>(82.46+2.05)*10.764</f>
        <v>909.66563999999983</v>
      </c>
      <c r="E405" s="216">
        <v>0</v>
      </c>
      <c r="F405" s="216">
        <f t="shared" si="58"/>
        <v>1409.9817419999997</v>
      </c>
      <c r="G405" s="220"/>
      <c r="H405" s="221"/>
      <c r="I405" s="30"/>
      <c r="L405" s="72"/>
      <c r="M405" s="72"/>
      <c r="N405" s="30"/>
    </row>
    <row r="406" spans="1:14" s="52" customFormat="1" ht="15.75" customHeight="1" x14ac:dyDescent="0.25">
      <c r="A406" s="224">
        <f t="shared" si="57"/>
        <v>7</v>
      </c>
      <c r="B406" s="225"/>
      <c r="C406" s="227" t="s">
        <v>228</v>
      </c>
      <c r="D406" s="217">
        <f>(57.29+2.19)*10.764</f>
        <v>640.24271999999996</v>
      </c>
      <c r="E406" s="216">
        <v>0</v>
      </c>
      <c r="F406" s="216">
        <f t="shared" si="58"/>
        <v>992.376216</v>
      </c>
      <c r="G406" s="220"/>
      <c r="H406" s="221"/>
      <c r="I406" s="30"/>
      <c r="L406" s="72"/>
      <c r="M406" s="72"/>
      <c r="N406" s="30"/>
    </row>
    <row r="407" spans="1:14" s="52" customFormat="1" ht="15.75" customHeight="1" x14ac:dyDescent="0.25">
      <c r="A407" s="224">
        <f t="shared" si="57"/>
        <v>8</v>
      </c>
      <c r="B407" s="225"/>
      <c r="C407" s="227" t="s">
        <v>228</v>
      </c>
      <c r="D407" s="217">
        <f>(57.29+2.19)*10.764</f>
        <v>640.24271999999996</v>
      </c>
      <c r="E407" s="216">
        <v>0</v>
      </c>
      <c r="F407" s="216">
        <f>D407*(($F$174)+1)+(IF(E407&lt;101,E407,IF(E407&lt;201,E407/2,IF(E407&lt;=301,E407/3,E407/4))))</f>
        <v>992.376216</v>
      </c>
      <c r="G407" s="222"/>
      <c r="H407" s="223"/>
      <c r="I407" s="30"/>
      <c r="L407" s="72"/>
      <c r="M407" s="72"/>
      <c r="N407" s="30"/>
    </row>
    <row r="408" spans="1:14" s="52" customFormat="1" ht="15.75" customHeight="1" x14ac:dyDescent="0.25">
      <c r="A408" s="79" t="s">
        <v>222</v>
      </c>
      <c r="B408" s="80"/>
      <c r="C408" s="80"/>
      <c r="D408" s="80"/>
      <c r="E408" s="80"/>
      <c r="F408" s="80"/>
      <c r="G408" s="80"/>
      <c r="H408" s="81"/>
      <c r="I408" s="30"/>
      <c r="L408" s="72"/>
      <c r="M408" s="72"/>
      <c r="N408" s="30"/>
    </row>
    <row r="409" spans="1:14" s="52" customFormat="1" ht="15.75" customHeight="1" x14ac:dyDescent="0.25">
      <c r="A409" s="224">
        <v>1</v>
      </c>
      <c r="B409" s="225"/>
      <c r="C409" s="227" t="s">
        <v>227</v>
      </c>
      <c r="D409" s="217">
        <f>(83.58+7.29)*10.764</f>
        <v>978.12468000000001</v>
      </c>
      <c r="E409" s="216">
        <v>0</v>
      </c>
      <c r="F409" s="216">
        <f t="shared" ref="F409:F410" si="59">D409*(($F$174)+1)+(IF(E409&lt;101,E409,IF(E409&lt;201,E409/2,IF(E409&lt;=301,E409/3,E409/4))))</f>
        <v>1516.0932540000001</v>
      </c>
      <c r="G409" s="218" t="str">
        <f>A408</f>
        <v>10th, 11th, 13th to 16th, 18th &amp; 19th Floor</v>
      </c>
      <c r="H409" s="219"/>
      <c r="I409" s="30"/>
      <c r="L409" s="72"/>
      <c r="M409" s="72"/>
      <c r="N409" s="30"/>
    </row>
    <row r="410" spans="1:14" s="52" customFormat="1" ht="15.75" customHeight="1" x14ac:dyDescent="0.25">
      <c r="A410" s="224">
        <f t="shared" ref="A410:A416" si="60">A409+1</f>
        <v>2</v>
      </c>
      <c r="B410" s="225"/>
      <c r="C410" s="227" t="s">
        <v>227</v>
      </c>
      <c r="D410" s="217">
        <f>(83.58+7.29)*10.764</f>
        <v>978.12468000000001</v>
      </c>
      <c r="E410" s="216">
        <v>0</v>
      </c>
      <c r="F410" s="216">
        <f t="shared" si="59"/>
        <v>1516.0932540000001</v>
      </c>
      <c r="G410" s="220"/>
      <c r="H410" s="221"/>
      <c r="I410" s="30"/>
      <c r="L410" s="72"/>
      <c r="M410" s="72"/>
      <c r="N410" s="30"/>
    </row>
    <row r="411" spans="1:14" s="52" customFormat="1" ht="15.75" customHeight="1" x14ac:dyDescent="0.25">
      <c r="A411" s="224">
        <f t="shared" si="60"/>
        <v>3</v>
      </c>
      <c r="B411" s="225"/>
      <c r="C411" s="227" t="s">
        <v>228</v>
      </c>
      <c r="D411" s="217">
        <f>(57.29+2.19)*10.764</f>
        <v>640.24271999999996</v>
      </c>
      <c r="E411" s="216">
        <v>0</v>
      </c>
      <c r="F411" s="216">
        <f>D411*(($F$174)+1)+(IF(E411&lt;101,E411,IF(E411&lt;201,E411/2,IF(E411&lt;=301,E411/3,E411/4))))</f>
        <v>992.376216</v>
      </c>
      <c r="G411" s="220"/>
      <c r="H411" s="221"/>
      <c r="I411" s="30"/>
      <c r="L411" s="72"/>
      <c r="M411" s="72"/>
      <c r="N411" s="30"/>
    </row>
    <row r="412" spans="1:14" s="52" customFormat="1" ht="15.75" customHeight="1" x14ac:dyDescent="0.25">
      <c r="A412" s="224">
        <f t="shared" si="60"/>
        <v>4</v>
      </c>
      <c r="B412" s="225"/>
      <c r="C412" s="227" t="s">
        <v>228</v>
      </c>
      <c r="D412" s="217">
        <f>(57.29+2.19)*10.764</f>
        <v>640.24271999999996</v>
      </c>
      <c r="E412" s="216">
        <v>0</v>
      </c>
      <c r="F412" s="216">
        <f t="shared" ref="F412:F415" si="61">D412*(($F$174)+1)+(IF(E412&lt;101,E412,IF(E412&lt;201,E412/2,IF(E412&lt;=301,E412/3,E412/4))))</f>
        <v>992.376216</v>
      </c>
      <c r="G412" s="220"/>
      <c r="H412" s="221"/>
      <c r="I412" s="30"/>
      <c r="L412" s="72"/>
      <c r="M412" s="72"/>
      <c r="N412" s="30"/>
    </row>
    <row r="413" spans="1:14" s="52" customFormat="1" ht="15.75" customHeight="1" x14ac:dyDescent="0.25">
      <c r="A413" s="224">
        <f t="shared" si="60"/>
        <v>5</v>
      </c>
      <c r="B413" s="225"/>
      <c r="C413" s="227" t="s">
        <v>227</v>
      </c>
      <c r="D413" s="217">
        <f>(82.46+6.86)*10.764</f>
        <v>961.44047999999987</v>
      </c>
      <c r="E413" s="216">
        <v>0</v>
      </c>
      <c r="F413" s="216">
        <f t="shared" si="61"/>
        <v>1490.2327439999999</v>
      </c>
      <c r="G413" s="220"/>
      <c r="H413" s="221"/>
      <c r="I413" s="52">
        <v>2</v>
      </c>
      <c r="J413" s="30"/>
    </row>
    <row r="414" spans="1:14" s="52" customFormat="1" ht="15.75" customHeight="1" x14ac:dyDescent="0.25">
      <c r="A414" s="224">
        <f t="shared" si="60"/>
        <v>6</v>
      </c>
      <c r="B414" s="225"/>
      <c r="C414" s="227" t="s">
        <v>227</v>
      </c>
      <c r="D414" s="217">
        <f>(82.46+6.86)*10.764</f>
        <v>961.44047999999987</v>
      </c>
      <c r="E414" s="216">
        <v>0</v>
      </c>
      <c r="F414" s="216">
        <f t="shared" si="61"/>
        <v>1490.2327439999999</v>
      </c>
      <c r="G414" s="220"/>
      <c r="H414" s="221"/>
      <c r="I414" s="30"/>
      <c r="L414" s="72"/>
      <c r="M414" s="72"/>
      <c r="N414" s="30"/>
    </row>
    <row r="415" spans="1:14" s="52" customFormat="1" ht="15.75" customHeight="1" x14ac:dyDescent="0.25">
      <c r="A415" s="224">
        <f t="shared" si="60"/>
        <v>7</v>
      </c>
      <c r="B415" s="225"/>
      <c r="C415" s="227" t="s">
        <v>228</v>
      </c>
      <c r="D415" s="217">
        <f>(57.29+2.19)*10.764</f>
        <v>640.24271999999996</v>
      </c>
      <c r="E415" s="216">
        <v>0</v>
      </c>
      <c r="F415" s="216">
        <f t="shared" si="61"/>
        <v>992.376216</v>
      </c>
      <c r="G415" s="220"/>
      <c r="H415" s="221"/>
      <c r="I415" s="30"/>
      <c r="L415" s="72"/>
      <c r="M415" s="72"/>
      <c r="N415" s="30"/>
    </row>
    <row r="416" spans="1:14" s="52" customFormat="1" ht="15.75" customHeight="1" x14ac:dyDescent="0.25">
      <c r="A416" s="224">
        <f t="shared" si="60"/>
        <v>8</v>
      </c>
      <c r="B416" s="225"/>
      <c r="C416" s="227" t="s">
        <v>228</v>
      </c>
      <c r="D416" s="217">
        <f>(57.29+2.19)*10.764</f>
        <v>640.24271999999996</v>
      </c>
      <c r="E416" s="216">
        <v>0</v>
      </c>
      <c r="F416" s="216">
        <f>D416*(($F$174)+1)+(IF(E416&lt;101,E416,IF(E416&lt;201,E416/2,IF(E416&lt;=301,E416/3,E416/4))))</f>
        <v>992.376216</v>
      </c>
      <c r="G416" s="222"/>
      <c r="H416" s="223"/>
      <c r="I416" s="30"/>
      <c r="L416" s="72"/>
      <c r="M416" s="72"/>
      <c r="N416" s="30"/>
    </row>
    <row r="417" spans="1:14" s="52" customFormat="1" ht="15.75" customHeight="1" x14ac:dyDescent="0.25">
      <c r="A417" s="79" t="s">
        <v>189</v>
      </c>
      <c r="B417" s="80"/>
      <c r="C417" s="80"/>
      <c r="D417" s="80"/>
      <c r="E417" s="80"/>
      <c r="F417" s="80"/>
      <c r="G417" s="80"/>
      <c r="H417" s="81"/>
      <c r="I417" s="30"/>
      <c r="L417" s="72"/>
      <c r="M417" s="72"/>
      <c r="N417" s="30"/>
    </row>
    <row r="418" spans="1:14" s="52" customFormat="1" ht="15.75" customHeight="1" x14ac:dyDescent="0.25">
      <c r="A418" s="224">
        <v>1</v>
      </c>
      <c r="B418" s="225"/>
      <c r="C418" s="227" t="s">
        <v>227</v>
      </c>
      <c r="D418" s="217">
        <f>(83.58+7.29)*10.764</f>
        <v>978.12468000000001</v>
      </c>
      <c r="E418" s="216">
        <v>0</v>
      </c>
      <c r="F418" s="216">
        <f t="shared" ref="F418:F419" si="62">D418*(($F$174)+1)+(IF(E418&lt;101,E418,IF(E418&lt;201,E418/2,IF(E418&lt;=301,E418/3,E418/4))))</f>
        <v>1516.0932540000001</v>
      </c>
      <c r="G418" s="218" t="str">
        <f>A417</f>
        <v>12th &amp; 17th Floor (Part Refuge Area)</v>
      </c>
      <c r="H418" s="219"/>
      <c r="I418" s="30"/>
      <c r="L418" s="72"/>
      <c r="M418" s="72"/>
      <c r="N418" s="30"/>
    </row>
    <row r="419" spans="1:14" s="52" customFormat="1" ht="15.75" customHeight="1" x14ac:dyDescent="0.25">
      <c r="A419" s="224">
        <f t="shared" ref="A419:A425" si="63">A418+1</f>
        <v>2</v>
      </c>
      <c r="B419" s="225"/>
      <c r="C419" s="227" t="s">
        <v>227</v>
      </c>
      <c r="D419" s="217">
        <f>(83.58+7.29)*10.764</f>
        <v>978.12468000000001</v>
      </c>
      <c r="E419" s="216">
        <v>0</v>
      </c>
      <c r="F419" s="216">
        <f t="shared" si="62"/>
        <v>1516.0932540000001</v>
      </c>
      <c r="G419" s="220"/>
      <c r="H419" s="221"/>
      <c r="I419" s="30"/>
      <c r="L419" s="72"/>
      <c r="M419" s="72"/>
      <c r="N419" s="30"/>
    </row>
    <row r="420" spans="1:14" s="52" customFormat="1" ht="15.75" customHeight="1" x14ac:dyDescent="0.25">
      <c r="A420" s="224">
        <f t="shared" si="63"/>
        <v>3</v>
      </c>
      <c r="B420" s="225"/>
      <c r="C420" s="224" t="s">
        <v>187</v>
      </c>
      <c r="D420" s="241"/>
      <c r="E420" s="241"/>
      <c r="F420" s="225"/>
      <c r="G420" s="220"/>
      <c r="H420" s="221"/>
      <c r="I420" s="30"/>
      <c r="L420" s="72"/>
      <c r="M420" s="72"/>
      <c r="N420" s="30"/>
    </row>
    <row r="421" spans="1:14" s="52" customFormat="1" ht="15.75" customHeight="1" x14ac:dyDescent="0.25">
      <c r="A421" s="224">
        <f t="shared" si="63"/>
        <v>4</v>
      </c>
      <c r="B421" s="225"/>
      <c r="C421" s="227" t="s">
        <v>228</v>
      </c>
      <c r="D421" s="217">
        <f>(57.29+2.19)*10.764</f>
        <v>640.24271999999996</v>
      </c>
      <c r="E421" s="216">
        <v>0</v>
      </c>
      <c r="F421" s="216">
        <f t="shared" ref="F421:F424" si="64">D421*(($F$174)+1)+(IF(E421&lt;101,E421,IF(E421&lt;201,E421/2,IF(E421&lt;=301,E421/3,E421/4))))</f>
        <v>992.376216</v>
      </c>
      <c r="G421" s="220"/>
      <c r="H421" s="221"/>
      <c r="I421" s="30"/>
      <c r="L421" s="72"/>
      <c r="M421" s="72"/>
      <c r="N421" s="30"/>
    </row>
    <row r="422" spans="1:14" s="52" customFormat="1" ht="15.75" customHeight="1" x14ac:dyDescent="0.25">
      <c r="A422" s="224">
        <f t="shared" si="63"/>
        <v>5</v>
      </c>
      <c r="B422" s="225"/>
      <c r="C422" s="227" t="s">
        <v>227</v>
      </c>
      <c r="D422" s="217">
        <f>(82.46+6.86)*10.764</f>
        <v>961.44047999999987</v>
      </c>
      <c r="E422" s="216">
        <v>0</v>
      </c>
      <c r="F422" s="216">
        <f t="shared" si="64"/>
        <v>1490.2327439999999</v>
      </c>
      <c r="G422" s="220"/>
      <c r="H422" s="221"/>
      <c r="I422" s="52">
        <f>2+4+2</f>
        <v>8</v>
      </c>
      <c r="J422" s="30"/>
    </row>
    <row r="423" spans="1:14" s="52" customFormat="1" ht="15.75" customHeight="1" x14ac:dyDescent="0.25">
      <c r="A423" s="224">
        <f t="shared" si="63"/>
        <v>6</v>
      </c>
      <c r="B423" s="225"/>
      <c r="C423" s="227" t="s">
        <v>227</v>
      </c>
      <c r="D423" s="217">
        <f>(82.46+6.86)*10.764</f>
        <v>961.44047999999987</v>
      </c>
      <c r="E423" s="216">
        <v>0</v>
      </c>
      <c r="F423" s="216">
        <f t="shared" si="64"/>
        <v>1490.2327439999999</v>
      </c>
      <c r="G423" s="220"/>
      <c r="H423" s="221"/>
      <c r="I423" s="30"/>
      <c r="L423" s="72"/>
      <c r="M423" s="72"/>
      <c r="N423" s="30"/>
    </row>
    <row r="424" spans="1:14" s="52" customFormat="1" ht="15.75" customHeight="1" x14ac:dyDescent="0.25">
      <c r="A424" s="224">
        <f t="shared" si="63"/>
        <v>7</v>
      </c>
      <c r="B424" s="225"/>
      <c r="C424" s="227" t="s">
        <v>228</v>
      </c>
      <c r="D424" s="217">
        <f>(57.29+2.19)*10.764</f>
        <v>640.24271999999996</v>
      </c>
      <c r="E424" s="216">
        <v>0</v>
      </c>
      <c r="F424" s="216">
        <f t="shared" si="64"/>
        <v>992.376216</v>
      </c>
      <c r="G424" s="220"/>
      <c r="H424" s="221"/>
      <c r="I424" s="30"/>
      <c r="L424" s="72"/>
      <c r="M424" s="72"/>
      <c r="N424" s="30"/>
    </row>
    <row r="425" spans="1:14" s="52" customFormat="1" ht="15.75" customHeight="1" x14ac:dyDescent="0.25">
      <c r="A425" s="224">
        <f t="shared" si="63"/>
        <v>8</v>
      </c>
      <c r="B425" s="225"/>
      <c r="C425" s="227" t="s">
        <v>228</v>
      </c>
      <c r="D425" s="217">
        <f>(57.29+2.19)*10.764</f>
        <v>640.24271999999996</v>
      </c>
      <c r="E425" s="216">
        <v>0</v>
      </c>
      <c r="F425" s="216">
        <f>D425*(($F$174)+1)+(IF(E425&lt;101,E425,IF(E425&lt;201,E425/2,IF(E425&lt;=301,E425/3,E425/4))))</f>
        <v>992.376216</v>
      </c>
      <c r="G425" s="222"/>
      <c r="H425" s="223"/>
      <c r="I425" s="30"/>
      <c r="L425" s="72"/>
      <c r="M425" s="72"/>
      <c r="N425" s="30"/>
    </row>
    <row r="426" spans="1:14" s="52" customFormat="1" ht="15.75" customHeight="1" x14ac:dyDescent="0.25">
      <c r="A426" s="79" t="s">
        <v>233</v>
      </c>
      <c r="B426" s="80"/>
      <c r="C426" s="80"/>
      <c r="D426" s="80"/>
      <c r="E426" s="80"/>
      <c r="F426" s="80"/>
      <c r="G426" s="80"/>
      <c r="H426" s="81"/>
      <c r="I426" s="30"/>
      <c r="L426" s="72"/>
      <c r="M426" s="72"/>
      <c r="N426" s="30"/>
    </row>
    <row r="427" spans="1:14" s="52" customFormat="1" ht="15.75" customHeight="1" x14ac:dyDescent="0.25">
      <c r="A427" s="224">
        <v>1</v>
      </c>
      <c r="B427" s="225"/>
      <c r="C427" s="227" t="s">
        <v>227</v>
      </c>
      <c r="D427" s="217">
        <f>(83.58+10.96)*10.764</f>
        <v>1017.6285599999999</v>
      </c>
      <c r="E427" s="216">
        <v>0</v>
      </c>
      <c r="F427" s="216">
        <f t="shared" ref="F427:F428" si="65">D427*(($F$174)+1)+(IF(E427&lt;101,E427,IF(E427&lt;201,E427/2,IF(E427&lt;=301,E427/3,E427/4))))</f>
        <v>1577.3242679999998</v>
      </c>
      <c r="G427" s="218" t="str">
        <f>A426</f>
        <v>20th, 21st, 23rd to 26th, 28th &amp; 29th Floor</v>
      </c>
      <c r="H427" s="219"/>
      <c r="I427" s="30"/>
      <c r="L427" s="72"/>
      <c r="M427" s="72"/>
      <c r="N427" s="30"/>
    </row>
    <row r="428" spans="1:14" s="52" customFormat="1" ht="15.75" customHeight="1" x14ac:dyDescent="0.25">
      <c r="A428" s="224">
        <f t="shared" ref="A428:A434" si="66">A427+1</f>
        <v>2</v>
      </c>
      <c r="B428" s="225"/>
      <c r="C428" s="227" t="s">
        <v>227</v>
      </c>
      <c r="D428" s="217">
        <f>(83.58+10.96)*10.764</f>
        <v>1017.6285599999999</v>
      </c>
      <c r="E428" s="216">
        <v>0</v>
      </c>
      <c r="F428" s="216">
        <f t="shared" si="65"/>
        <v>1577.3242679999998</v>
      </c>
      <c r="G428" s="220"/>
      <c r="H428" s="221"/>
      <c r="I428" s="30"/>
      <c r="L428" s="72"/>
      <c r="M428" s="72"/>
      <c r="N428" s="30"/>
    </row>
    <row r="429" spans="1:14" s="52" customFormat="1" ht="15.75" customHeight="1" x14ac:dyDescent="0.25">
      <c r="A429" s="224">
        <f t="shared" si="66"/>
        <v>3</v>
      </c>
      <c r="B429" s="225"/>
      <c r="C429" s="227" t="s">
        <v>228</v>
      </c>
      <c r="D429" s="217">
        <f>(57.29+5.3)*10.764</f>
        <v>673.71875999999997</v>
      </c>
      <c r="E429" s="216">
        <v>0</v>
      </c>
      <c r="F429" s="216">
        <f>D429*(($F$174)+1)+(IF(E429&lt;101,E429,IF(E429&lt;201,E429/2,IF(E429&lt;=301,E429/3,E429/4))))</f>
        <v>1044.2640779999999</v>
      </c>
      <c r="G429" s="220"/>
      <c r="H429" s="221"/>
      <c r="I429" s="30"/>
      <c r="L429" s="72"/>
      <c r="M429" s="72"/>
      <c r="N429" s="30"/>
    </row>
    <row r="430" spans="1:14" s="52" customFormat="1" ht="15.75" customHeight="1" x14ac:dyDescent="0.25">
      <c r="A430" s="224">
        <f t="shared" si="66"/>
        <v>4</v>
      </c>
      <c r="B430" s="225"/>
      <c r="C430" s="227" t="s">
        <v>228</v>
      </c>
      <c r="D430" s="217">
        <f>(57.29+5.3)*10.764</f>
        <v>673.71875999999997</v>
      </c>
      <c r="E430" s="216">
        <v>0</v>
      </c>
      <c r="F430" s="216">
        <f t="shared" ref="F430:F433" si="67">D430*(($F$174)+1)+(IF(E430&lt;101,E430,IF(E430&lt;201,E430/2,IF(E430&lt;=301,E430/3,E430/4))))</f>
        <v>1044.2640779999999</v>
      </c>
      <c r="G430" s="220"/>
      <c r="H430" s="221"/>
      <c r="I430" s="30"/>
      <c r="L430" s="72"/>
      <c r="M430" s="72"/>
      <c r="N430" s="30"/>
    </row>
    <row r="431" spans="1:14" s="52" customFormat="1" ht="15.75" customHeight="1" x14ac:dyDescent="0.25">
      <c r="A431" s="224">
        <f t="shared" si="66"/>
        <v>5</v>
      </c>
      <c r="B431" s="225"/>
      <c r="C431" s="227" t="s">
        <v>227</v>
      </c>
      <c r="D431" s="217">
        <f>(82.46+10.52)*10.764</f>
        <v>1000.8367199999998</v>
      </c>
      <c r="E431" s="216">
        <v>0</v>
      </c>
      <c r="F431" s="216">
        <f t="shared" si="67"/>
        <v>1551.2969159999998</v>
      </c>
      <c r="G431" s="220"/>
      <c r="H431" s="221"/>
      <c r="I431" s="52">
        <v>2</v>
      </c>
      <c r="J431" s="30"/>
    </row>
    <row r="432" spans="1:14" s="52" customFormat="1" ht="15.75" customHeight="1" x14ac:dyDescent="0.25">
      <c r="A432" s="224">
        <f t="shared" si="66"/>
        <v>6</v>
      </c>
      <c r="B432" s="225"/>
      <c r="C432" s="227" t="s">
        <v>227</v>
      </c>
      <c r="D432" s="217">
        <f>(82.46+10.52)*10.764</f>
        <v>1000.8367199999998</v>
      </c>
      <c r="E432" s="216">
        <v>0</v>
      </c>
      <c r="F432" s="216">
        <f t="shared" si="67"/>
        <v>1551.2969159999998</v>
      </c>
      <c r="G432" s="220"/>
      <c r="H432" s="221"/>
      <c r="I432" s="30"/>
      <c r="L432" s="72"/>
      <c r="M432" s="72"/>
      <c r="N432" s="30"/>
    </row>
    <row r="433" spans="1:14" s="52" customFormat="1" ht="15.75" customHeight="1" x14ac:dyDescent="0.25">
      <c r="A433" s="224">
        <f t="shared" si="66"/>
        <v>7</v>
      </c>
      <c r="B433" s="225"/>
      <c r="C433" s="227" t="s">
        <v>228</v>
      </c>
      <c r="D433" s="217">
        <f>(57.29+5.3)*10.764</f>
        <v>673.71875999999997</v>
      </c>
      <c r="E433" s="216">
        <v>0</v>
      </c>
      <c r="F433" s="216">
        <f t="shared" si="67"/>
        <v>1044.2640779999999</v>
      </c>
      <c r="G433" s="220"/>
      <c r="H433" s="221"/>
      <c r="I433" s="30"/>
      <c r="L433" s="72"/>
      <c r="M433" s="72"/>
      <c r="N433" s="30"/>
    </row>
    <row r="434" spans="1:14" s="52" customFormat="1" ht="15.75" customHeight="1" x14ac:dyDescent="0.25">
      <c r="A434" s="224">
        <f t="shared" si="66"/>
        <v>8</v>
      </c>
      <c r="B434" s="225"/>
      <c r="C434" s="227" t="s">
        <v>228</v>
      </c>
      <c r="D434" s="217">
        <f>(57.29+5.3)*10.764</f>
        <v>673.71875999999997</v>
      </c>
      <c r="E434" s="216">
        <v>0</v>
      </c>
      <c r="F434" s="216">
        <f>D434*(($F$174)+1)+(IF(E434&lt;101,E434,IF(E434&lt;201,E434/2,IF(E434&lt;=301,E434/3,E434/4))))</f>
        <v>1044.2640779999999</v>
      </c>
      <c r="G434" s="222"/>
      <c r="H434" s="223"/>
      <c r="I434" s="30"/>
      <c r="L434" s="72"/>
      <c r="M434" s="72"/>
      <c r="N434" s="30"/>
    </row>
    <row r="435" spans="1:14" s="52" customFormat="1" ht="15.75" customHeight="1" x14ac:dyDescent="0.25">
      <c r="A435" s="79" t="s">
        <v>230</v>
      </c>
      <c r="B435" s="80"/>
      <c r="C435" s="80"/>
      <c r="D435" s="80"/>
      <c r="E435" s="80"/>
      <c r="F435" s="80"/>
      <c r="G435" s="80"/>
      <c r="H435" s="81"/>
      <c r="I435" s="30"/>
      <c r="L435" s="72"/>
      <c r="M435" s="72"/>
      <c r="N435" s="30"/>
    </row>
    <row r="436" spans="1:14" s="52" customFormat="1" ht="15.75" customHeight="1" x14ac:dyDescent="0.25">
      <c r="A436" s="224">
        <v>1</v>
      </c>
      <c r="B436" s="225"/>
      <c r="C436" s="227" t="s">
        <v>227</v>
      </c>
      <c r="D436" s="217">
        <f>(83.58+10.96)*10.764</f>
        <v>1017.6285599999999</v>
      </c>
      <c r="E436" s="216">
        <v>0</v>
      </c>
      <c r="F436" s="216">
        <f t="shared" ref="F436:F437" si="68">D436*(($F$174)+1)+(IF(E436&lt;101,E436,IF(E436&lt;201,E436/2,IF(E436&lt;=301,E436/3,E436/4))))</f>
        <v>1577.3242679999998</v>
      </c>
      <c r="G436" s="218" t="str">
        <f>A435</f>
        <v>22nd &amp; 27th Floor Part Refuge Area</v>
      </c>
      <c r="H436" s="219"/>
      <c r="I436" s="30"/>
      <c r="L436" s="72"/>
      <c r="M436" s="72"/>
      <c r="N436" s="30"/>
    </row>
    <row r="437" spans="1:14" s="52" customFormat="1" ht="15.75" customHeight="1" x14ac:dyDescent="0.25">
      <c r="A437" s="224">
        <f t="shared" ref="A437:A443" si="69">A436+1</f>
        <v>2</v>
      </c>
      <c r="B437" s="225"/>
      <c r="C437" s="227" t="s">
        <v>227</v>
      </c>
      <c r="D437" s="217">
        <f>(83.58+10.96)*10.764</f>
        <v>1017.6285599999999</v>
      </c>
      <c r="E437" s="216">
        <v>0</v>
      </c>
      <c r="F437" s="216">
        <f t="shared" si="68"/>
        <v>1577.3242679999998</v>
      </c>
      <c r="G437" s="220"/>
      <c r="H437" s="221"/>
      <c r="I437" s="30"/>
      <c r="L437" s="72"/>
      <c r="M437" s="72"/>
      <c r="N437" s="30"/>
    </row>
    <row r="438" spans="1:14" s="52" customFormat="1" ht="15.75" customHeight="1" x14ac:dyDescent="0.25">
      <c r="A438" s="224">
        <f t="shared" si="69"/>
        <v>3</v>
      </c>
      <c r="B438" s="225"/>
      <c r="C438" s="224" t="s">
        <v>187</v>
      </c>
      <c r="D438" s="241"/>
      <c r="E438" s="241"/>
      <c r="F438" s="225"/>
      <c r="G438" s="220"/>
      <c r="H438" s="221"/>
      <c r="I438" s="30"/>
      <c r="L438" s="72"/>
      <c r="M438" s="72"/>
      <c r="N438" s="30"/>
    </row>
    <row r="439" spans="1:14" s="52" customFormat="1" ht="15.75" customHeight="1" x14ac:dyDescent="0.25">
      <c r="A439" s="224">
        <f t="shared" si="69"/>
        <v>4</v>
      </c>
      <c r="B439" s="225"/>
      <c r="C439" s="227" t="s">
        <v>228</v>
      </c>
      <c r="D439" s="217">
        <f>(57.29+5.3)*10.764</f>
        <v>673.71875999999997</v>
      </c>
      <c r="E439" s="216">
        <v>0</v>
      </c>
      <c r="F439" s="216">
        <f t="shared" ref="F439:F442" si="70">D439*(($F$174)+1)+(IF(E439&lt;101,E439,IF(E439&lt;201,E439/2,IF(E439&lt;=301,E439/3,E439/4))))</f>
        <v>1044.2640779999999</v>
      </c>
      <c r="G439" s="220"/>
      <c r="H439" s="221"/>
      <c r="I439" s="30"/>
      <c r="L439" s="72"/>
      <c r="M439" s="72"/>
      <c r="N439" s="30"/>
    </row>
    <row r="440" spans="1:14" s="52" customFormat="1" ht="15.75" customHeight="1" x14ac:dyDescent="0.25">
      <c r="A440" s="224">
        <f t="shared" si="69"/>
        <v>5</v>
      </c>
      <c r="B440" s="225"/>
      <c r="C440" s="227" t="s">
        <v>227</v>
      </c>
      <c r="D440" s="217">
        <f>(82.46+10.52)*10.764</f>
        <v>1000.8367199999998</v>
      </c>
      <c r="E440" s="216">
        <v>0</v>
      </c>
      <c r="F440" s="216">
        <f t="shared" si="70"/>
        <v>1551.2969159999998</v>
      </c>
      <c r="G440" s="220"/>
      <c r="H440" s="221"/>
      <c r="I440" s="52">
        <f>2+4+4+4+1</f>
        <v>15</v>
      </c>
      <c r="J440" s="30"/>
    </row>
    <row r="441" spans="1:14" s="52" customFormat="1" ht="15.75" customHeight="1" x14ac:dyDescent="0.25">
      <c r="A441" s="224">
        <f t="shared" si="69"/>
        <v>6</v>
      </c>
      <c r="B441" s="225"/>
      <c r="C441" s="227" t="s">
        <v>227</v>
      </c>
      <c r="D441" s="217">
        <f>(82.46+10.52)*10.764</f>
        <v>1000.8367199999998</v>
      </c>
      <c r="E441" s="216">
        <v>0</v>
      </c>
      <c r="F441" s="216">
        <f t="shared" si="70"/>
        <v>1551.2969159999998</v>
      </c>
      <c r="G441" s="220"/>
      <c r="H441" s="221"/>
      <c r="I441" s="30"/>
      <c r="L441" s="72"/>
      <c r="M441" s="72"/>
      <c r="N441" s="30"/>
    </row>
    <row r="442" spans="1:14" s="52" customFormat="1" ht="15.75" customHeight="1" x14ac:dyDescent="0.25">
      <c r="A442" s="224">
        <f t="shared" si="69"/>
        <v>7</v>
      </c>
      <c r="B442" s="225"/>
      <c r="C442" s="227" t="s">
        <v>228</v>
      </c>
      <c r="D442" s="217">
        <f>(57.29+5.3)*10.764</f>
        <v>673.71875999999997</v>
      </c>
      <c r="E442" s="216">
        <v>0</v>
      </c>
      <c r="F442" s="216">
        <f t="shared" si="70"/>
        <v>1044.2640779999999</v>
      </c>
      <c r="G442" s="220"/>
      <c r="H442" s="221"/>
      <c r="I442" s="30"/>
      <c r="L442" s="72"/>
      <c r="M442" s="72"/>
      <c r="N442" s="30"/>
    </row>
    <row r="443" spans="1:14" s="52" customFormat="1" ht="15.75" customHeight="1" x14ac:dyDescent="0.25">
      <c r="A443" s="224">
        <f t="shared" si="69"/>
        <v>8</v>
      </c>
      <c r="B443" s="225"/>
      <c r="C443" s="227" t="s">
        <v>228</v>
      </c>
      <c r="D443" s="217">
        <f>(57.29+5.3)*10.764</f>
        <v>673.71875999999997</v>
      </c>
      <c r="E443" s="216">
        <v>0</v>
      </c>
      <c r="F443" s="216">
        <f>D443*(($F$174)+1)+(IF(E443&lt;101,E443,IF(E443&lt;201,E443/2,IF(E443&lt;=301,E443/3,E443/4))))</f>
        <v>1044.2640779999999</v>
      </c>
      <c r="G443" s="222"/>
      <c r="H443" s="223"/>
      <c r="I443" s="123">
        <f>12700000/F443</f>
        <v>12161.674683211693</v>
      </c>
      <c r="L443" s="72"/>
      <c r="M443" s="72"/>
      <c r="N443" s="30"/>
    </row>
    <row r="444" spans="1:14" s="52" customFormat="1" ht="15.75" customHeight="1" x14ac:dyDescent="0.25">
      <c r="A444" s="79" t="s">
        <v>232</v>
      </c>
      <c r="B444" s="80"/>
      <c r="C444" s="80"/>
      <c r="D444" s="80"/>
      <c r="E444" s="80"/>
      <c r="F444" s="80"/>
      <c r="G444" s="80"/>
      <c r="H444" s="81"/>
      <c r="I444" s="30"/>
      <c r="L444" s="72"/>
      <c r="M444" s="72"/>
      <c r="N444" s="30"/>
    </row>
    <row r="445" spans="1:14" s="52" customFormat="1" ht="15.75" customHeight="1" x14ac:dyDescent="0.25">
      <c r="A445" s="224">
        <v>1</v>
      </c>
      <c r="B445" s="225"/>
      <c r="C445" s="227" t="s">
        <v>227</v>
      </c>
      <c r="D445" s="217">
        <f>(83.58+10.96)*10.764</f>
        <v>1017.6285599999999</v>
      </c>
      <c r="E445" s="216">
        <v>0</v>
      </c>
      <c r="F445" s="216">
        <f t="shared" ref="F445:F446" si="71">D445*(($F$174)+1)+(IF(E445&lt;101,E445,IF(E445&lt;201,E445/2,IF(E445&lt;=301,E445/3,E445/4))))</f>
        <v>1577.3242679999998</v>
      </c>
      <c r="G445" s="218" t="str">
        <f>A444</f>
        <v>30th, 31st, 33rd to 36th, 38th to 41st, 43rd to 46th &amp; 48th Floor</v>
      </c>
      <c r="H445" s="219"/>
      <c r="I445" s="30"/>
      <c r="L445" s="72"/>
      <c r="M445" s="72"/>
      <c r="N445" s="30"/>
    </row>
    <row r="446" spans="1:14" s="52" customFormat="1" ht="15.75" customHeight="1" x14ac:dyDescent="0.25">
      <c r="A446" s="224">
        <f t="shared" ref="A446:A452" si="72">A445+1</f>
        <v>2</v>
      </c>
      <c r="B446" s="225"/>
      <c r="C446" s="227" t="s">
        <v>227</v>
      </c>
      <c r="D446" s="217">
        <f>(83.58+10.96)*10.764</f>
        <v>1017.6285599999999</v>
      </c>
      <c r="E446" s="216">
        <v>0</v>
      </c>
      <c r="F446" s="216">
        <f t="shared" si="71"/>
        <v>1577.3242679999998</v>
      </c>
      <c r="G446" s="220"/>
      <c r="H446" s="221"/>
      <c r="I446" s="30"/>
      <c r="L446" s="72"/>
      <c r="M446" s="72"/>
      <c r="N446" s="30"/>
    </row>
    <row r="447" spans="1:14" s="52" customFormat="1" ht="15.75" customHeight="1" x14ac:dyDescent="0.25">
      <c r="A447" s="224">
        <f t="shared" si="72"/>
        <v>3</v>
      </c>
      <c r="B447" s="225"/>
      <c r="C447" s="227" t="s">
        <v>228</v>
      </c>
      <c r="D447" s="217">
        <f>(57.29+8.74)*10.764</f>
        <v>710.74691999999993</v>
      </c>
      <c r="E447" s="216">
        <v>0</v>
      </c>
      <c r="F447" s="216">
        <f>D447*(($F$174)+1)+(IF(E447&lt;101,E447,IF(E447&lt;201,E447/2,IF(E447&lt;=301,E447/3,E447/4))))</f>
        <v>1101.6577259999999</v>
      </c>
      <c r="G447" s="220"/>
      <c r="H447" s="221"/>
      <c r="I447" s="30"/>
      <c r="L447" s="72"/>
      <c r="M447" s="72"/>
      <c r="N447" s="30"/>
    </row>
    <row r="448" spans="1:14" s="52" customFormat="1" ht="15.75" customHeight="1" x14ac:dyDescent="0.25">
      <c r="A448" s="224">
        <f t="shared" si="72"/>
        <v>4</v>
      </c>
      <c r="B448" s="225"/>
      <c r="C448" s="227" t="s">
        <v>228</v>
      </c>
      <c r="D448" s="217">
        <f>(57.29+8.74)*10.764</f>
        <v>710.74691999999993</v>
      </c>
      <c r="E448" s="216">
        <v>0</v>
      </c>
      <c r="F448" s="216">
        <f t="shared" ref="F448:F451" si="73">D448*(($F$174)+1)+(IF(E448&lt;101,E448,IF(E448&lt;201,E448/2,IF(E448&lt;=301,E448/3,E448/4))))</f>
        <v>1101.6577259999999</v>
      </c>
      <c r="G448" s="220"/>
      <c r="H448" s="221"/>
      <c r="I448" s="30"/>
      <c r="L448" s="72"/>
      <c r="M448" s="72"/>
      <c r="N448" s="30"/>
    </row>
    <row r="449" spans="1:14" s="52" customFormat="1" ht="15.75" customHeight="1" x14ac:dyDescent="0.25">
      <c r="A449" s="224">
        <f t="shared" si="72"/>
        <v>5</v>
      </c>
      <c r="B449" s="225"/>
      <c r="C449" s="227" t="s">
        <v>227</v>
      </c>
      <c r="D449" s="217">
        <f>(82.46+10.52)*10.764</f>
        <v>1000.8367199999998</v>
      </c>
      <c r="E449" s="216">
        <v>0</v>
      </c>
      <c r="F449" s="216">
        <f t="shared" si="73"/>
        <v>1551.2969159999998</v>
      </c>
      <c r="G449" s="220"/>
      <c r="H449" s="221"/>
      <c r="I449" s="52">
        <v>4</v>
      </c>
      <c r="J449" s="30"/>
    </row>
    <row r="450" spans="1:14" s="52" customFormat="1" ht="15.75" customHeight="1" x14ac:dyDescent="0.25">
      <c r="A450" s="224">
        <f t="shared" si="72"/>
        <v>6</v>
      </c>
      <c r="B450" s="225"/>
      <c r="C450" s="227" t="s">
        <v>227</v>
      </c>
      <c r="D450" s="217">
        <f>(82.46+10.52)*10.764</f>
        <v>1000.8367199999998</v>
      </c>
      <c r="E450" s="216">
        <v>0</v>
      </c>
      <c r="F450" s="216">
        <f t="shared" si="73"/>
        <v>1551.2969159999998</v>
      </c>
      <c r="G450" s="220"/>
      <c r="H450" s="221"/>
      <c r="I450" s="30"/>
      <c r="L450" s="72"/>
      <c r="M450" s="72"/>
      <c r="N450" s="30"/>
    </row>
    <row r="451" spans="1:14" s="52" customFormat="1" ht="15.75" customHeight="1" x14ac:dyDescent="0.25">
      <c r="A451" s="224">
        <f t="shared" si="72"/>
        <v>7</v>
      </c>
      <c r="B451" s="225"/>
      <c r="C451" s="227" t="s">
        <v>228</v>
      </c>
      <c r="D451" s="217">
        <f>(57.29+8.74)*10.764</f>
        <v>710.74691999999993</v>
      </c>
      <c r="E451" s="216">
        <v>0</v>
      </c>
      <c r="F451" s="216">
        <f t="shared" si="73"/>
        <v>1101.6577259999999</v>
      </c>
      <c r="G451" s="220"/>
      <c r="H451" s="221"/>
      <c r="I451" s="30"/>
      <c r="L451" s="72"/>
      <c r="M451" s="72"/>
      <c r="N451" s="30"/>
    </row>
    <row r="452" spans="1:14" s="52" customFormat="1" ht="15.75" customHeight="1" x14ac:dyDescent="0.25">
      <c r="A452" s="224">
        <f t="shared" si="72"/>
        <v>8</v>
      </c>
      <c r="B452" s="225"/>
      <c r="C452" s="227" t="s">
        <v>228</v>
      </c>
      <c r="D452" s="217">
        <f>(57.29+8.74)*10.764</f>
        <v>710.74691999999993</v>
      </c>
      <c r="E452" s="216">
        <v>0</v>
      </c>
      <c r="F452" s="216">
        <f>D452*(($F$174)+1)+(IF(E452&lt;101,E452,IF(E452&lt;201,E452/2,IF(E452&lt;=301,E452/3,E452/4))))</f>
        <v>1101.6577259999999</v>
      </c>
      <c r="G452" s="222"/>
      <c r="H452" s="223"/>
      <c r="I452" s="30"/>
      <c r="L452" s="72"/>
      <c r="M452" s="72"/>
      <c r="N452" s="30"/>
    </row>
    <row r="453" spans="1:14" s="52" customFormat="1" ht="15.75" customHeight="1" x14ac:dyDescent="0.25">
      <c r="A453" s="79" t="s">
        <v>231</v>
      </c>
      <c r="B453" s="80"/>
      <c r="C453" s="80"/>
      <c r="D453" s="80"/>
      <c r="E453" s="80"/>
      <c r="F453" s="80"/>
      <c r="G453" s="80"/>
      <c r="H453" s="81"/>
      <c r="I453" s="30"/>
      <c r="L453" s="72"/>
      <c r="M453" s="72"/>
      <c r="N453" s="30"/>
    </row>
    <row r="454" spans="1:14" s="52" customFormat="1" ht="15.75" customHeight="1" x14ac:dyDescent="0.25">
      <c r="A454" s="224">
        <v>1</v>
      </c>
      <c r="B454" s="225"/>
      <c r="C454" s="227" t="s">
        <v>227</v>
      </c>
      <c r="D454" s="217">
        <f>(83.58+10.96)*10.764</f>
        <v>1017.6285599999999</v>
      </c>
      <c r="E454" s="216">
        <v>0</v>
      </c>
      <c r="F454" s="216">
        <f t="shared" ref="F454:F455" si="74">D454*(($F$174)+1)+(IF(E454&lt;101,E454,IF(E454&lt;201,E454/2,IF(E454&lt;=301,E454/3,E454/4))))</f>
        <v>1577.3242679999998</v>
      </c>
      <c r="G454" s="218" t="str">
        <f>A453</f>
        <v>32nd, 37th, 42nd &amp; 47th Floor For Part Refuge Area</v>
      </c>
      <c r="H454" s="219"/>
      <c r="I454" s="30"/>
      <c r="L454" s="72"/>
      <c r="M454" s="72"/>
      <c r="N454" s="30"/>
    </row>
    <row r="455" spans="1:14" s="52" customFormat="1" ht="15.75" customHeight="1" x14ac:dyDescent="0.25">
      <c r="A455" s="224">
        <f t="shared" ref="A455:A461" si="75">A454+1</f>
        <v>2</v>
      </c>
      <c r="B455" s="225"/>
      <c r="C455" s="227" t="s">
        <v>227</v>
      </c>
      <c r="D455" s="217">
        <f>(83.58+10.96)*10.764</f>
        <v>1017.6285599999999</v>
      </c>
      <c r="E455" s="216">
        <v>0</v>
      </c>
      <c r="F455" s="216">
        <f t="shared" si="74"/>
        <v>1577.3242679999998</v>
      </c>
      <c r="G455" s="220"/>
      <c r="H455" s="221"/>
      <c r="I455" s="30"/>
      <c r="L455" s="72"/>
      <c r="M455" s="72"/>
      <c r="N455" s="30"/>
    </row>
    <row r="456" spans="1:14" s="52" customFormat="1" ht="15.75" customHeight="1" x14ac:dyDescent="0.25">
      <c r="A456" s="224">
        <f t="shared" si="75"/>
        <v>3</v>
      </c>
      <c r="B456" s="225"/>
      <c r="C456" s="224" t="s">
        <v>187</v>
      </c>
      <c r="D456" s="241"/>
      <c r="E456" s="241"/>
      <c r="F456" s="225"/>
      <c r="G456" s="220"/>
      <c r="H456" s="221"/>
      <c r="I456" s="30"/>
      <c r="L456" s="72"/>
      <c r="M456" s="72"/>
      <c r="N456" s="30"/>
    </row>
    <row r="457" spans="1:14" s="52" customFormat="1" ht="15.75" customHeight="1" x14ac:dyDescent="0.25">
      <c r="A457" s="224">
        <f t="shared" si="75"/>
        <v>4</v>
      </c>
      <c r="B457" s="225"/>
      <c r="C457" s="227" t="s">
        <v>228</v>
      </c>
      <c r="D457" s="217">
        <f>(57.29+8.74)*10.764</f>
        <v>710.74691999999993</v>
      </c>
      <c r="E457" s="216">
        <v>0</v>
      </c>
      <c r="F457" s="216">
        <f t="shared" ref="F457:F460" si="76">D457*(($F$174)+1)+(IF(E457&lt;101,E457,IF(E457&lt;201,E457/2,IF(E457&lt;=301,E457/3,E457/4))))</f>
        <v>1101.6577259999999</v>
      </c>
      <c r="G457" s="220"/>
      <c r="H457" s="221"/>
      <c r="I457" s="30"/>
      <c r="L457" s="72"/>
      <c r="M457" s="72"/>
      <c r="N457" s="30"/>
    </row>
    <row r="458" spans="1:14" s="29" customFormat="1" x14ac:dyDescent="0.25">
      <c r="A458" s="224">
        <f t="shared" si="75"/>
        <v>5</v>
      </c>
      <c r="B458" s="225"/>
      <c r="C458" s="227" t="s">
        <v>227</v>
      </c>
      <c r="D458" s="217">
        <f>(82.46+10.52)*10.764</f>
        <v>1000.8367199999998</v>
      </c>
      <c r="E458" s="216">
        <v>0</v>
      </c>
      <c r="F458" s="216">
        <f t="shared" si="76"/>
        <v>1551.2969159999998</v>
      </c>
      <c r="G458" s="220"/>
      <c r="H458" s="221"/>
    </row>
    <row r="459" spans="1:14" s="29" customFormat="1" x14ac:dyDescent="0.25">
      <c r="A459" s="224">
        <f t="shared" si="75"/>
        <v>6</v>
      </c>
      <c r="B459" s="225"/>
      <c r="C459" s="227" t="s">
        <v>227</v>
      </c>
      <c r="D459" s="217">
        <f>(82.46+10.52)*10.764</f>
        <v>1000.8367199999998</v>
      </c>
      <c r="E459" s="216">
        <v>0</v>
      </c>
      <c r="F459" s="216">
        <f t="shared" si="76"/>
        <v>1551.2969159999998</v>
      </c>
      <c r="G459" s="220"/>
      <c r="H459" s="221"/>
    </row>
    <row r="460" spans="1:14" s="29" customFormat="1" x14ac:dyDescent="0.25">
      <c r="A460" s="224">
        <f t="shared" si="75"/>
        <v>7</v>
      </c>
      <c r="B460" s="225"/>
      <c r="C460" s="227" t="s">
        <v>228</v>
      </c>
      <c r="D460" s="217">
        <f>(57.29+8.74)*10.764</f>
        <v>710.74691999999993</v>
      </c>
      <c r="E460" s="216">
        <v>0</v>
      </c>
      <c r="F460" s="216">
        <f t="shared" si="76"/>
        <v>1101.6577259999999</v>
      </c>
      <c r="G460" s="220"/>
      <c r="H460" s="221"/>
    </row>
    <row r="461" spans="1:14" s="29" customFormat="1" x14ac:dyDescent="0.25">
      <c r="A461" s="224">
        <f t="shared" si="75"/>
        <v>8</v>
      </c>
      <c r="B461" s="225"/>
      <c r="C461" s="227" t="s">
        <v>228</v>
      </c>
      <c r="D461" s="217">
        <f>(57.29+8.74)*10.764</f>
        <v>710.74691999999993</v>
      </c>
      <c r="E461" s="216">
        <v>0</v>
      </c>
      <c r="F461" s="216">
        <f>D461*(($F$174)+1)+(IF(E461&lt;101,E461,IF(E461&lt;201,E461/2,IF(E461&lt;=301,E461/3,E461/4))))</f>
        <v>1101.6577259999999</v>
      </c>
      <c r="G461" s="222"/>
      <c r="H461" s="223"/>
    </row>
    <row r="462" spans="1:14" s="29" customFormat="1" x14ac:dyDescent="0.25">
      <c r="A462" s="243" t="s">
        <v>65</v>
      </c>
      <c r="B462" s="243"/>
      <c r="C462" s="243"/>
      <c r="D462" s="243"/>
      <c r="E462" s="243"/>
      <c r="F462" s="243"/>
      <c r="G462" s="243"/>
      <c r="H462" s="243"/>
    </row>
    <row r="463" spans="1:14" s="29" customFormat="1" x14ac:dyDescent="0.25">
      <c r="A463" s="244" t="s">
        <v>149</v>
      </c>
      <c r="B463" s="245" t="s">
        <v>270</v>
      </c>
      <c r="C463" s="246"/>
      <c r="D463" s="246"/>
      <c r="E463" s="246"/>
      <c r="F463" s="246"/>
      <c r="G463" s="246"/>
      <c r="H463" s="247"/>
    </row>
    <row r="464" spans="1:14" s="29" customFormat="1" x14ac:dyDescent="0.25">
      <c r="A464" s="244" t="s">
        <v>149</v>
      </c>
      <c r="B464" s="245" t="str">
        <f>(IF(F173="Saleable area Loading :","We have considered Saleable area of Flats as per our Calculation.","We considered Saleable area of Flat as per Builder area Sheet."))</f>
        <v>We have considered Saleable area of Flats as per our Calculation.</v>
      </c>
      <c r="C464" s="246"/>
      <c r="D464" s="246"/>
      <c r="E464" s="246"/>
      <c r="F464" s="246"/>
      <c r="G464" s="246"/>
      <c r="H464" s="247"/>
    </row>
    <row r="465" spans="1:8" s="29" customFormat="1" x14ac:dyDescent="0.25">
      <c r="A465" s="244" t="s">
        <v>149</v>
      </c>
      <c r="B465" s="245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65" s="246"/>
      <c r="D465" s="246"/>
      <c r="E465" s="246"/>
      <c r="F465" s="246"/>
      <c r="G465" s="246"/>
      <c r="H465" s="247"/>
    </row>
    <row r="466" spans="1:8" s="29" customFormat="1" x14ac:dyDescent="0.25">
      <c r="A466" s="244" t="s">
        <v>149</v>
      </c>
      <c r="B466" s="248" t="s">
        <v>119</v>
      </c>
      <c r="C466" s="249"/>
      <c r="D466" s="249"/>
      <c r="E466" s="249"/>
      <c r="F466" s="249"/>
      <c r="G466" s="249"/>
      <c r="H466" s="250"/>
    </row>
    <row r="467" spans="1:8" s="29" customFormat="1" x14ac:dyDescent="0.25">
      <c r="A467" s="244" t="s">
        <v>149</v>
      </c>
      <c r="B467" s="248" t="s">
        <v>204</v>
      </c>
      <c r="C467" s="249"/>
      <c r="D467" s="249"/>
      <c r="E467" s="249"/>
      <c r="F467" s="249"/>
      <c r="G467" s="249"/>
      <c r="H467" s="250"/>
    </row>
    <row r="468" spans="1:8" s="29" customFormat="1" x14ac:dyDescent="0.25">
      <c r="A468" s="244" t="s">
        <v>149</v>
      </c>
      <c r="B468" s="248" t="s">
        <v>148</v>
      </c>
      <c r="C468" s="249"/>
      <c r="D468" s="249"/>
      <c r="E468" s="249"/>
      <c r="F468" s="249"/>
      <c r="G468" s="249"/>
      <c r="H468" s="250"/>
    </row>
    <row r="469" spans="1:8" s="29" customFormat="1" x14ac:dyDescent="0.25">
      <c r="A469" s="244" t="s">
        <v>149</v>
      </c>
      <c r="B469" s="248" t="s">
        <v>120</v>
      </c>
      <c r="C469" s="249"/>
      <c r="D469" s="249"/>
      <c r="E469" s="249"/>
      <c r="F469" s="249"/>
      <c r="G469" s="249"/>
      <c r="H469" s="250"/>
    </row>
    <row r="470" spans="1:8" s="29" customFormat="1" ht="37.5" customHeight="1" x14ac:dyDescent="0.25">
      <c r="A470" s="244" t="s">
        <v>149</v>
      </c>
      <c r="B470" s="248" t="s">
        <v>150</v>
      </c>
      <c r="C470" s="249"/>
      <c r="D470" s="249"/>
      <c r="E470" s="249"/>
      <c r="F470" s="249"/>
      <c r="G470" s="249"/>
      <c r="H470" s="250"/>
    </row>
    <row r="471" spans="1:8" s="29" customFormat="1" x14ac:dyDescent="0.25">
      <c r="A471" s="244" t="s">
        <v>149</v>
      </c>
      <c r="B471" s="248" t="s">
        <v>121</v>
      </c>
      <c r="C471" s="249"/>
      <c r="D471" s="249"/>
      <c r="E471" s="249"/>
      <c r="F471" s="249"/>
      <c r="G471" s="249"/>
      <c r="H471" s="250"/>
    </row>
    <row r="472" spans="1:8" ht="35.25" customHeight="1" x14ac:dyDescent="0.25">
      <c r="A472" s="251" t="s">
        <v>149</v>
      </c>
      <c r="B472" s="245" t="s">
        <v>205</v>
      </c>
      <c r="C472" s="246"/>
      <c r="D472" s="246"/>
      <c r="E472" s="246"/>
      <c r="F472" s="246"/>
      <c r="G472" s="246"/>
      <c r="H472" s="247"/>
    </row>
    <row r="473" spans="1:8" x14ac:dyDescent="0.25">
      <c r="A473" s="244" t="s">
        <v>149</v>
      </c>
      <c r="B473" s="245" t="s">
        <v>272</v>
      </c>
      <c r="C473" s="246"/>
      <c r="D473" s="246"/>
      <c r="E473" s="246"/>
      <c r="F473" s="246"/>
      <c r="G473" s="246"/>
      <c r="H473" s="247"/>
    </row>
    <row r="474" spans="1:8" ht="15.75" customHeight="1" x14ac:dyDescent="0.25">
      <c r="A474" s="244" t="s">
        <v>149</v>
      </c>
      <c r="B474" s="245" t="s">
        <v>238</v>
      </c>
      <c r="C474" s="246"/>
      <c r="D474" s="246"/>
      <c r="E474" s="246"/>
      <c r="F474" s="246"/>
      <c r="G474" s="246"/>
      <c r="H474" s="247"/>
    </row>
    <row r="475" spans="1:8" x14ac:dyDescent="0.25">
      <c r="A475" s="251" t="s">
        <v>149</v>
      </c>
      <c r="B475" s="245" t="s">
        <v>271</v>
      </c>
      <c r="C475" s="246"/>
      <c r="D475" s="246"/>
      <c r="E475" s="246"/>
      <c r="F475" s="246"/>
      <c r="G475" s="246"/>
      <c r="H475" s="247"/>
    </row>
    <row r="476" spans="1:8" x14ac:dyDescent="0.25">
      <c r="A476" s="251" t="s">
        <v>149</v>
      </c>
      <c r="B476" s="245" t="s">
        <v>275</v>
      </c>
      <c r="C476" s="246"/>
      <c r="D476" s="246"/>
      <c r="E476" s="246"/>
      <c r="F476" s="246"/>
      <c r="G476" s="246"/>
      <c r="H476" s="247"/>
    </row>
    <row r="477" spans="1:8" x14ac:dyDescent="0.25">
      <c r="A477" s="167" t="s">
        <v>58</v>
      </c>
      <c r="B477" s="167"/>
      <c r="C477" s="167"/>
      <c r="D477" s="167"/>
      <c r="E477" s="167"/>
      <c r="F477" s="167"/>
      <c r="G477" s="167"/>
      <c r="H477" s="167"/>
    </row>
    <row r="478" spans="1:8" x14ac:dyDescent="0.25">
      <c r="A478" s="124" t="s">
        <v>59</v>
      </c>
      <c r="B478" s="124"/>
      <c r="C478" s="124"/>
      <c r="D478" s="124"/>
      <c r="E478" s="124"/>
      <c r="F478" s="124"/>
      <c r="G478" s="124"/>
      <c r="H478" s="124"/>
    </row>
    <row r="479" spans="1:8" x14ac:dyDescent="0.25">
      <c r="A479" s="252" t="s">
        <v>60</v>
      </c>
      <c r="B479" s="252"/>
      <c r="C479" s="252"/>
      <c r="D479" s="252"/>
      <c r="E479" s="252"/>
      <c r="F479" s="252"/>
      <c r="G479" s="252"/>
      <c r="H479" s="252"/>
    </row>
    <row r="480" spans="1:8" x14ac:dyDescent="0.25">
      <c r="A480" s="124" t="s">
        <v>61</v>
      </c>
      <c r="B480" s="124"/>
      <c r="C480" s="124"/>
      <c r="D480" s="124"/>
      <c r="E480" s="124"/>
      <c r="F480" s="124"/>
      <c r="G480" s="124"/>
      <c r="H480" s="124"/>
    </row>
    <row r="481" spans="1:8" x14ac:dyDescent="0.25">
      <c r="A481" s="124" t="s">
        <v>62</v>
      </c>
      <c r="B481" s="124"/>
      <c r="C481" s="124"/>
      <c r="D481" s="124"/>
      <c r="E481" s="124"/>
      <c r="F481" s="124"/>
      <c r="G481" s="124"/>
      <c r="H481" s="124"/>
    </row>
    <row r="482" spans="1:8" x14ac:dyDescent="0.25">
      <c r="A482" s="124" t="s">
        <v>122</v>
      </c>
      <c r="B482" s="124"/>
      <c r="C482" s="124"/>
      <c r="D482" s="124"/>
      <c r="E482" s="124"/>
      <c r="F482" s="124"/>
      <c r="G482" s="124"/>
      <c r="H482" s="124"/>
    </row>
    <row r="483" spans="1:8" x14ac:dyDescent="0.25">
      <c r="A483" s="168" t="s">
        <v>123</v>
      </c>
      <c r="B483" s="168"/>
      <c r="C483" s="168"/>
      <c r="D483" s="168"/>
      <c r="E483" s="168"/>
      <c r="F483" s="168"/>
      <c r="G483" s="168"/>
      <c r="H483" s="168"/>
    </row>
    <row r="484" spans="1:8" x14ac:dyDescent="0.25">
      <c r="A484" s="253" t="s">
        <v>73</v>
      </c>
      <c r="B484" s="253"/>
      <c r="C484" s="253" t="s">
        <v>237</v>
      </c>
      <c r="D484" s="253"/>
      <c r="E484" s="253" t="s">
        <v>101</v>
      </c>
      <c r="F484" s="253"/>
      <c r="G484" s="253" t="s">
        <v>199</v>
      </c>
      <c r="H484" s="253"/>
    </row>
    <row r="485" spans="1:8" x14ac:dyDescent="0.25">
      <c r="A485" s="254" t="s">
        <v>75</v>
      </c>
      <c r="B485" s="254"/>
      <c r="C485" s="254"/>
      <c r="D485" s="254"/>
      <c r="E485" s="254"/>
      <c r="F485" s="254"/>
      <c r="G485" s="254"/>
      <c r="H485" s="254"/>
    </row>
    <row r="486" spans="1:8" x14ac:dyDescent="0.25">
      <c r="A486" s="254"/>
      <c r="B486" s="254"/>
      <c r="C486" s="254"/>
      <c r="D486" s="254"/>
      <c r="E486" s="254"/>
      <c r="F486" s="254"/>
      <c r="G486" s="254"/>
      <c r="H486" s="254"/>
    </row>
    <row r="487" spans="1:8" ht="15" customHeight="1" x14ac:dyDescent="0.25">
      <c r="A487" s="254"/>
      <c r="B487" s="254"/>
      <c r="C487" s="254"/>
      <c r="D487" s="254"/>
      <c r="E487" s="254"/>
      <c r="F487" s="254"/>
      <c r="G487" s="254"/>
      <c r="H487" s="254"/>
    </row>
    <row r="488" spans="1:8" x14ac:dyDescent="0.25">
      <c r="A488" s="254"/>
      <c r="B488" s="254"/>
      <c r="C488" s="254"/>
      <c r="D488" s="254"/>
      <c r="E488" s="254"/>
      <c r="F488" s="254"/>
      <c r="G488" s="254"/>
      <c r="H488" s="254"/>
    </row>
    <row r="489" spans="1:8" x14ac:dyDescent="0.25">
      <c r="A489" s="255" t="s">
        <v>63</v>
      </c>
      <c r="B489" s="256"/>
      <c r="C489" s="256"/>
      <c r="D489" s="255" t="str">
        <f>E8</f>
        <v>Sunteck Sky Park 1, 2 &amp; 3</v>
      </c>
      <c r="E489" s="257"/>
      <c r="F489" s="256"/>
      <c r="G489" s="256"/>
      <c r="H489" s="256"/>
    </row>
    <row r="490" spans="1:8" x14ac:dyDescent="0.25">
      <c r="A490" s="256"/>
      <c r="B490" s="256"/>
      <c r="C490" s="256"/>
      <c r="D490" s="256"/>
      <c r="E490" s="256"/>
      <c r="F490" s="256"/>
      <c r="G490" s="256"/>
      <c r="H490" s="256"/>
    </row>
    <row r="491" spans="1:8" x14ac:dyDescent="0.25">
      <c r="A491" s="256"/>
      <c r="B491" s="256"/>
      <c r="C491" s="256"/>
      <c r="D491" s="256"/>
      <c r="E491" s="256"/>
      <c r="F491" s="256"/>
      <c r="G491" s="256"/>
      <c r="H491" s="256"/>
    </row>
    <row r="492" spans="1:8" x14ac:dyDescent="0.25">
      <c r="A492" s="257"/>
      <c r="B492" s="257"/>
      <c r="C492" s="257"/>
      <c r="D492" s="257"/>
      <c r="E492" s="257"/>
      <c r="F492" s="257"/>
      <c r="G492" s="257"/>
      <c r="H492" s="257"/>
    </row>
    <row r="493" spans="1:8" x14ac:dyDescent="0.25">
      <c r="A493" s="257"/>
      <c r="B493" s="257"/>
      <c r="C493" s="257"/>
      <c r="D493" s="257"/>
      <c r="E493" s="257"/>
      <c r="F493" s="257"/>
      <c r="G493" s="257"/>
      <c r="H493" s="257"/>
    </row>
    <row r="494" spans="1:8" x14ac:dyDescent="0.25">
      <c r="A494" s="257"/>
      <c r="B494" s="257"/>
      <c r="C494" s="257"/>
      <c r="D494" s="257"/>
      <c r="E494" s="257"/>
      <c r="F494" s="257"/>
      <c r="G494" s="257"/>
      <c r="H494" s="257"/>
    </row>
    <row r="495" spans="1:8" x14ac:dyDescent="0.25">
      <c r="A495" s="257"/>
      <c r="B495" s="257"/>
      <c r="C495" s="257"/>
      <c r="D495" s="257"/>
      <c r="E495" s="257"/>
      <c r="F495" s="257"/>
      <c r="G495" s="257"/>
      <c r="H495" s="257"/>
    </row>
    <row r="496" spans="1:8" x14ac:dyDescent="0.25">
      <c r="A496" s="257"/>
      <c r="B496" s="257"/>
      <c r="C496" s="257"/>
      <c r="D496" s="257"/>
      <c r="E496" s="257"/>
      <c r="F496" s="257"/>
      <c r="G496" s="257"/>
      <c r="H496" s="257"/>
    </row>
    <row r="497" spans="1:8" x14ac:dyDescent="0.25">
      <c r="A497" s="257"/>
      <c r="B497" s="257"/>
      <c r="C497" s="257"/>
      <c r="D497" s="257"/>
      <c r="E497" s="257"/>
      <c r="F497" s="257"/>
      <c r="G497" s="257"/>
      <c r="H497" s="257"/>
    </row>
    <row r="498" spans="1:8" x14ac:dyDescent="0.25">
      <c r="A498" s="257"/>
      <c r="B498" s="257"/>
      <c r="C498" s="257"/>
      <c r="D498" s="257"/>
      <c r="E498" s="257"/>
      <c r="F498" s="257"/>
      <c r="G498" s="257"/>
      <c r="H498" s="257"/>
    </row>
    <row r="499" spans="1:8" x14ac:dyDescent="0.25">
      <c r="A499" s="257"/>
      <c r="B499" s="257"/>
      <c r="C499" s="257"/>
      <c r="D499" s="257"/>
      <c r="E499" s="257"/>
      <c r="F499" s="257"/>
      <c r="G499" s="257"/>
      <c r="H499" s="257"/>
    </row>
    <row r="500" spans="1:8" x14ac:dyDescent="0.25">
      <c r="A500" s="257"/>
      <c r="B500" s="257"/>
      <c r="C500" s="257"/>
      <c r="D500" s="257"/>
      <c r="E500" s="257"/>
      <c r="F500" s="257"/>
      <c r="G500" s="257"/>
      <c r="H500" s="257"/>
    </row>
    <row r="501" spans="1:8" x14ac:dyDescent="0.25">
      <c r="A501" s="257"/>
      <c r="B501" s="257"/>
      <c r="C501" s="257"/>
      <c r="D501" s="257"/>
      <c r="E501" s="257"/>
      <c r="F501" s="257"/>
      <c r="G501" s="257"/>
      <c r="H501" s="257"/>
    </row>
    <row r="502" spans="1:8" x14ac:dyDescent="0.25">
      <c r="A502" s="257"/>
      <c r="B502" s="257"/>
      <c r="C502" s="257"/>
      <c r="D502" s="257"/>
      <c r="E502" s="257"/>
      <c r="F502" s="257"/>
      <c r="G502" s="257"/>
      <c r="H502" s="257"/>
    </row>
    <row r="503" spans="1:8" x14ac:dyDescent="0.25">
      <c r="A503" s="257"/>
      <c r="B503" s="257"/>
      <c r="C503" s="257"/>
      <c r="D503" s="257"/>
      <c r="E503" s="257"/>
      <c r="F503" s="257"/>
      <c r="G503" s="257"/>
      <c r="H503" s="257"/>
    </row>
    <row r="504" spans="1:8" x14ac:dyDescent="0.25">
      <c r="A504" s="257"/>
      <c r="B504" s="257"/>
      <c r="C504" s="257"/>
      <c r="D504" s="257"/>
      <c r="E504" s="257"/>
      <c r="F504" s="257"/>
      <c r="G504" s="257"/>
      <c r="H504" s="257"/>
    </row>
    <row r="505" spans="1:8" x14ac:dyDescent="0.25">
      <c r="A505" s="257"/>
      <c r="B505" s="257"/>
      <c r="C505" s="257"/>
      <c r="D505" s="257"/>
      <c r="E505" s="257"/>
      <c r="F505" s="257"/>
      <c r="G505" s="257"/>
      <c r="H505" s="257"/>
    </row>
    <row r="506" spans="1:8" x14ac:dyDescent="0.25">
      <c r="A506" s="257"/>
      <c r="B506" s="257"/>
      <c r="C506" s="257"/>
      <c r="D506" s="257"/>
      <c r="E506" s="257"/>
      <c r="F506" s="257"/>
      <c r="G506" s="257"/>
      <c r="H506" s="257"/>
    </row>
    <row r="507" spans="1:8" x14ac:dyDescent="0.25">
      <c r="A507" s="257"/>
      <c r="B507" s="257"/>
      <c r="C507" s="257"/>
      <c r="D507" s="257"/>
      <c r="E507" s="257"/>
      <c r="F507" s="257"/>
      <c r="G507" s="257"/>
      <c r="H507" s="257"/>
    </row>
    <row r="508" spans="1:8" x14ac:dyDescent="0.25">
      <c r="A508" s="257"/>
      <c r="B508" s="257"/>
      <c r="C508" s="257"/>
      <c r="D508" s="257"/>
      <c r="E508" s="257"/>
      <c r="F508" s="257"/>
      <c r="G508" s="257"/>
      <c r="H508" s="257"/>
    </row>
    <row r="509" spans="1:8" x14ac:dyDescent="0.25">
      <c r="A509" s="257"/>
      <c r="B509" s="257"/>
      <c r="C509" s="257"/>
      <c r="D509" s="257"/>
      <c r="E509" s="257"/>
      <c r="F509" s="257"/>
      <c r="G509" s="257"/>
      <c r="H509" s="257"/>
    </row>
    <row r="510" spans="1:8" x14ac:dyDescent="0.25">
      <c r="A510" s="257"/>
      <c r="B510" s="257"/>
      <c r="C510" s="257"/>
      <c r="D510" s="257"/>
      <c r="E510" s="257"/>
      <c r="F510" s="257"/>
      <c r="G510" s="257"/>
      <c r="H510" s="257"/>
    </row>
    <row r="511" spans="1:8" x14ac:dyDescent="0.25">
      <c r="A511" s="257"/>
      <c r="B511" s="257"/>
      <c r="C511" s="257"/>
      <c r="D511" s="257"/>
      <c r="E511" s="257"/>
      <c r="F511" s="257"/>
      <c r="G511" s="257"/>
      <c r="H511" s="257"/>
    </row>
    <row r="512" spans="1:8" x14ac:dyDescent="0.25">
      <c r="A512" s="257"/>
      <c r="B512" s="257"/>
      <c r="C512" s="257"/>
      <c r="D512" s="257"/>
      <c r="E512" s="257"/>
      <c r="F512" s="257"/>
      <c r="G512" s="257"/>
      <c r="H512" s="257"/>
    </row>
    <row r="513" spans="1:8" x14ac:dyDescent="0.25">
      <c r="A513" s="257"/>
      <c r="B513" s="257"/>
      <c r="C513" s="257"/>
      <c r="D513" s="257"/>
      <c r="E513" s="257"/>
      <c r="F513" s="257"/>
      <c r="G513" s="257"/>
      <c r="H513" s="257"/>
    </row>
    <row r="514" spans="1:8" x14ac:dyDescent="0.25">
      <c r="A514" s="257"/>
      <c r="B514" s="257"/>
      <c r="C514" s="257"/>
      <c r="D514" s="257"/>
      <c r="E514" s="257"/>
      <c r="F514" s="257"/>
      <c r="G514" s="257"/>
      <c r="H514" s="257"/>
    </row>
    <row r="515" spans="1:8" x14ac:dyDescent="0.25">
      <c r="A515" s="257"/>
      <c r="B515" s="257"/>
      <c r="C515" s="257"/>
      <c r="D515" s="257"/>
      <c r="E515" s="257"/>
      <c r="F515" s="257"/>
      <c r="G515" s="257"/>
      <c r="H515" s="257"/>
    </row>
    <row r="516" spans="1:8" x14ac:dyDescent="0.25">
      <c r="A516" s="257"/>
      <c r="B516" s="257"/>
      <c r="C516" s="257"/>
      <c r="D516" s="257"/>
      <c r="E516" s="257"/>
      <c r="F516" s="257"/>
      <c r="G516" s="257"/>
      <c r="H516" s="257"/>
    </row>
    <row r="517" spans="1:8" x14ac:dyDescent="0.25">
      <c r="A517" s="257"/>
      <c r="B517" s="257"/>
      <c r="C517" s="257"/>
      <c r="D517" s="257"/>
      <c r="E517" s="257"/>
      <c r="F517" s="257"/>
      <c r="G517" s="257"/>
      <c r="H517" s="257"/>
    </row>
    <row r="518" spans="1:8" x14ac:dyDescent="0.25">
      <c r="A518" s="257"/>
      <c r="B518" s="257"/>
      <c r="C518" s="257"/>
      <c r="D518" s="257"/>
      <c r="E518" s="257"/>
      <c r="F518" s="257"/>
      <c r="G518" s="257"/>
      <c r="H518" s="257"/>
    </row>
    <row r="519" spans="1:8" x14ac:dyDescent="0.25">
      <c r="A519" s="257"/>
      <c r="B519" s="257"/>
      <c r="C519" s="257"/>
      <c r="D519" s="257"/>
      <c r="E519" s="257"/>
      <c r="F519" s="257"/>
      <c r="G519" s="257"/>
      <c r="H519" s="257"/>
    </row>
    <row r="520" spans="1:8" x14ac:dyDescent="0.25">
      <c r="A520" s="257"/>
      <c r="B520" s="257"/>
      <c r="C520" s="257"/>
      <c r="D520" s="257"/>
      <c r="E520" s="257"/>
      <c r="F520" s="257"/>
      <c r="G520" s="257"/>
      <c r="H520" s="257"/>
    </row>
    <row r="521" spans="1:8" x14ac:dyDescent="0.25">
      <c r="A521" s="257"/>
      <c r="B521" s="257"/>
      <c r="C521" s="257"/>
      <c r="D521" s="257"/>
      <c r="E521" s="257"/>
      <c r="F521" s="257"/>
      <c r="G521" s="257"/>
      <c r="H521" s="257"/>
    </row>
    <row r="522" spans="1:8" x14ac:dyDescent="0.25">
      <c r="A522" s="257"/>
      <c r="B522" s="257"/>
      <c r="C522" s="257"/>
      <c r="D522" s="257"/>
      <c r="E522" s="257"/>
      <c r="F522" s="257"/>
      <c r="G522" s="257"/>
      <c r="H522" s="257"/>
    </row>
    <row r="523" spans="1:8" x14ac:dyDescent="0.25">
      <c r="A523" s="257"/>
      <c r="B523" s="257"/>
      <c r="C523" s="257"/>
      <c r="D523" s="257"/>
      <c r="E523" s="257"/>
      <c r="F523" s="257"/>
      <c r="G523" s="257"/>
      <c r="H523" s="257"/>
    </row>
    <row r="524" spans="1:8" x14ac:dyDescent="0.25">
      <c r="A524" s="257"/>
      <c r="B524" s="257"/>
      <c r="C524" s="257"/>
      <c r="D524" s="257"/>
      <c r="E524" s="257"/>
      <c r="F524" s="257"/>
      <c r="G524" s="257"/>
      <c r="H524" s="257"/>
    </row>
    <row r="525" spans="1:8" x14ac:dyDescent="0.25">
      <c r="A525" s="257"/>
      <c r="B525" s="257"/>
      <c r="C525" s="257"/>
      <c r="D525" s="257"/>
      <c r="E525" s="257"/>
      <c r="F525" s="257"/>
      <c r="G525" s="257"/>
      <c r="H525" s="257"/>
    </row>
    <row r="526" spans="1:8" x14ac:dyDescent="0.25">
      <c r="A526" s="257"/>
      <c r="B526" s="257"/>
      <c r="C526" s="257"/>
      <c r="D526" s="257"/>
      <c r="E526" s="257"/>
      <c r="F526" s="257"/>
      <c r="G526" s="257"/>
      <c r="H526" s="257"/>
    </row>
    <row r="527" spans="1:8" x14ac:dyDescent="0.25">
      <c r="A527" s="257"/>
      <c r="B527" s="257"/>
      <c r="C527" s="257"/>
      <c r="D527" s="257"/>
      <c r="E527" s="257"/>
      <c r="F527" s="257"/>
      <c r="G527" s="257"/>
      <c r="H527" s="257"/>
    </row>
    <row r="528" spans="1:8" x14ac:dyDescent="0.25">
      <c r="A528" s="258" t="s">
        <v>161</v>
      </c>
      <c r="B528" s="257"/>
      <c r="C528" s="257"/>
      <c r="D528" s="257"/>
      <c r="E528" s="257"/>
      <c r="F528" s="257"/>
      <c r="G528" s="257"/>
      <c r="H528" s="257"/>
    </row>
    <row r="529" spans="1:8" x14ac:dyDescent="0.25">
      <c r="A529" s="257"/>
      <c r="B529" s="257"/>
      <c r="C529" s="257"/>
      <c r="D529" s="257"/>
      <c r="E529" s="257"/>
      <c r="F529" s="257"/>
      <c r="G529" s="257"/>
      <c r="H529" s="257"/>
    </row>
    <row r="530" spans="1:8" x14ac:dyDescent="0.25">
      <c r="A530" s="257"/>
      <c r="B530" s="257"/>
      <c r="C530" s="257"/>
      <c r="D530" s="257"/>
      <c r="E530" s="257"/>
      <c r="F530" s="257"/>
      <c r="G530" s="257"/>
      <c r="H530" s="257"/>
    </row>
    <row r="531" spans="1:8" x14ac:dyDescent="0.25">
      <c r="A531" s="257"/>
      <c r="B531" s="257"/>
      <c r="C531" s="257"/>
      <c r="D531" s="257"/>
      <c r="E531" s="257"/>
      <c r="F531" s="257"/>
      <c r="G531" s="257"/>
      <c r="H531" s="257"/>
    </row>
    <row r="532" spans="1:8" x14ac:dyDescent="0.25">
      <c r="A532" s="257"/>
      <c r="B532" s="257"/>
      <c r="C532" s="257"/>
      <c r="D532" s="257"/>
      <c r="E532" s="257"/>
      <c r="F532" s="257"/>
      <c r="G532" s="257"/>
      <c r="H532" s="257"/>
    </row>
    <row r="533" spans="1:8" x14ac:dyDescent="0.25">
      <c r="A533" s="257"/>
      <c r="B533" s="257"/>
      <c r="C533" s="257"/>
      <c r="D533" s="257"/>
      <c r="E533" s="257"/>
      <c r="F533" s="257"/>
      <c r="G533" s="257"/>
      <c r="H533" s="257"/>
    </row>
    <row r="534" spans="1:8" x14ac:dyDescent="0.25">
      <c r="A534" s="257"/>
      <c r="B534" s="257"/>
      <c r="C534" s="257"/>
      <c r="D534" s="257"/>
      <c r="E534" s="257"/>
      <c r="F534" s="257"/>
      <c r="G534" s="257"/>
      <c r="H534" s="257"/>
    </row>
    <row r="535" spans="1:8" x14ac:dyDescent="0.25">
      <c r="A535" s="257"/>
      <c r="B535" s="257"/>
      <c r="C535" s="257"/>
      <c r="D535" s="257"/>
      <c r="E535" s="257"/>
      <c r="F535" s="257"/>
      <c r="G535" s="257"/>
      <c r="H535" s="257"/>
    </row>
    <row r="536" spans="1:8" x14ac:dyDescent="0.25">
      <c r="A536" s="257"/>
      <c r="B536" s="257"/>
      <c r="C536" s="257"/>
      <c r="D536" s="257"/>
      <c r="E536" s="257"/>
      <c r="F536" s="257"/>
      <c r="G536" s="257"/>
      <c r="H536" s="257"/>
    </row>
    <row r="537" spans="1:8" x14ac:dyDescent="0.25">
      <c r="A537" s="257"/>
      <c r="B537" s="257"/>
      <c r="C537" s="257"/>
      <c r="D537" s="257"/>
      <c r="E537" s="257"/>
      <c r="F537" s="257"/>
      <c r="G537" s="257"/>
      <c r="H537" s="257"/>
    </row>
    <row r="538" spans="1:8" x14ac:dyDescent="0.25">
      <c r="A538" s="257"/>
      <c r="B538" s="257"/>
      <c r="C538" s="257"/>
      <c r="D538" s="257"/>
      <c r="E538" s="257"/>
      <c r="F538" s="257"/>
      <c r="G538" s="257"/>
      <c r="H538" s="257"/>
    </row>
    <row r="539" spans="1:8" x14ac:dyDescent="0.25">
      <c r="A539" s="257"/>
      <c r="B539" s="257"/>
      <c r="C539" s="257"/>
      <c r="D539" s="257"/>
      <c r="E539" s="257"/>
      <c r="F539" s="257"/>
      <c r="G539" s="257"/>
      <c r="H539" s="257"/>
    </row>
    <row r="540" spans="1:8" x14ac:dyDescent="0.25">
      <c r="A540" s="257"/>
      <c r="B540" s="257"/>
      <c r="C540" s="257"/>
      <c r="D540" s="257"/>
      <c r="E540" s="257"/>
      <c r="F540" s="257"/>
      <c r="G540" s="257"/>
      <c r="H540" s="257"/>
    </row>
    <row r="541" spans="1:8" x14ac:dyDescent="0.25">
      <c r="A541" s="257"/>
      <c r="B541" s="257"/>
      <c r="C541" s="257"/>
      <c r="D541" s="257"/>
      <c r="E541" s="257"/>
      <c r="F541" s="257"/>
      <c r="G541" s="257"/>
      <c r="H541" s="257"/>
    </row>
    <row r="542" spans="1:8" x14ac:dyDescent="0.25">
      <c r="A542" s="257"/>
      <c r="B542" s="257"/>
      <c r="C542" s="257"/>
      <c r="D542" s="257"/>
      <c r="E542" s="257"/>
      <c r="F542" s="257"/>
      <c r="G542" s="257"/>
      <c r="H542" s="257"/>
    </row>
    <row r="543" spans="1:8" x14ac:dyDescent="0.25">
      <c r="A543" s="257"/>
      <c r="B543" s="257"/>
      <c r="C543" s="257"/>
      <c r="D543" s="257"/>
      <c r="E543" s="257"/>
      <c r="F543" s="257"/>
      <c r="G543" s="257"/>
      <c r="H543" s="257"/>
    </row>
    <row r="544" spans="1:8" x14ac:dyDescent="0.25">
      <c r="A544" s="257"/>
      <c r="B544" s="257"/>
      <c r="C544" s="257"/>
      <c r="D544" s="257"/>
      <c r="E544" s="257"/>
      <c r="F544" s="257"/>
      <c r="G544" s="257"/>
      <c r="H544" s="257"/>
    </row>
    <row r="545" spans="1:8" x14ac:dyDescent="0.25">
      <c r="A545" s="257"/>
      <c r="B545" s="257"/>
      <c r="C545" s="257"/>
      <c r="D545" s="257"/>
      <c r="E545" s="257"/>
      <c r="F545" s="257"/>
      <c r="G545" s="257"/>
      <c r="H545" s="257"/>
    </row>
    <row r="546" spans="1:8" x14ac:dyDescent="0.25">
      <c r="A546" s="257"/>
      <c r="B546" s="257"/>
      <c r="C546" s="257"/>
      <c r="D546" s="257"/>
      <c r="E546" s="257"/>
      <c r="F546" s="257"/>
      <c r="G546" s="257"/>
      <c r="H546" s="257"/>
    </row>
    <row r="547" spans="1:8" x14ac:dyDescent="0.25">
      <c r="A547" s="257"/>
      <c r="B547" s="257"/>
      <c r="C547" s="257"/>
      <c r="D547" s="257"/>
      <c r="E547" s="257"/>
      <c r="F547" s="257"/>
      <c r="G547" s="257"/>
      <c r="H547" s="257"/>
    </row>
    <row r="548" spans="1:8" x14ac:dyDescent="0.25">
      <c r="A548" s="257"/>
      <c r="B548" s="257"/>
      <c r="C548" s="257"/>
      <c r="D548" s="257"/>
      <c r="E548" s="257"/>
      <c r="F548" s="257"/>
      <c r="G548" s="257"/>
      <c r="H548" s="257"/>
    </row>
    <row r="571" spans="1:1" x14ac:dyDescent="0.25">
      <c r="A571" s="33" t="s">
        <v>64</v>
      </c>
    </row>
  </sheetData>
  <mergeCells count="970">
    <mergeCell ref="I11:L11"/>
    <mergeCell ref="D62:H62"/>
    <mergeCell ref="D63:H63"/>
    <mergeCell ref="A61:C63"/>
    <mergeCell ref="A85:B85"/>
    <mergeCell ref="C85:H85"/>
    <mergeCell ref="A87:B87"/>
    <mergeCell ref="C87:H87"/>
    <mergeCell ref="A88:B88"/>
    <mergeCell ref="E88:F88"/>
    <mergeCell ref="G88:H88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B475:H475"/>
    <mergeCell ref="A444:H444"/>
    <mergeCell ref="A445:B445"/>
    <mergeCell ref="G445:H452"/>
    <mergeCell ref="L441:M441"/>
    <mergeCell ref="A446:B446"/>
    <mergeCell ref="L442:M442"/>
    <mergeCell ref="A447:B447"/>
    <mergeCell ref="L443:M443"/>
    <mergeCell ref="A448:B448"/>
    <mergeCell ref="L444:M444"/>
    <mergeCell ref="A449:B449"/>
    <mergeCell ref="L445:M445"/>
    <mergeCell ref="A450:B450"/>
    <mergeCell ref="L446:M446"/>
    <mergeCell ref="A451:B451"/>
    <mergeCell ref="L447:M447"/>
    <mergeCell ref="A452:B452"/>
    <mergeCell ref="L448:M448"/>
    <mergeCell ref="G436:H443"/>
    <mergeCell ref="A437:B437"/>
    <mergeCell ref="A438:B438"/>
    <mergeCell ref="L434:M434"/>
    <mergeCell ref="A439:B439"/>
    <mergeCell ref="L435:M435"/>
    <mergeCell ref="A440:B440"/>
    <mergeCell ref="L436:M436"/>
    <mergeCell ref="A441:B441"/>
    <mergeCell ref="B473:H473"/>
    <mergeCell ref="L437:M437"/>
    <mergeCell ref="A442:B442"/>
    <mergeCell ref="L438:M438"/>
    <mergeCell ref="A443:B443"/>
    <mergeCell ref="L439:M439"/>
    <mergeCell ref="C438:F438"/>
    <mergeCell ref="A426:H426"/>
    <mergeCell ref="A427:B427"/>
    <mergeCell ref="G427:H434"/>
    <mergeCell ref="L423:M423"/>
    <mergeCell ref="A428:B428"/>
    <mergeCell ref="L424:M424"/>
    <mergeCell ref="A429:B429"/>
    <mergeCell ref="L425:M425"/>
    <mergeCell ref="A430:B430"/>
    <mergeCell ref="L426:M426"/>
    <mergeCell ref="A431:B431"/>
    <mergeCell ref="L427:M427"/>
    <mergeCell ref="A432:B432"/>
    <mergeCell ref="L428:M428"/>
    <mergeCell ref="A433:B433"/>
    <mergeCell ref="L429:M429"/>
    <mergeCell ref="A434:B434"/>
    <mergeCell ref="L430:M430"/>
    <mergeCell ref="A435:H435"/>
    <mergeCell ref="A436:B436"/>
    <mergeCell ref="L432:M432"/>
    <mergeCell ref="L433:M433"/>
    <mergeCell ref="A417:H417"/>
    <mergeCell ref="A418:B418"/>
    <mergeCell ref="G418:H425"/>
    <mergeCell ref="L414:M414"/>
    <mergeCell ref="A419:B419"/>
    <mergeCell ref="L415:M415"/>
    <mergeCell ref="A420:B420"/>
    <mergeCell ref="L416:M416"/>
    <mergeCell ref="A421:B421"/>
    <mergeCell ref="L417:M417"/>
    <mergeCell ref="A422:B422"/>
    <mergeCell ref="L418:M418"/>
    <mergeCell ref="A423:B423"/>
    <mergeCell ref="L419:M419"/>
    <mergeCell ref="A424:B424"/>
    <mergeCell ref="L420:M420"/>
    <mergeCell ref="A425:B425"/>
    <mergeCell ref="L421:M421"/>
    <mergeCell ref="C420:F420"/>
    <mergeCell ref="A408:H408"/>
    <mergeCell ref="A409:B409"/>
    <mergeCell ref="G409:H416"/>
    <mergeCell ref="L405:M405"/>
    <mergeCell ref="A410:B410"/>
    <mergeCell ref="L406:M406"/>
    <mergeCell ref="A411:B411"/>
    <mergeCell ref="L407:M407"/>
    <mergeCell ref="A412:B412"/>
    <mergeCell ref="L408:M408"/>
    <mergeCell ref="A413:B413"/>
    <mergeCell ref="L409:M409"/>
    <mergeCell ref="A414:B414"/>
    <mergeCell ref="L410:M410"/>
    <mergeCell ref="A415:B415"/>
    <mergeCell ref="L411:M411"/>
    <mergeCell ref="A416:B416"/>
    <mergeCell ref="L412:M412"/>
    <mergeCell ref="A399:H399"/>
    <mergeCell ref="A400:B400"/>
    <mergeCell ref="G400:H407"/>
    <mergeCell ref="L396:M396"/>
    <mergeCell ref="A401:B401"/>
    <mergeCell ref="L397:M397"/>
    <mergeCell ref="A402:B402"/>
    <mergeCell ref="L398:M398"/>
    <mergeCell ref="A403:B403"/>
    <mergeCell ref="L399:M399"/>
    <mergeCell ref="A404:B404"/>
    <mergeCell ref="L400:M400"/>
    <mergeCell ref="A405:B405"/>
    <mergeCell ref="L401:M401"/>
    <mergeCell ref="A406:B406"/>
    <mergeCell ref="L402:M402"/>
    <mergeCell ref="A407:B407"/>
    <mergeCell ref="L403:M403"/>
    <mergeCell ref="C402:F402"/>
    <mergeCell ref="A390:H390"/>
    <mergeCell ref="A391:B391"/>
    <mergeCell ref="G391:H398"/>
    <mergeCell ref="L387:M387"/>
    <mergeCell ref="A392:B392"/>
    <mergeCell ref="L388:M388"/>
    <mergeCell ref="A393:B393"/>
    <mergeCell ref="L389:M389"/>
    <mergeCell ref="A394:B394"/>
    <mergeCell ref="L390:M390"/>
    <mergeCell ref="A395:B395"/>
    <mergeCell ref="L391:M391"/>
    <mergeCell ref="A396:B396"/>
    <mergeCell ref="L392:M392"/>
    <mergeCell ref="A397:B397"/>
    <mergeCell ref="L393:M393"/>
    <mergeCell ref="A398:B398"/>
    <mergeCell ref="L394:M394"/>
    <mergeCell ref="L363:M363"/>
    <mergeCell ref="A368:B368"/>
    <mergeCell ref="L364:M364"/>
    <mergeCell ref="A369:B369"/>
    <mergeCell ref="L365:M365"/>
    <mergeCell ref="A370:B370"/>
    <mergeCell ref="L366:M366"/>
    <mergeCell ref="A371:B371"/>
    <mergeCell ref="L367:M367"/>
    <mergeCell ref="A362:B362"/>
    <mergeCell ref="A381:H381"/>
    <mergeCell ref="A382:B382"/>
    <mergeCell ref="G382:H389"/>
    <mergeCell ref="L378:M378"/>
    <mergeCell ref="A383:B383"/>
    <mergeCell ref="L379:M379"/>
    <mergeCell ref="A384:B384"/>
    <mergeCell ref="L380:M380"/>
    <mergeCell ref="A385:B385"/>
    <mergeCell ref="C385:F388"/>
    <mergeCell ref="L381:M381"/>
    <mergeCell ref="A386:B386"/>
    <mergeCell ref="L382:M382"/>
    <mergeCell ref="A387:B387"/>
    <mergeCell ref="L383:M383"/>
    <mergeCell ref="A388:B388"/>
    <mergeCell ref="L384:M384"/>
    <mergeCell ref="A389:B389"/>
    <mergeCell ref="L385:M385"/>
    <mergeCell ref="B474:H474"/>
    <mergeCell ref="A156:B156"/>
    <mergeCell ref="L152:M152"/>
    <mergeCell ref="A157:B157"/>
    <mergeCell ref="L153:M153"/>
    <mergeCell ref="A154:B154"/>
    <mergeCell ref="L150:M150"/>
    <mergeCell ref="G145:H157"/>
    <mergeCell ref="A169:B169"/>
    <mergeCell ref="L165:M165"/>
    <mergeCell ref="A170:B170"/>
    <mergeCell ref="L166:M166"/>
    <mergeCell ref="A171:B171"/>
    <mergeCell ref="L167:M167"/>
    <mergeCell ref="G159:H171"/>
    <mergeCell ref="C200:F202"/>
    <mergeCell ref="C199:F199"/>
    <mergeCell ref="C203:F203"/>
    <mergeCell ref="A279:H279"/>
    <mergeCell ref="A280:B280"/>
    <mergeCell ref="G280:H287"/>
    <mergeCell ref="L276:M276"/>
    <mergeCell ref="L277:M277"/>
    <mergeCell ref="A282:B282"/>
    <mergeCell ref="L278:M278"/>
    <mergeCell ref="A283:B283"/>
    <mergeCell ref="C283:F286"/>
    <mergeCell ref="L279:M279"/>
    <mergeCell ref="A284:B284"/>
    <mergeCell ref="L280:M280"/>
    <mergeCell ref="A453:H453"/>
    <mergeCell ref="A454:B454"/>
    <mergeCell ref="G454:H461"/>
    <mergeCell ref="L450:M450"/>
    <mergeCell ref="A455:B455"/>
    <mergeCell ref="L451:M451"/>
    <mergeCell ref="A456:B456"/>
    <mergeCell ref="L452:M452"/>
    <mergeCell ref="A457:B457"/>
    <mergeCell ref="L453:M453"/>
    <mergeCell ref="A458:B458"/>
    <mergeCell ref="L454:M454"/>
    <mergeCell ref="A459:B459"/>
    <mergeCell ref="L455:M455"/>
    <mergeCell ref="A460:B460"/>
    <mergeCell ref="L456:M456"/>
    <mergeCell ref="A461:B461"/>
    <mergeCell ref="L457:M457"/>
    <mergeCell ref="C456:F456"/>
    <mergeCell ref="A361:B361"/>
    <mergeCell ref="L357:M357"/>
    <mergeCell ref="L358:M358"/>
    <mergeCell ref="A372:H372"/>
    <mergeCell ref="A373:B373"/>
    <mergeCell ref="G373:H380"/>
    <mergeCell ref="L369:M369"/>
    <mergeCell ref="A374:B374"/>
    <mergeCell ref="L370:M370"/>
    <mergeCell ref="A375:B375"/>
    <mergeCell ref="L371:M371"/>
    <mergeCell ref="A376:B376"/>
    <mergeCell ref="C376:F379"/>
    <mergeCell ref="L372:M372"/>
    <mergeCell ref="A377:B377"/>
    <mergeCell ref="L373:M373"/>
    <mergeCell ref="A378:B378"/>
    <mergeCell ref="L374:M374"/>
    <mergeCell ref="A379:B379"/>
    <mergeCell ref="L375:M375"/>
    <mergeCell ref="A380:B380"/>
    <mergeCell ref="L376:M376"/>
    <mergeCell ref="A363:H363"/>
    <mergeCell ref="A364:B364"/>
    <mergeCell ref="G364:H371"/>
    <mergeCell ref="L360:M360"/>
    <mergeCell ref="A365:B365"/>
    <mergeCell ref="L361:M361"/>
    <mergeCell ref="A366:B366"/>
    <mergeCell ref="L362:M362"/>
    <mergeCell ref="A367:B367"/>
    <mergeCell ref="C367:F370"/>
    <mergeCell ref="G103:H112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L351:M351"/>
    <mergeCell ref="A356:B356"/>
    <mergeCell ref="L352:M352"/>
    <mergeCell ref="A357:B357"/>
    <mergeCell ref="L353:M353"/>
    <mergeCell ref="A358:B358"/>
    <mergeCell ref="C358:F358"/>
    <mergeCell ref="L354:M354"/>
    <mergeCell ref="A285:B285"/>
    <mergeCell ref="L281:M281"/>
    <mergeCell ref="A286:B286"/>
    <mergeCell ref="L282:M282"/>
    <mergeCell ref="A287:B287"/>
    <mergeCell ref="L283:M283"/>
    <mergeCell ref="C292:F292"/>
    <mergeCell ref="C293:F295"/>
    <mergeCell ref="A135:B135"/>
    <mergeCell ref="C135:D135"/>
    <mergeCell ref="E135:F135"/>
    <mergeCell ref="G135:H135"/>
    <mergeCell ref="A113:E113"/>
    <mergeCell ref="F118:H118"/>
    <mergeCell ref="A119:E119"/>
    <mergeCell ref="A136:B136"/>
    <mergeCell ref="E136:F136"/>
    <mergeCell ref="A40:B40"/>
    <mergeCell ref="C40:H40"/>
    <mergeCell ref="B470:H470"/>
    <mergeCell ref="A49:B49"/>
    <mergeCell ref="C49:H49"/>
    <mergeCell ref="B468:H468"/>
    <mergeCell ref="F115:H115"/>
    <mergeCell ref="A115:E115"/>
    <mergeCell ref="D140:D141"/>
    <mergeCell ref="A118:E118"/>
    <mergeCell ref="A117:E117"/>
    <mergeCell ref="F117:H117"/>
    <mergeCell ref="B466:H466"/>
    <mergeCell ref="A99:B99"/>
    <mergeCell ref="C99:H99"/>
    <mergeCell ref="A101:B101"/>
    <mergeCell ref="C101:H101"/>
    <mergeCell ref="A102:B102"/>
    <mergeCell ref="E102:F102"/>
    <mergeCell ref="G102:H102"/>
    <mergeCell ref="A103:B103"/>
    <mergeCell ref="E103:F112"/>
    <mergeCell ref="F113:H113"/>
    <mergeCell ref="F119:H119"/>
    <mergeCell ref="A124:E124"/>
    <mergeCell ref="G136:H136"/>
    <mergeCell ref="C130:D130"/>
    <mergeCell ref="E130:F130"/>
    <mergeCell ref="G130:H130"/>
    <mergeCell ref="A130:B130"/>
    <mergeCell ref="A134:B134"/>
    <mergeCell ref="C134:D134"/>
    <mergeCell ref="E134:F134"/>
    <mergeCell ref="G134:H134"/>
    <mergeCell ref="L177:M177"/>
    <mergeCell ref="L174:M174"/>
    <mergeCell ref="A179:B179"/>
    <mergeCell ref="L175:M175"/>
    <mergeCell ref="A180:B180"/>
    <mergeCell ref="L176:M176"/>
    <mergeCell ref="C140:C141"/>
    <mergeCell ref="B173:B174"/>
    <mergeCell ref="A181:B181"/>
    <mergeCell ref="A178:B178"/>
    <mergeCell ref="A200:B200"/>
    <mergeCell ref="A204:H204"/>
    <mergeCell ref="A114:E114"/>
    <mergeCell ref="E140:E141"/>
    <mergeCell ref="G140:H141"/>
    <mergeCell ref="A120:E120"/>
    <mergeCell ref="F120:H120"/>
    <mergeCell ref="A122:E122"/>
    <mergeCell ref="F116:H116"/>
    <mergeCell ref="A121:E121"/>
    <mergeCell ref="A116:E116"/>
    <mergeCell ref="A138:H138"/>
    <mergeCell ref="F121:H121"/>
    <mergeCell ref="C128:D128"/>
    <mergeCell ref="A139:H139"/>
    <mergeCell ref="G128:H128"/>
    <mergeCell ref="A123:E123"/>
    <mergeCell ref="C129:D129"/>
    <mergeCell ref="A65:C65"/>
    <mergeCell ref="D64:H64"/>
    <mergeCell ref="E75:F84"/>
    <mergeCell ref="G75:H84"/>
    <mergeCell ref="A83:B83"/>
    <mergeCell ref="A84:B84"/>
    <mergeCell ref="D65:H65"/>
    <mergeCell ref="A44:D44"/>
    <mergeCell ref="E44:H44"/>
    <mergeCell ref="E45:H45"/>
    <mergeCell ref="E46:H46"/>
    <mergeCell ref="E47:H47"/>
    <mergeCell ref="A46:D46"/>
    <mergeCell ref="A82:B82"/>
    <mergeCell ref="A81:B81"/>
    <mergeCell ref="A74:B74"/>
    <mergeCell ref="A77:B77"/>
    <mergeCell ref="A73:B73"/>
    <mergeCell ref="A71:B71"/>
    <mergeCell ref="C71:H71"/>
    <mergeCell ref="A79:B79"/>
    <mergeCell ref="A66:C66"/>
    <mergeCell ref="D66:H66"/>
    <mergeCell ref="C73:H73"/>
    <mergeCell ref="A38:H38"/>
    <mergeCell ref="A37:B37"/>
    <mergeCell ref="C37:E37"/>
    <mergeCell ref="A42:D42"/>
    <mergeCell ref="E42:H42"/>
    <mergeCell ref="F34:H34"/>
    <mergeCell ref="F35:H35"/>
    <mergeCell ref="A41:H41"/>
    <mergeCell ref="A64:C64"/>
    <mergeCell ref="A39:B39"/>
    <mergeCell ref="C39:H39"/>
    <mergeCell ref="A45:D45"/>
    <mergeCell ref="F37:H37"/>
    <mergeCell ref="A47:D47"/>
    <mergeCell ref="A48:H48"/>
    <mergeCell ref="D60:H60"/>
    <mergeCell ref="A60:C60"/>
    <mergeCell ref="G51:H51"/>
    <mergeCell ref="A52:B53"/>
    <mergeCell ref="D61:H61"/>
    <mergeCell ref="C51:E51"/>
    <mergeCell ref="A56:B56"/>
    <mergeCell ref="C56:E56"/>
    <mergeCell ref="A51:B51"/>
    <mergeCell ref="A54:B55"/>
    <mergeCell ref="C54:E54"/>
    <mergeCell ref="G54:H54"/>
    <mergeCell ref="C55:H55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E23:H24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18:B18"/>
    <mergeCell ref="C18:H18"/>
    <mergeCell ref="A17:B1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2:D12"/>
    <mergeCell ref="E12:H12"/>
    <mergeCell ref="A10:D10"/>
    <mergeCell ref="E10:H10"/>
    <mergeCell ref="A485:H488"/>
    <mergeCell ref="A484:B484"/>
    <mergeCell ref="E484:F484"/>
    <mergeCell ref="C484:D484"/>
    <mergeCell ref="G484:H484"/>
    <mergeCell ref="A127:H127"/>
    <mergeCell ref="A125:E125"/>
    <mergeCell ref="F125:H125"/>
    <mergeCell ref="A126:E126"/>
    <mergeCell ref="F126:H126"/>
    <mergeCell ref="A133:B133"/>
    <mergeCell ref="A129:B129"/>
    <mergeCell ref="A480:H480"/>
    <mergeCell ref="A131:H131"/>
    <mergeCell ref="A483:H483"/>
    <mergeCell ref="A481:H481"/>
    <mergeCell ref="A477:H477"/>
    <mergeCell ref="A478:H478"/>
    <mergeCell ref="E132:F132"/>
    <mergeCell ref="G133:H133"/>
    <mergeCell ref="A462:H462"/>
    <mergeCell ref="A23:D24"/>
    <mergeCell ref="E133:F133"/>
    <mergeCell ref="A213:H213"/>
    <mergeCell ref="A214:B214"/>
    <mergeCell ref="G214:H221"/>
    <mergeCell ref="A219:B219"/>
    <mergeCell ref="C234:F234"/>
    <mergeCell ref="A240:H240"/>
    <mergeCell ref="A281:B281"/>
    <mergeCell ref="B469:H469"/>
    <mergeCell ref="B465:H465"/>
    <mergeCell ref="B463:H463"/>
    <mergeCell ref="B464:H464"/>
    <mergeCell ref="A340:B340"/>
    <mergeCell ref="B467:H467"/>
    <mergeCell ref="A351:H351"/>
    <mergeCell ref="A352:H352"/>
    <mergeCell ref="A172:H172"/>
    <mergeCell ref="A173:A174"/>
    <mergeCell ref="A355:B355"/>
    <mergeCell ref="C355:F356"/>
    <mergeCell ref="G355:H362"/>
    <mergeCell ref="F124:H124"/>
    <mergeCell ref="F122:H122"/>
    <mergeCell ref="A76:B76"/>
    <mergeCell ref="A78:B78"/>
    <mergeCell ref="E74:F74"/>
    <mergeCell ref="A67:C67"/>
    <mergeCell ref="D67:H67"/>
    <mergeCell ref="A70:C70"/>
    <mergeCell ref="D70:H70"/>
    <mergeCell ref="A68:C68"/>
    <mergeCell ref="D68:H68"/>
    <mergeCell ref="A69:C69"/>
    <mergeCell ref="D69:H69"/>
    <mergeCell ref="A75:B75"/>
    <mergeCell ref="E129:F129"/>
    <mergeCell ref="G74:H74"/>
    <mergeCell ref="B140:B141"/>
    <mergeCell ref="A140:A141"/>
    <mergeCell ref="C173:C174"/>
    <mergeCell ref="C136:D136"/>
    <mergeCell ref="A177:H177"/>
    <mergeCell ref="F123:H123"/>
    <mergeCell ref="E128:F128"/>
    <mergeCell ref="A128:B128"/>
    <mergeCell ref="C132:D132"/>
    <mergeCell ref="G132:H132"/>
    <mergeCell ref="C133:D133"/>
    <mergeCell ref="E43:H43"/>
    <mergeCell ref="A43:D43"/>
    <mergeCell ref="A482:H482"/>
    <mergeCell ref="A479:H479"/>
    <mergeCell ref="A132:B132"/>
    <mergeCell ref="D173:D174"/>
    <mergeCell ref="E173:E174"/>
    <mergeCell ref="G173:H174"/>
    <mergeCell ref="A80:B80"/>
    <mergeCell ref="F114:H114"/>
    <mergeCell ref="G129:H129"/>
    <mergeCell ref="A50:B50"/>
    <mergeCell ref="C50:E50"/>
    <mergeCell ref="G50:H50"/>
    <mergeCell ref="G52:H52"/>
    <mergeCell ref="D58:H58"/>
    <mergeCell ref="C52:E52"/>
    <mergeCell ref="A147:B147"/>
    <mergeCell ref="A57:H57"/>
    <mergeCell ref="A58:C58"/>
    <mergeCell ref="A153:B153"/>
    <mergeCell ref="A59:C59"/>
    <mergeCell ref="D59:H59"/>
    <mergeCell ref="G56:H56"/>
    <mergeCell ref="C53:H53"/>
    <mergeCell ref="A137:B137"/>
    <mergeCell ref="A353:H353"/>
    <mergeCell ref="A354:H354"/>
    <mergeCell ref="C137:D137"/>
    <mergeCell ref="E137:F137"/>
    <mergeCell ref="G137:H137"/>
    <mergeCell ref="L149:M149"/>
    <mergeCell ref="A155:B155"/>
    <mergeCell ref="L151:M151"/>
    <mergeCell ref="A150:B150"/>
    <mergeCell ref="L146:M146"/>
    <mergeCell ref="A151:B151"/>
    <mergeCell ref="L147:M147"/>
    <mergeCell ref="A152:B152"/>
    <mergeCell ref="L148:M148"/>
    <mergeCell ref="L143:M143"/>
    <mergeCell ref="A148:B148"/>
    <mergeCell ref="L144:M144"/>
    <mergeCell ref="A149:B149"/>
    <mergeCell ref="L145:M145"/>
    <mergeCell ref="A142:H142"/>
    <mergeCell ref="A143:H143"/>
    <mergeCell ref="A144:H144"/>
    <mergeCell ref="A145:B145"/>
    <mergeCell ref="L141:M141"/>
    <mergeCell ref="A146:B146"/>
    <mergeCell ref="L142:M142"/>
    <mergeCell ref="L169:M169"/>
    <mergeCell ref="A158:H158"/>
    <mergeCell ref="A159:B159"/>
    <mergeCell ref="L155:M155"/>
    <mergeCell ref="A160:B160"/>
    <mergeCell ref="L156:M156"/>
    <mergeCell ref="A161:B161"/>
    <mergeCell ref="L157:M157"/>
    <mergeCell ref="A162:B162"/>
    <mergeCell ref="L158:M158"/>
    <mergeCell ref="A163:B163"/>
    <mergeCell ref="L159:M159"/>
    <mergeCell ref="A164:B164"/>
    <mergeCell ref="L160:M160"/>
    <mergeCell ref="A165:B165"/>
    <mergeCell ref="L161:M161"/>
    <mergeCell ref="A166:B166"/>
    <mergeCell ref="L162:M162"/>
    <mergeCell ref="A167:B167"/>
    <mergeCell ref="L163:M163"/>
    <mergeCell ref="L164:M164"/>
    <mergeCell ref="A168:B168"/>
    <mergeCell ref="L183:M183"/>
    <mergeCell ref="A188:B188"/>
    <mergeCell ref="L184:M184"/>
    <mergeCell ref="A189:B189"/>
    <mergeCell ref="L185:M185"/>
    <mergeCell ref="A195:H195"/>
    <mergeCell ref="A185:B185"/>
    <mergeCell ref="L181:M181"/>
    <mergeCell ref="G178:H185"/>
    <mergeCell ref="C181:F185"/>
    <mergeCell ref="A186:H186"/>
    <mergeCell ref="A187:B187"/>
    <mergeCell ref="A194:B194"/>
    <mergeCell ref="L190:M190"/>
    <mergeCell ref="A190:B190"/>
    <mergeCell ref="L186:M186"/>
    <mergeCell ref="C190:F194"/>
    <mergeCell ref="A191:B191"/>
    <mergeCell ref="L201:M201"/>
    <mergeCell ref="A206:B206"/>
    <mergeCell ref="L202:M202"/>
    <mergeCell ref="A207:B207"/>
    <mergeCell ref="L203:M203"/>
    <mergeCell ref="A208:B208"/>
    <mergeCell ref="L204:M204"/>
    <mergeCell ref="A209:B209"/>
    <mergeCell ref="L205:M205"/>
    <mergeCell ref="L206:M206"/>
    <mergeCell ref="A211:B211"/>
    <mergeCell ref="L207:M207"/>
    <mergeCell ref="A212:B212"/>
    <mergeCell ref="L208:M208"/>
    <mergeCell ref="G205:H212"/>
    <mergeCell ref="A222:H222"/>
    <mergeCell ref="A196:B196"/>
    <mergeCell ref="A197:B197"/>
    <mergeCell ref="A203:B203"/>
    <mergeCell ref="L199:M199"/>
    <mergeCell ref="G196:H203"/>
    <mergeCell ref="A198:B198"/>
    <mergeCell ref="L194:M194"/>
    <mergeCell ref="A199:B199"/>
    <mergeCell ref="L195:M195"/>
    <mergeCell ref="A205:B205"/>
    <mergeCell ref="A210:B210"/>
    <mergeCell ref="A229:B229"/>
    <mergeCell ref="L225:M225"/>
    <mergeCell ref="A230:B230"/>
    <mergeCell ref="L226:M226"/>
    <mergeCell ref="L210:M210"/>
    <mergeCell ref="A215:B215"/>
    <mergeCell ref="L211:M211"/>
    <mergeCell ref="A216:B216"/>
    <mergeCell ref="L212:M212"/>
    <mergeCell ref="A217:B217"/>
    <mergeCell ref="L213:M213"/>
    <mergeCell ref="A218:B218"/>
    <mergeCell ref="L214:M214"/>
    <mergeCell ref="L215:M215"/>
    <mergeCell ref="A220:B220"/>
    <mergeCell ref="L216:M216"/>
    <mergeCell ref="A221:B221"/>
    <mergeCell ref="L217:M217"/>
    <mergeCell ref="C216:F216"/>
    <mergeCell ref="L220:M220"/>
    <mergeCell ref="A225:B225"/>
    <mergeCell ref="L221:M221"/>
    <mergeCell ref="A226:B226"/>
    <mergeCell ref="L222:M222"/>
    <mergeCell ref="A227:B227"/>
    <mergeCell ref="L223:M223"/>
    <mergeCell ref="A228:B228"/>
    <mergeCell ref="L224:M224"/>
    <mergeCell ref="A223:B223"/>
    <mergeCell ref="G223:H230"/>
    <mergeCell ref="L219:M219"/>
    <mergeCell ref="A224:B224"/>
    <mergeCell ref="A231:H231"/>
    <mergeCell ref="A232:B232"/>
    <mergeCell ref="G232:H239"/>
    <mergeCell ref="L228:M228"/>
    <mergeCell ref="A233:B233"/>
    <mergeCell ref="L229:M229"/>
    <mergeCell ref="A234:B234"/>
    <mergeCell ref="L230:M230"/>
    <mergeCell ref="A235:B235"/>
    <mergeCell ref="L231:M231"/>
    <mergeCell ref="A236:B236"/>
    <mergeCell ref="L232:M232"/>
    <mergeCell ref="A237:B237"/>
    <mergeCell ref="L233:M233"/>
    <mergeCell ref="A238:B238"/>
    <mergeCell ref="L234:M234"/>
    <mergeCell ref="A239:B239"/>
    <mergeCell ref="L235:M235"/>
    <mergeCell ref="A241:B241"/>
    <mergeCell ref="G241:H248"/>
    <mergeCell ref="L237:M237"/>
    <mergeCell ref="A242:B242"/>
    <mergeCell ref="L238:M238"/>
    <mergeCell ref="A243:B243"/>
    <mergeCell ref="L239:M239"/>
    <mergeCell ref="A244:B244"/>
    <mergeCell ref="L240:M240"/>
    <mergeCell ref="A245:B245"/>
    <mergeCell ref="L241:M241"/>
    <mergeCell ref="A246:B246"/>
    <mergeCell ref="L242:M242"/>
    <mergeCell ref="A247:B247"/>
    <mergeCell ref="L243:M243"/>
    <mergeCell ref="A248:B248"/>
    <mergeCell ref="L244:M244"/>
    <mergeCell ref="A249:H249"/>
    <mergeCell ref="A250:B250"/>
    <mergeCell ref="G250:H257"/>
    <mergeCell ref="L246:M246"/>
    <mergeCell ref="A251:B251"/>
    <mergeCell ref="L247:M247"/>
    <mergeCell ref="A252:B252"/>
    <mergeCell ref="L248:M248"/>
    <mergeCell ref="A253:B253"/>
    <mergeCell ref="L249:M249"/>
    <mergeCell ref="A254:B254"/>
    <mergeCell ref="L250:M250"/>
    <mergeCell ref="A255:B255"/>
    <mergeCell ref="L251:M251"/>
    <mergeCell ref="A256:B256"/>
    <mergeCell ref="L252:M252"/>
    <mergeCell ref="A257:B257"/>
    <mergeCell ref="L253:M253"/>
    <mergeCell ref="C252:F252"/>
    <mergeCell ref="A258:H258"/>
    <mergeCell ref="A260:H260"/>
    <mergeCell ref="A266:B266"/>
    <mergeCell ref="L262:M262"/>
    <mergeCell ref="A267:B267"/>
    <mergeCell ref="L263:M263"/>
    <mergeCell ref="A268:B268"/>
    <mergeCell ref="L264:M264"/>
    <mergeCell ref="A269:B269"/>
    <mergeCell ref="L265:M265"/>
    <mergeCell ref="G262:H269"/>
    <mergeCell ref="C265:F265"/>
    <mergeCell ref="C262:F263"/>
    <mergeCell ref="C266:F268"/>
    <mergeCell ref="A259:H259"/>
    <mergeCell ref="A263:B263"/>
    <mergeCell ref="L259:M259"/>
    <mergeCell ref="A264:B264"/>
    <mergeCell ref="L260:M260"/>
    <mergeCell ref="A265:B265"/>
    <mergeCell ref="L261:M261"/>
    <mergeCell ref="A261:H261"/>
    <mergeCell ref="A262:B262"/>
    <mergeCell ref="L258:M258"/>
    <mergeCell ref="A270:H270"/>
    <mergeCell ref="A271:B271"/>
    <mergeCell ref="G271:H278"/>
    <mergeCell ref="L267:M267"/>
    <mergeCell ref="A272:B272"/>
    <mergeCell ref="L268:M268"/>
    <mergeCell ref="A273:B273"/>
    <mergeCell ref="L269:M269"/>
    <mergeCell ref="A274:B274"/>
    <mergeCell ref="L270:M270"/>
    <mergeCell ref="A275:B275"/>
    <mergeCell ref="L271:M271"/>
    <mergeCell ref="A276:B276"/>
    <mergeCell ref="L272:M272"/>
    <mergeCell ref="A277:B277"/>
    <mergeCell ref="L273:M273"/>
    <mergeCell ref="A278:B278"/>
    <mergeCell ref="L274:M274"/>
    <mergeCell ref="C274:F277"/>
    <mergeCell ref="A288:H288"/>
    <mergeCell ref="A289:B289"/>
    <mergeCell ref="G289:H296"/>
    <mergeCell ref="L285:M285"/>
    <mergeCell ref="A290:B290"/>
    <mergeCell ref="L286:M286"/>
    <mergeCell ref="A291:B291"/>
    <mergeCell ref="L287:M287"/>
    <mergeCell ref="A292:B292"/>
    <mergeCell ref="L288:M288"/>
    <mergeCell ref="A293:B293"/>
    <mergeCell ref="L289:M289"/>
    <mergeCell ref="A294:B294"/>
    <mergeCell ref="L290:M290"/>
    <mergeCell ref="A295:B295"/>
    <mergeCell ref="L291:M291"/>
    <mergeCell ref="A296:B296"/>
    <mergeCell ref="L292:M292"/>
    <mergeCell ref="A297:H297"/>
    <mergeCell ref="A298:B298"/>
    <mergeCell ref="G298:H305"/>
    <mergeCell ref="L294:M294"/>
    <mergeCell ref="A299:B299"/>
    <mergeCell ref="L295:M295"/>
    <mergeCell ref="A300:B300"/>
    <mergeCell ref="L296:M296"/>
    <mergeCell ref="A301:B301"/>
    <mergeCell ref="L297:M297"/>
    <mergeCell ref="A302:B302"/>
    <mergeCell ref="L298:M298"/>
    <mergeCell ref="A303:B303"/>
    <mergeCell ref="L299:M299"/>
    <mergeCell ref="A304:B304"/>
    <mergeCell ref="L300:M300"/>
    <mergeCell ref="A305:B305"/>
    <mergeCell ref="L301:M301"/>
    <mergeCell ref="A306:H306"/>
    <mergeCell ref="A307:B307"/>
    <mergeCell ref="G307:H314"/>
    <mergeCell ref="L303:M303"/>
    <mergeCell ref="A308:B308"/>
    <mergeCell ref="L304:M304"/>
    <mergeCell ref="A309:B309"/>
    <mergeCell ref="L305:M305"/>
    <mergeCell ref="A310:B310"/>
    <mergeCell ref="L306:M306"/>
    <mergeCell ref="A311:B311"/>
    <mergeCell ref="L307:M307"/>
    <mergeCell ref="A312:B312"/>
    <mergeCell ref="L308:M308"/>
    <mergeCell ref="A313:B313"/>
    <mergeCell ref="L309:M309"/>
    <mergeCell ref="A314:B314"/>
    <mergeCell ref="L310:M310"/>
    <mergeCell ref="C314:F314"/>
    <mergeCell ref="L311:M311"/>
    <mergeCell ref="A333:H333"/>
    <mergeCell ref="A334:B334"/>
    <mergeCell ref="G334:H341"/>
    <mergeCell ref="L330:M330"/>
    <mergeCell ref="A335:B335"/>
    <mergeCell ref="L331:M331"/>
    <mergeCell ref="A336:B336"/>
    <mergeCell ref="L332:M332"/>
    <mergeCell ref="A337:B337"/>
    <mergeCell ref="L333:M333"/>
    <mergeCell ref="A338:B338"/>
    <mergeCell ref="L334:M334"/>
    <mergeCell ref="A339:B339"/>
    <mergeCell ref="L335:M335"/>
    <mergeCell ref="A317:B317"/>
    <mergeCell ref="L313:M313"/>
    <mergeCell ref="L336:M336"/>
    <mergeCell ref="A341:B341"/>
    <mergeCell ref="C332:F332"/>
    <mergeCell ref="B471:H471"/>
    <mergeCell ref="B472:H472"/>
    <mergeCell ref="B476:H476"/>
    <mergeCell ref="A315:H315"/>
    <mergeCell ref="A316:B316"/>
    <mergeCell ref="G316:H323"/>
    <mergeCell ref="A321:B321"/>
    <mergeCell ref="L337:M337"/>
    <mergeCell ref="A342:H342"/>
    <mergeCell ref="A343:B343"/>
    <mergeCell ref="G343:H350"/>
    <mergeCell ref="L339:M339"/>
    <mergeCell ref="A344:B344"/>
    <mergeCell ref="L340:M340"/>
    <mergeCell ref="A345:B345"/>
    <mergeCell ref="L341:M341"/>
    <mergeCell ref="A346:B346"/>
    <mergeCell ref="L342:M342"/>
    <mergeCell ref="A347:B347"/>
    <mergeCell ref="L343:M343"/>
    <mergeCell ref="A348:B348"/>
    <mergeCell ref="L344:M344"/>
    <mergeCell ref="A349:B349"/>
    <mergeCell ref="L345:M345"/>
    <mergeCell ref="A350:B350"/>
    <mergeCell ref="C350:F350"/>
    <mergeCell ref="L346:M346"/>
    <mergeCell ref="A359:B359"/>
    <mergeCell ref="C359:F361"/>
    <mergeCell ref="L355:M355"/>
    <mergeCell ref="A360:B360"/>
    <mergeCell ref="L356:M356"/>
    <mergeCell ref="A318:B318"/>
    <mergeCell ref="L314:M314"/>
    <mergeCell ref="A319:B319"/>
    <mergeCell ref="L315:M315"/>
    <mergeCell ref="A320:B320"/>
    <mergeCell ref="L316:M316"/>
    <mergeCell ref="L328:M328"/>
    <mergeCell ref="L317:M317"/>
    <mergeCell ref="A322:B322"/>
    <mergeCell ref="L318:M318"/>
    <mergeCell ref="A323:B323"/>
    <mergeCell ref="L319:M319"/>
    <mergeCell ref="A324:H324"/>
    <mergeCell ref="A325:B325"/>
    <mergeCell ref="G325:H332"/>
    <mergeCell ref="L321:M321"/>
    <mergeCell ref="A326:B326"/>
    <mergeCell ref="L322:M322"/>
    <mergeCell ref="A327:B327"/>
    <mergeCell ref="L323:M323"/>
    <mergeCell ref="A328:B328"/>
    <mergeCell ref="L324:M324"/>
    <mergeCell ref="A329:B329"/>
    <mergeCell ref="L325:M325"/>
    <mergeCell ref="A330:B330"/>
    <mergeCell ref="L326:M326"/>
    <mergeCell ref="A331:B331"/>
    <mergeCell ref="L327:M327"/>
    <mergeCell ref="A332:B332"/>
    <mergeCell ref="A13:D15"/>
    <mergeCell ref="E13:F13"/>
    <mergeCell ref="G13:H13"/>
    <mergeCell ref="E14:F14"/>
    <mergeCell ref="G14:H14"/>
    <mergeCell ref="E15:F15"/>
    <mergeCell ref="G15:H15"/>
    <mergeCell ref="L187:M187"/>
    <mergeCell ref="A192:B192"/>
    <mergeCell ref="L188:M188"/>
    <mergeCell ref="A193:B193"/>
    <mergeCell ref="L189:M189"/>
    <mergeCell ref="L196:M196"/>
    <mergeCell ref="A201:B201"/>
    <mergeCell ref="L197:M197"/>
    <mergeCell ref="A202:B202"/>
    <mergeCell ref="L198:M198"/>
    <mergeCell ref="G187:H194"/>
    <mergeCell ref="I44:L44"/>
    <mergeCell ref="I48:K48"/>
    <mergeCell ref="L48:M48"/>
    <mergeCell ref="A176:H176"/>
    <mergeCell ref="A182:B182"/>
    <mergeCell ref="L178:M178"/>
    <mergeCell ref="A183:B183"/>
    <mergeCell ref="L179:M179"/>
    <mergeCell ref="A184:B184"/>
    <mergeCell ref="L180:M180"/>
    <mergeCell ref="J200:K200"/>
    <mergeCell ref="L192:M192"/>
    <mergeCell ref="L193:M193"/>
    <mergeCell ref="A175:H175"/>
  </mergeCells>
  <hyperlinks>
    <hyperlink ref="C40" r:id="rId1"/>
    <hyperlink ref="I67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2" max="7" man="1"/>
    <brk id="70" max="7" man="1"/>
    <brk id="112" max="7" man="1"/>
    <brk id="488" max="7" man="1"/>
    <brk id="527" max="7" man="1"/>
    <brk id="570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6"/>
  <sheetViews>
    <sheetView topLeftCell="A55" zoomScale="85" zoomScaleNormal="85" workbookViewId="0">
      <selection activeCell="R19" sqref="R19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11" ht="15" customHeight="1" x14ac:dyDescent="0.25"/>
    <row r="2" spans="1:11" ht="15" customHeight="1" x14ac:dyDescent="0.25">
      <c r="A2" s="2"/>
      <c r="B2" s="2"/>
      <c r="C2" s="2"/>
      <c r="D2" s="2"/>
      <c r="E2" s="2"/>
      <c r="F2" s="2"/>
      <c r="G2" s="2"/>
      <c r="H2" s="2"/>
    </row>
    <row r="3" spans="1:11" ht="15.75" customHeight="1" x14ac:dyDescent="0.25">
      <c r="A3" s="2"/>
      <c r="B3" s="110" t="s">
        <v>102</v>
      </c>
      <c r="C3" s="110"/>
      <c r="D3" s="110"/>
      <c r="E3" s="110"/>
      <c r="F3" s="110"/>
      <c r="G3" s="110"/>
      <c r="H3" s="110"/>
    </row>
    <row r="4" spans="1:11" x14ac:dyDescent="0.25">
      <c r="A4" s="2"/>
      <c r="B4" s="3" t="s">
        <v>103</v>
      </c>
      <c r="C4" s="3" t="s">
        <v>104</v>
      </c>
      <c r="D4" s="3" t="s">
        <v>66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11" ht="15" customHeight="1" x14ac:dyDescent="0.25">
      <c r="A5" s="2"/>
      <c r="B5" s="5" t="s">
        <v>107</v>
      </c>
      <c r="C5" s="6"/>
      <c r="D5" s="5"/>
      <c r="E5" s="7">
        <v>666</v>
      </c>
      <c r="F5" s="7">
        <f>E5*1.6</f>
        <v>1065.6000000000001</v>
      </c>
      <c r="G5" s="7">
        <f>H5/F5</f>
        <v>9384.3843843843824</v>
      </c>
      <c r="H5" s="8">
        <v>10000000</v>
      </c>
    </row>
    <row r="6" spans="1:11" x14ac:dyDescent="0.25">
      <c r="A6" s="2"/>
      <c r="B6" s="5" t="s">
        <v>107</v>
      </c>
      <c r="C6" s="9"/>
      <c r="D6" s="5"/>
      <c r="E6" s="5">
        <v>948</v>
      </c>
      <c r="F6" s="7">
        <f t="shared" ref="F6:F10" si="0">E6*1.6</f>
        <v>1516.8000000000002</v>
      </c>
      <c r="G6" s="7">
        <f t="shared" ref="G6:G11" si="1">H6/F6</f>
        <v>8966.2447257383956</v>
      </c>
      <c r="H6" s="8">
        <v>13600000</v>
      </c>
    </row>
    <row r="7" spans="1:11" ht="15" customHeight="1" x14ac:dyDescent="0.25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11" x14ac:dyDescent="0.25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11" ht="15" customHeight="1" x14ac:dyDescent="0.25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11" ht="15" customHeight="1" x14ac:dyDescent="0.25">
      <c r="A10" s="2"/>
      <c r="B10" s="5" t="s">
        <v>108</v>
      </c>
      <c r="C10" s="6"/>
      <c r="D10" s="5"/>
      <c r="E10" s="5">
        <v>948</v>
      </c>
      <c r="F10" s="7">
        <f t="shared" si="0"/>
        <v>1516.8000000000002</v>
      </c>
      <c r="G10" s="7">
        <f t="shared" si="1"/>
        <v>9757.3839662447244</v>
      </c>
      <c r="H10" s="8">
        <v>14800000</v>
      </c>
    </row>
    <row r="11" spans="1:11" ht="15" customHeight="1" x14ac:dyDescent="0.25">
      <c r="A11" s="2"/>
      <c r="B11" s="5" t="s">
        <v>108</v>
      </c>
      <c r="C11" s="6"/>
      <c r="D11" s="5"/>
      <c r="E11" s="7">
        <v>666</v>
      </c>
      <c r="F11" s="7">
        <f>E11*1.6</f>
        <v>1065.6000000000001</v>
      </c>
      <c r="G11" s="7">
        <f t="shared" si="1"/>
        <v>10228.978978978977</v>
      </c>
      <c r="H11" s="8">
        <v>10900000</v>
      </c>
    </row>
    <row r="12" spans="1:11" ht="15" customHeight="1" x14ac:dyDescent="0.25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11" ht="15" customHeight="1" x14ac:dyDescent="0.25">
      <c r="B13" s="10" t="s">
        <v>110</v>
      </c>
      <c r="C13" s="5"/>
      <c r="D13" s="5"/>
      <c r="E13" s="5"/>
      <c r="F13" s="12"/>
      <c r="G13" s="10"/>
      <c r="H13" s="10"/>
      <c r="I13" s="4"/>
      <c r="K13" s="42">
        <f>(G5+G6+G10+G11)/4</f>
        <v>9584.2480138366191</v>
      </c>
    </row>
    <row r="14" spans="1:11" ht="15" customHeight="1" x14ac:dyDescent="0.25"/>
    <row r="15" spans="1:11" ht="15" customHeight="1" x14ac:dyDescent="0.25"/>
    <row r="16" spans="1:11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valuation</vt:lpstr>
      <vt:lpstr>Note</vt:lpstr>
      <vt:lpstr>Chart1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2025-08-06T07:52:54Z</cp:lastPrinted>
  <dcterms:created xsi:type="dcterms:W3CDTF">2019-07-16T09:29:46Z</dcterms:created>
  <dcterms:modified xsi:type="dcterms:W3CDTF">2025-08-06T08:01:09Z</dcterms:modified>
</cp:coreProperties>
</file>