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ruti\Aug 25\RBL Old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Print_Area" localSheetId="0">Sheet1!$A$1:$F$449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H287" i="1" l="1"/>
  <c r="C57" i="1" l="1"/>
  <c r="C58" i="1" l="1"/>
  <c r="C60" i="1"/>
  <c r="G45" i="1"/>
  <c r="C59" i="1"/>
  <c r="I54" i="1"/>
  <c r="I46" i="1" l="1"/>
  <c r="I45" i="1" l="1"/>
  <c r="F115" i="1" l="1"/>
  <c r="G42" i="1" l="1"/>
  <c r="C278" i="1" l="1"/>
  <c r="F278" i="1" s="1"/>
  <c r="I279" i="1" l="1"/>
  <c r="I278" i="1"/>
  <c r="D278" i="1"/>
  <c r="C259" i="1"/>
  <c r="D259" i="1" s="1"/>
  <c r="F259" i="1" l="1"/>
  <c r="A123" i="1"/>
  <c r="G217" i="1" l="1"/>
  <c r="C282" i="1" l="1"/>
  <c r="F282" i="1" s="1"/>
  <c r="C281" i="1"/>
  <c r="F281" i="1" s="1"/>
  <c r="C280" i="1"/>
  <c r="F280" i="1" s="1"/>
  <c r="C279" i="1"/>
  <c r="F279" i="1" s="1"/>
  <c r="C276" i="1"/>
  <c r="F276" i="1" s="1"/>
  <c r="C275" i="1"/>
  <c r="F275" i="1" s="1"/>
  <c r="C274" i="1"/>
  <c r="F274" i="1" s="1"/>
  <c r="C273" i="1"/>
  <c r="F273" i="1" s="1"/>
  <c r="C272" i="1"/>
  <c r="F272" i="1" s="1"/>
  <c r="C271" i="1"/>
  <c r="F271" i="1" s="1"/>
  <c r="C270" i="1"/>
  <c r="F270" i="1" s="1"/>
  <c r="C269" i="1"/>
  <c r="F269" i="1" s="1"/>
  <c r="C268" i="1"/>
  <c r="F268" i="1" s="1"/>
  <c r="C267" i="1"/>
  <c r="F267" i="1" s="1"/>
  <c r="C266" i="1"/>
  <c r="F266" i="1" s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8" i="1" s="1"/>
  <c r="A279" i="1" s="1"/>
  <c r="A280" i="1" s="1"/>
  <c r="A281" i="1" s="1"/>
  <c r="A282" i="1" s="1"/>
  <c r="C265" i="1"/>
  <c r="F265" i="1" s="1"/>
  <c r="C263" i="1"/>
  <c r="F263" i="1" s="1"/>
  <c r="C262" i="1"/>
  <c r="D262" i="1" s="1"/>
  <c r="C261" i="1"/>
  <c r="D261" i="1" s="1"/>
  <c r="C260" i="1"/>
  <c r="D260" i="1" s="1"/>
  <c r="C257" i="1"/>
  <c r="F257" i="1" s="1"/>
  <c r="C256" i="1"/>
  <c r="F256" i="1" s="1"/>
  <c r="C255" i="1"/>
  <c r="F255" i="1" s="1"/>
  <c r="C254" i="1"/>
  <c r="D254" i="1" s="1"/>
  <c r="C253" i="1"/>
  <c r="F253" i="1" s="1"/>
  <c r="C252" i="1"/>
  <c r="F252" i="1" s="1"/>
  <c r="C251" i="1"/>
  <c r="F251" i="1" s="1"/>
  <c r="C250" i="1"/>
  <c r="D250" i="1" s="1"/>
  <c r="C249" i="1"/>
  <c r="F249" i="1" s="1"/>
  <c r="C248" i="1"/>
  <c r="F248" i="1" s="1"/>
  <c r="C247" i="1"/>
  <c r="F247" i="1" s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9" i="1" s="1"/>
  <c r="A260" i="1" s="1"/>
  <c r="A261" i="1" s="1"/>
  <c r="A262" i="1" s="1"/>
  <c r="A263" i="1" s="1"/>
  <c r="C246" i="1"/>
  <c r="F246" i="1" s="1"/>
  <c r="C228" i="1"/>
  <c r="C229" i="1"/>
  <c r="C230" i="1"/>
  <c r="C231" i="1"/>
  <c r="C232" i="1"/>
  <c r="C233" i="1"/>
  <c r="D233" i="1" s="1"/>
  <c r="C234" i="1"/>
  <c r="F234" i="1" s="1"/>
  <c r="C235" i="1"/>
  <c r="F235" i="1" s="1"/>
  <c r="C236" i="1"/>
  <c r="F236" i="1" s="1"/>
  <c r="C237" i="1"/>
  <c r="F237" i="1" s="1"/>
  <c r="C238" i="1"/>
  <c r="D238" i="1" s="1"/>
  <c r="C239" i="1"/>
  <c r="D239" i="1" s="1"/>
  <c r="C240" i="1"/>
  <c r="F240" i="1" s="1"/>
  <c r="C241" i="1"/>
  <c r="F241" i="1" s="1"/>
  <c r="C242" i="1"/>
  <c r="F242" i="1" s="1"/>
  <c r="C243" i="1"/>
  <c r="F243" i="1" s="1"/>
  <c r="C244" i="1"/>
  <c r="F244" i="1" s="1"/>
  <c r="C227" i="1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40" i="1" s="1"/>
  <c r="A241" i="1" s="1"/>
  <c r="A242" i="1" s="1"/>
  <c r="A243" i="1" s="1"/>
  <c r="A244" i="1" s="1"/>
  <c r="C225" i="1"/>
  <c r="D225" i="1" s="1"/>
  <c r="C224" i="1"/>
  <c r="D224" i="1" s="1"/>
  <c r="C218" i="1"/>
  <c r="C219" i="1"/>
  <c r="C220" i="1"/>
  <c r="C221" i="1"/>
  <c r="C217" i="1"/>
  <c r="F239" i="1" l="1"/>
  <c r="F238" i="1"/>
  <c r="B182" i="1"/>
  <c r="C182" i="1"/>
  <c r="D237" i="1"/>
  <c r="D249" i="1"/>
  <c r="F261" i="1"/>
  <c r="D235" i="1"/>
  <c r="F254" i="1"/>
  <c r="D265" i="1"/>
  <c r="D244" i="1"/>
  <c r="D271" i="1"/>
  <c r="D267" i="1"/>
  <c r="D269" i="1"/>
  <c r="D275" i="1"/>
  <c r="F233" i="1"/>
  <c r="D240" i="1"/>
  <c r="D263" i="1"/>
  <c r="D273" i="1"/>
  <c r="D241" i="1"/>
  <c r="F250" i="1"/>
  <c r="D280" i="1"/>
  <c r="D282" i="1"/>
  <c r="D256" i="1"/>
  <c r="D266" i="1"/>
  <c r="D268" i="1"/>
  <c r="D270" i="1"/>
  <c r="D272" i="1"/>
  <c r="D274" i="1"/>
  <c r="D276" i="1"/>
  <c r="D248" i="1"/>
  <c r="D253" i="1"/>
  <c r="D257" i="1"/>
  <c r="D279" i="1"/>
  <c r="D281" i="1"/>
  <c r="D236" i="1"/>
  <c r="D246" i="1"/>
  <c r="D251" i="1"/>
  <c r="F262" i="1"/>
  <c r="D252" i="1"/>
  <c r="F260" i="1"/>
  <c r="D243" i="1"/>
  <c r="D247" i="1"/>
  <c r="D255" i="1"/>
  <c r="D234" i="1"/>
  <c r="D242" i="1"/>
  <c r="F224" i="1"/>
  <c r="F225" i="1"/>
  <c r="C49" i="1" l="1"/>
  <c r="B308" i="1" l="1"/>
  <c r="A151" i="1"/>
  <c r="A137" i="1"/>
  <c r="H162" i="1"/>
  <c r="H161" i="1"/>
  <c r="H160" i="1"/>
  <c r="H159" i="1"/>
  <c r="H148" i="1"/>
  <c r="H147" i="1"/>
  <c r="H146" i="1"/>
  <c r="H145" i="1"/>
  <c r="F152" i="1"/>
  <c r="F138" i="1"/>
  <c r="H164" i="1" l="1"/>
  <c r="C156" i="1" s="1"/>
  <c r="E155" i="1" s="1"/>
  <c r="G151" i="1" s="1"/>
  <c r="B153" i="1" s="1"/>
  <c r="H158" i="1"/>
  <c r="D164" i="1"/>
  <c r="D158" i="1"/>
  <c r="D155" i="1"/>
  <c r="D160" i="1"/>
  <c r="H163" i="1"/>
  <c r="H157" i="1"/>
  <c r="D163" i="1"/>
  <c r="D157" i="1"/>
  <c r="D162" i="1"/>
  <c r="D161" i="1"/>
  <c r="D159" i="1"/>
  <c r="D150" i="1"/>
  <c r="D144" i="1"/>
  <c r="H149" i="1"/>
  <c r="H143" i="1"/>
  <c r="D149" i="1"/>
  <c r="D143" i="1"/>
  <c r="D141" i="1"/>
  <c r="D146" i="1"/>
  <c r="D145" i="1"/>
  <c r="D148" i="1"/>
  <c r="H150" i="1"/>
  <c r="C142" i="1" s="1"/>
  <c r="E141" i="1" s="1"/>
  <c r="G137" i="1" s="1"/>
  <c r="B139" i="1" s="1"/>
  <c r="D147" i="1"/>
  <c r="H144" i="1"/>
  <c r="B131" i="2"/>
  <c r="D156" i="1" l="1"/>
  <c r="D142" i="1"/>
  <c r="C35" i="1"/>
  <c r="A307" i="1" l="1"/>
  <c r="A308" i="1" s="1"/>
  <c r="A309" i="1" s="1"/>
  <c r="A310" i="1" s="1"/>
  <c r="A311" i="1" s="1"/>
  <c r="A312" i="1" s="1"/>
  <c r="A313" i="1" s="1"/>
  <c r="A314" i="1" s="1"/>
  <c r="A218" i="1"/>
  <c r="A219" i="1" s="1"/>
  <c r="A220" i="1" s="1"/>
  <c r="A221" i="1" s="1"/>
  <c r="A222" i="1" s="1"/>
  <c r="A223" i="1" s="1"/>
  <c r="A224" i="1" s="1"/>
  <c r="A225" i="1" s="1"/>
  <c r="F210" i="1" l="1"/>
  <c r="D210" i="1"/>
  <c r="F209" i="1"/>
  <c r="D209" i="1"/>
  <c r="F208" i="1"/>
  <c r="D208" i="1"/>
  <c r="F207" i="1"/>
  <c r="D207" i="1"/>
  <c r="F206" i="1"/>
  <c r="D206" i="1"/>
  <c r="A206" i="1"/>
  <c r="A207" i="1" s="1"/>
  <c r="A208" i="1" s="1"/>
  <c r="A209" i="1" s="1"/>
  <c r="A210" i="1" s="1"/>
  <c r="F205" i="1"/>
  <c r="D205" i="1"/>
  <c r="A199" i="1"/>
  <c r="A200" i="1" s="1"/>
  <c r="A201" i="1" s="1"/>
  <c r="A202" i="1" s="1"/>
  <c r="A203" i="1" s="1"/>
  <c r="A192" i="1"/>
  <c r="A193" i="1" s="1"/>
  <c r="A194" i="1" s="1"/>
  <c r="A195" i="1" s="1"/>
  <c r="A196" i="1" s="1"/>
  <c r="F191" i="1"/>
  <c r="B183" i="1"/>
  <c r="C183" i="1"/>
  <c r="B179" i="1"/>
  <c r="C179" i="1"/>
  <c r="E179" i="1"/>
  <c r="B174" i="1"/>
  <c r="C174" i="1"/>
  <c r="E174" i="1"/>
  <c r="B184" i="1" l="1"/>
  <c r="D169" i="1" s="1"/>
  <c r="C184" i="1"/>
  <c r="B82" i="1" l="1"/>
  <c r="B13" i="1" l="1"/>
  <c r="F232" i="1" l="1"/>
  <c r="F231" i="1"/>
  <c r="D230" i="1"/>
  <c r="F229" i="1"/>
  <c r="F228" i="1"/>
  <c r="F227" i="1"/>
  <c r="F221" i="1"/>
  <c r="F220" i="1"/>
  <c r="D219" i="1"/>
  <c r="D218" i="1"/>
  <c r="F203" i="1"/>
  <c r="D202" i="1"/>
  <c r="F201" i="1"/>
  <c r="F200" i="1"/>
  <c r="F199" i="1"/>
  <c r="F198" i="1"/>
  <c r="D196" i="1"/>
  <c r="D195" i="1"/>
  <c r="D194" i="1"/>
  <c r="D193" i="1"/>
  <c r="D192" i="1"/>
  <c r="F218" i="1" l="1"/>
  <c r="D231" i="1"/>
  <c r="D221" i="1"/>
  <c r="D227" i="1"/>
  <c r="F230" i="1"/>
  <c r="F219" i="1"/>
  <c r="D229" i="1"/>
  <c r="D220" i="1"/>
  <c r="D228" i="1"/>
  <c r="D232" i="1"/>
  <c r="D199" i="1"/>
  <c r="D200" i="1"/>
  <c r="D203" i="1"/>
  <c r="F193" i="1"/>
  <c r="F195" i="1"/>
  <c r="D198" i="1"/>
  <c r="F196" i="1"/>
  <c r="F194" i="1"/>
  <c r="F192" i="1"/>
  <c r="D201" i="1"/>
  <c r="F202" i="1"/>
  <c r="B124" i="2" l="1"/>
  <c r="M67" i="1" l="1"/>
  <c r="C315" i="1" l="1"/>
  <c r="F217" i="1" l="1"/>
  <c r="I217" i="1" s="1"/>
  <c r="E182" i="1" l="1"/>
  <c r="E183" i="1" s="1"/>
  <c r="E184" i="1" s="1"/>
  <c r="D217" i="1"/>
  <c r="D191" i="1"/>
  <c r="K116" i="2" l="1"/>
  <c r="K115" i="2"/>
  <c r="K114" i="2"/>
  <c r="K113" i="2"/>
  <c r="D107" i="2"/>
  <c r="F106" i="2"/>
  <c r="E116" i="2" l="1"/>
  <c r="E115" i="2"/>
  <c r="K109" i="2"/>
  <c r="E111" i="2"/>
  <c r="E114" i="2"/>
  <c r="E113" i="2"/>
  <c r="K108" i="2"/>
  <c r="E112" i="2"/>
  <c r="E118" i="2"/>
  <c r="K111" i="2"/>
  <c r="K112" i="2" s="1"/>
  <c r="K117" i="2" s="1"/>
  <c r="K118" i="2" s="1"/>
  <c r="D110" i="2" s="1"/>
  <c r="E117" i="2"/>
  <c r="K110" i="2"/>
  <c r="D109" i="2" s="1"/>
  <c r="H109" i="2" l="1"/>
  <c r="F109" i="2"/>
  <c r="J105" i="2" s="1"/>
  <c r="E110" i="2"/>
  <c r="E109" i="2"/>
  <c r="H134" i="1" l="1"/>
  <c r="H133" i="1"/>
  <c r="H132" i="1"/>
  <c r="H131" i="1"/>
  <c r="F124" i="1"/>
  <c r="H136" i="1" l="1"/>
  <c r="C128" i="1" s="1"/>
  <c r="H135" i="1"/>
  <c r="H130" i="1"/>
  <c r="H129" i="1"/>
  <c r="D127" i="1"/>
  <c r="D135" i="1"/>
  <c r="D129" i="1"/>
  <c r="D134" i="1"/>
  <c r="D133" i="1"/>
  <c r="D131" i="1"/>
  <c r="D132" i="1"/>
  <c r="D130" i="1"/>
  <c r="D136" i="1"/>
  <c r="D128" i="1" l="1"/>
  <c r="E127" i="1" l="1"/>
  <c r="G123" i="1" s="1"/>
  <c r="E165" i="1" l="1"/>
  <c r="C37" i="1" s="1"/>
  <c r="B125" i="1"/>
</calcChain>
</file>

<file path=xl/comments1.xml><?xml version="1.0" encoding="utf-8"?>
<comments xmlns="http://schemas.openxmlformats.org/spreadsheetml/2006/main">
  <authors>
    <author>Sachin</author>
  </authors>
  <commentList>
    <comment ref="C120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Builder"s recent project names 
take from builder documents
</t>
        </r>
      </text>
    </comment>
    <comment ref="C12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Positive or negavtive points
Surrounding buildings or mall etc or less distance from stn</t>
        </r>
      </text>
    </comment>
  </commentList>
</comments>
</file>

<file path=xl/sharedStrings.xml><?xml version="1.0" encoding="utf-8"?>
<sst xmlns="http://schemas.openxmlformats.org/spreadsheetml/2006/main" count="631" uniqueCount="366">
  <si>
    <t>PROJECT TECHNICAL REPORT</t>
  </si>
  <si>
    <t>RBL BRANCH NAME</t>
  </si>
  <si>
    <t>TDR FSI</t>
  </si>
  <si>
    <t>QUALITY, SPECS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</si>
  <si>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</si>
  <si>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</si>
  <si>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</si>
  <si>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</si>
  <si>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</si>
  <si>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</si>
  <si>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</si>
  <si>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</si>
  <si>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Project Progress %</t>
  </si>
  <si>
    <t>Slab/Floor</t>
  </si>
  <si>
    <t>Complition %</t>
  </si>
  <si>
    <t>Progress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</si>
  <si>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</si>
  <si>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</si>
  <si>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</si>
  <si>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</si>
  <si>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</si>
  <si>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</si>
  <si>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</si>
  <si>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</si>
  <si>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</si>
  <si>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</si>
  <si>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</si>
  <si>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</si>
  <si>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</si>
  <si>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</si>
  <si>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</si>
  <si>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</si>
  <si>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</si>
  <si>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</si>
  <si>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</si>
  <si>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</si>
  <si>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</si>
  <si>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Completion %</t>
  </si>
  <si>
    <t>Plaster</t>
  </si>
  <si>
    <t>Electrical &amp; Plumbing</t>
  </si>
  <si>
    <t>Finishing</t>
  </si>
  <si>
    <t>Disbursement %</t>
  </si>
  <si>
    <t>Brickwork &amp; Internal Plaster</t>
  </si>
  <si>
    <t>External Plaster &amp; Plumbing</t>
  </si>
  <si>
    <t>g +7</t>
  </si>
  <si>
    <t>BUILDING/TOWERWISE UNIT - AREA DETAILS</t>
  </si>
  <si>
    <t>Building &amp; Wing</t>
  </si>
  <si>
    <t>No. of Units</t>
  </si>
  <si>
    <t>Total Carpet Area</t>
  </si>
  <si>
    <t>Total Saleable Area</t>
  </si>
  <si>
    <t>Wing 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</si>
  <si>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</si>
  <si>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</si>
  <si>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</si>
  <si>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</si>
  <si>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</si>
  <si>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</si>
  <si>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Ground Floor For Commercial, Entrance Lobby &amp; Garage For Parking</t>
  </si>
  <si>
    <t>Builtup Area</t>
  </si>
  <si>
    <t>Saleable area
Loading:</t>
  </si>
  <si>
    <t xml:space="preserve">Details of Commercial in Building   </t>
  </si>
  <si>
    <t>VALUE PARAMETERS</t>
  </si>
  <si>
    <t>Remarks:</t>
  </si>
  <si>
    <t>Photographs Of Property :</t>
  </si>
  <si>
    <t>Layout Of Property :</t>
  </si>
  <si>
    <t xml:space="preserve">Google Map : </t>
  </si>
  <si>
    <t>Name of Engineer Visited the property</t>
  </si>
  <si>
    <t xml:space="preserve">Authorized Signatory
Name &amp; Seal of the agency
                                               </t>
  </si>
  <si>
    <r>
      <t xml:space="preserve">Shop No.
</t>
    </r>
    <r>
      <rPr>
        <b/>
        <sz val="9"/>
        <color rgb="FF000000"/>
        <rFont val="Garamond"/>
        <family val="1"/>
      </rPr>
      <t>(Approved Plan)</t>
    </r>
  </si>
  <si>
    <t>Project Name</t>
  </si>
  <si>
    <t>Valuer Details</t>
  </si>
  <si>
    <t xml:space="preserve">Name Of Valuer </t>
  </si>
  <si>
    <t>Official Email Id</t>
  </si>
  <si>
    <t>Rvo Name Of Which Valuer Is Member</t>
  </si>
  <si>
    <t>Address Of Valution Agency</t>
  </si>
  <si>
    <t>Contact Person Name  &amp; Number</t>
  </si>
  <si>
    <t>Name Of Valuation Agency/Firm</t>
  </si>
  <si>
    <t>Builder Company/Entity Details - Seller Of The Project</t>
  </si>
  <si>
    <t>Name Of Entity Formed For Current Project</t>
  </si>
  <si>
    <t>Project Address Details</t>
  </si>
  <si>
    <t>Plot No.</t>
  </si>
  <si>
    <t>Date of Assignment</t>
  </si>
  <si>
    <t>Date of Visit</t>
  </si>
  <si>
    <t>Date of Valuation</t>
  </si>
  <si>
    <t>Street Name &amp;/No.</t>
  </si>
  <si>
    <t>State</t>
  </si>
  <si>
    <t>Pincode</t>
  </si>
  <si>
    <t>Nearest Rbl Bank Location</t>
  </si>
  <si>
    <t>Survey No.</t>
  </si>
  <si>
    <t>Landmark</t>
  </si>
  <si>
    <t>District</t>
  </si>
  <si>
    <t>Country</t>
  </si>
  <si>
    <t>Lat, Long</t>
  </si>
  <si>
    <t>Distance From Rbl Bank Location (Kms.)</t>
  </si>
  <si>
    <t>Assigned By</t>
  </si>
  <si>
    <t>Property Visited By (Name)</t>
  </si>
  <si>
    <t>Report Prepared By (Name)</t>
  </si>
  <si>
    <t>North</t>
  </si>
  <si>
    <t>South</t>
  </si>
  <si>
    <t>East</t>
  </si>
  <si>
    <t>West</t>
  </si>
  <si>
    <t>As Per Ownership Docs</t>
  </si>
  <si>
    <t>As Per Site Investigation</t>
  </si>
  <si>
    <t>Project Boundaries Verification</t>
  </si>
  <si>
    <t>General Details</t>
  </si>
  <si>
    <t>Municipal Limit</t>
  </si>
  <si>
    <t>Municipal Authority (Name)</t>
  </si>
  <si>
    <t>Approach Road To Project</t>
  </si>
  <si>
    <t>Location Type*</t>
  </si>
  <si>
    <t>Quality Of Construction*</t>
  </si>
  <si>
    <t>Overall % Completion Of Project</t>
  </si>
  <si>
    <t>Project Falling In Caution Area</t>
  </si>
  <si>
    <t>Reason For Caution</t>
  </si>
  <si>
    <t>Project Architect Name</t>
  </si>
  <si>
    <t>Square Meter</t>
  </si>
  <si>
    <t>Project Area Details ( As Per Approved Plan )</t>
  </si>
  <si>
    <t>Area Type</t>
  </si>
  <si>
    <t>Total Plot Area</t>
  </si>
  <si>
    <t>Total Residential Built Up Area</t>
  </si>
  <si>
    <t>Total Commercial Built Up Area</t>
  </si>
  <si>
    <t>Area Under Road</t>
  </si>
  <si>
    <t>Area Under D.P. Reservation</t>
  </si>
  <si>
    <t>Area Under R.G./Garden</t>
  </si>
  <si>
    <t>FSI / FAR Details</t>
  </si>
  <si>
    <t>Plot FSI / FAR</t>
  </si>
  <si>
    <t>Premium FSI / FAR</t>
  </si>
  <si>
    <t>Fungible FSI</t>
  </si>
  <si>
    <t>Total FSI/FAR</t>
  </si>
  <si>
    <t>Overall Remarks on Project Area &amp; FSI /FAR</t>
  </si>
  <si>
    <t>Total No. Of Units/Tenaments</t>
  </si>
  <si>
    <t>Total No. Of Parking</t>
  </si>
  <si>
    <t>Residential /Commercial Ratio</t>
  </si>
  <si>
    <t>Surrounding External Amenities</t>
  </si>
  <si>
    <t>Nearest Bank</t>
  </si>
  <si>
    <t>Nearest Hospital</t>
  </si>
  <si>
    <t>Name Of The Premises/Description</t>
  </si>
  <si>
    <t>Approx. Distance From Property (In Kms)</t>
  </si>
  <si>
    <t>Nearest Multiplex / Mall/ Market</t>
  </si>
  <si>
    <t>Nearest School/ College</t>
  </si>
  <si>
    <t>Internal Project Specs - Comment On Availability &amp; Quality</t>
  </si>
  <si>
    <t>Structural Elements &amp; Wall Thickness</t>
  </si>
  <si>
    <t>Plaster &amp; Painting</t>
  </si>
  <si>
    <t>Electrification</t>
  </si>
  <si>
    <t>Plumbing &amp; Bath Fittings</t>
  </si>
  <si>
    <t>Door, Windows</t>
  </si>
  <si>
    <t>Availability (Y/N)</t>
  </si>
  <si>
    <t>Potable Water Connection</t>
  </si>
  <si>
    <t>Sewerage System</t>
  </si>
  <si>
    <t>Lift</t>
  </si>
  <si>
    <t>Power Backup</t>
  </si>
  <si>
    <t>Parking</t>
  </si>
  <si>
    <t>Clubhouse</t>
  </si>
  <si>
    <t>Gym</t>
  </si>
  <si>
    <t>Swimming Pool</t>
  </si>
  <si>
    <t>Garden</t>
  </si>
  <si>
    <t>Community Hall</t>
  </si>
  <si>
    <t>Any Additional Amenities, To Above, Pls Specify</t>
  </si>
  <si>
    <t>Technical Documents Details</t>
  </si>
  <si>
    <t>Document Name</t>
  </si>
  <si>
    <t>Approved Layout Plan</t>
  </si>
  <si>
    <t>Approved Floor Plan</t>
  </si>
  <si>
    <t>Construction  / Building Permission / Commencement Certificate</t>
  </si>
  <si>
    <t>Non Agricultural Permission / Land Conversion / Diversion</t>
  </si>
  <si>
    <t>Building Completion / Occupation Permission / Use Permission</t>
  </si>
  <si>
    <t>Location Sketch/ Certificate</t>
  </si>
  <si>
    <t>Authority Allotment Letter</t>
  </si>
  <si>
    <t>Ownership Doc 1</t>
  </si>
  <si>
    <t>Ownership Doc 2</t>
  </si>
  <si>
    <t>Remarks On Documents Verified</t>
  </si>
  <si>
    <t>Approving Authority Name</t>
  </si>
  <si>
    <t>Applicability &amp; Availability</t>
  </si>
  <si>
    <t>Approving Authority</t>
  </si>
  <si>
    <t>Details Of Approval</t>
  </si>
  <si>
    <t>Rera Details ( If Applicable)</t>
  </si>
  <si>
    <t>Rera Applicable</t>
  </si>
  <si>
    <t>Rera Registration No</t>
  </si>
  <si>
    <t>Project Start Date As Per Rera</t>
  </si>
  <si>
    <t>If Any Litigation Record On Project As Per Rera</t>
  </si>
  <si>
    <t>If Applicable, Rera Registration Status</t>
  </si>
  <si>
    <t>Project Completion Date As Per Rera</t>
  </si>
  <si>
    <t xml:space="preserve">Litigation Details As Per Rera Website </t>
  </si>
  <si>
    <t>Critical Parameters</t>
  </si>
  <si>
    <t>Flood Prone Area</t>
  </si>
  <si>
    <t>Coastal Regulatory Zone</t>
  </si>
  <si>
    <t>Falling In Present Or Proposed Road Widening</t>
  </si>
  <si>
    <t>Property Near High/Low Tension (Ht)/(Lt) Lines ?</t>
  </si>
  <si>
    <t>Presence Of Nallah/ Lake / Water Body Nearby</t>
  </si>
  <si>
    <t>Unit Deviation</t>
  </si>
  <si>
    <t>Seismic Zone</t>
  </si>
  <si>
    <t>Zoning As Per Development Plan</t>
  </si>
  <si>
    <t>Falling In Reservation As Per Development Plan</t>
  </si>
  <si>
    <t>Property Within 30 Mtrs From Railway Boundary ?</t>
  </si>
  <si>
    <t>Fsi Deviation</t>
  </si>
  <si>
    <t>Vertical Deviation</t>
  </si>
  <si>
    <t>Habitation In ( % ) Within 1 Kms Around Project</t>
  </si>
  <si>
    <t>Remarks In Case Project Affected By Any Of Critical Parameter</t>
  </si>
  <si>
    <t>Technical Deviations Observed In Project</t>
  </si>
  <si>
    <t>Demolition Risk</t>
  </si>
  <si>
    <t>Detail Of Deviation, If Any</t>
  </si>
  <si>
    <t>Total Phases</t>
  </si>
  <si>
    <t>Total No. Of Buildings</t>
  </si>
  <si>
    <t>Total No. Of Wings</t>
  </si>
  <si>
    <t>Total No. Of Approved Units (A)</t>
  </si>
  <si>
    <t>Total No. Of Unapproved Units (B)</t>
  </si>
  <si>
    <t>Total No. Of (A+B) Units</t>
  </si>
  <si>
    <t>Is The Project Technically Acceptable ?</t>
  </si>
  <si>
    <t>Is The Project Marketable ?</t>
  </si>
  <si>
    <t>Comment On Builder Group Involved In Project Development</t>
  </si>
  <si>
    <t>Overall Comments On Project Acceptability &amp; Marketablity</t>
  </si>
  <si>
    <t>FOUNDATION WIP</t>
  </si>
  <si>
    <t>PLINTH WIP</t>
  </si>
  <si>
    <t>YET TO START</t>
  </si>
  <si>
    <t>Sr.No.</t>
  </si>
  <si>
    <t>Base Rate Psf Rs.</t>
  </si>
  <si>
    <t>Floor Rise
(If Applicable)</t>
  </si>
  <si>
    <t>In Rs. Psf
(If Applicable)</t>
  </si>
  <si>
    <t>In Lumpsum Basis
(If Applicable)</t>
  </si>
  <si>
    <t>Applicable From Floor No.</t>
  </si>
  <si>
    <t>Applicable To Floor No.</t>
  </si>
  <si>
    <t>Applicable To Building /W ing</t>
  </si>
  <si>
    <t xml:space="preserve">Floor Rise 1 </t>
  </si>
  <si>
    <t>Floor Rise 2</t>
  </si>
  <si>
    <t>Floor Rise 3</t>
  </si>
  <si>
    <t>Floor Rise 4</t>
  </si>
  <si>
    <t>Plc Charges
(If Applicable)</t>
  </si>
  <si>
    <t>Details Of Plc/View</t>
  </si>
  <si>
    <t>List Of Unit Nos - Plc Applicable</t>
  </si>
  <si>
    <t>PLC Type 1</t>
  </si>
  <si>
    <t>PLC Type 2</t>
  </si>
  <si>
    <t>PLC Type 3</t>
  </si>
  <si>
    <t>Amenities Details</t>
  </si>
  <si>
    <t>Details Of Amenity Cost - Optional/Compulsory To Buyer, No Of Years, Etc</t>
  </si>
  <si>
    <t>Remarks, If Any</t>
  </si>
  <si>
    <t>Any Other Amenity 2</t>
  </si>
  <si>
    <t>Any Other Amenity 3</t>
  </si>
  <si>
    <t>Maharashtra</t>
  </si>
  <si>
    <t>India</t>
  </si>
  <si>
    <t>400m</t>
  </si>
  <si>
    <t>1.5Km</t>
  </si>
  <si>
    <t>Yes</t>
  </si>
  <si>
    <t>1st Floor for Commercial &amp; Parking</t>
  </si>
  <si>
    <t>2nd Floor for Commercial &amp; Parking</t>
  </si>
  <si>
    <t>V.S Jadon &amp; Co.Valuers LLP</t>
  </si>
  <si>
    <t>Mr. Vishwajeet Singh Jadon</t>
  </si>
  <si>
    <t>vsjc.apf@gmail.com</t>
  </si>
  <si>
    <t>Mr. Sachin Sawant - 9820058999</t>
  </si>
  <si>
    <t>NA</t>
  </si>
  <si>
    <t>Taluka</t>
  </si>
  <si>
    <t>City</t>
  </si>
  <si>
    <t>Village</t>
  </si>
  <si>
    <t>As Per Layout Plan</t>
  </si>
  <si>
    <t>Same</t>
  </si>
  <si>
    <t>Location Link</t>
  </si>
  <si>
    <t>Good</t>
  </si>
  <si>
    <t>No</t>
  </si>
  <si>
    <t>Fire Noc &amp; Plans</t>
  </si>
  <si>
    <t>Environmental Clearance</t>
  </si>
  <si>
    <t>Coastal Regulatory Zonex ( Crz ) Noc</t>
  </si>
  <si>
    <t>Registered</t>
  </si>
  <si>
    <t>Zone III</t>
  </si>
  <si>
    <t>Not Appicable</t>
  </si>
  <si>
    <t>Approved no of Floors</t>
  </si>
  <si>
    <t>Proposed no of Floors</t>
  </si>
  <si>
    <t>Commercial Area Details : Shops</t>
  </si>
  <si>
    <t>Ground Floor</t>
  </si>
  <si>
    <t>1st Floor</t>
  </si>
  <si>
    <t>Commercial Area Details : Office</t>
  </si>
  <si>
    <t>2nd Floor</t>
  </si>
  <si>
    <t>Grand Total</t>
  </si>
  <si>
    <t>Residential Area Details : Flats</t>
  </si>
  <si>
    <r>
      <t xml:space="preserve">Flat No.
</t>
    </r>
    <r>
      <rPr>
        <b/>
        <sz val="9"/>
        <color rgb="FF000000"/>
        <rFont val="Garamond"/>
        <family val="1"/>
      </rPr>
      <t>(Approved Plan)</t>
    </r>
  </si>
  <si>
    <t>Building /Wing - Name /No</t>
  </si>
  <si>
    <t xml:space="preserve">Base Rate Considered On Area - 
Carpet/ Bua/ Saleale </t>
  </si>
  <si>
    <t>Saleable Area</t>
  </si>
  <si>
    <t>We considered Gross carpet area = Net carpet.</t>
  </si>
  <si>
    <t>We have considered rate by verifying it from market inquire.</t>
  </si>
  <si>
    <t>Car parking is subjected to authentic documentation.</t>
  </si>
  <si>
    <t>Recommended rate should be considered as all inclusive rate if other charges are not mentioned. (Excluding GST &amp; other government Taxes)</t>
  </si>
  <si>
    <t>Documents received on:</t>
  </si>
  <si>
    <t>Yes &amp; 0.15m</t>
  </si>
  <si>
    <t>Excavation in Process</t>
  </si>
  <si>
    <t>Foundation in Process</t>
  </si>
  <si>
    <t>Saleable area Loading :</t>
  </si>
  <si>
    <t>Office No. 1031, Wing J, Akshar Business Park, Plot No. 03 Sector 25, Near APMC Market, Vashi, Navi Mumbai, Maharashtra 400703 TEL: 022-46090378/79/80</t>
  </si>
  <si>
    <t>Lodha Crown Kolshet - Tower 2</t>
  </si>
  <si>
    <t>Airoli</t>
  </si>
  <si>
    <t>Macrotech Developers Limited</t>
  </si>
  <si>
    <t>Lodha Crown Kolshet ­ Tower 2</t>
  </si>
  <si>
    <t>Kolshet Road</t>
  </si>
  <si>
    <t>Thane West</t>
  </si>
  <si>
    <t>Lodha Sterling Apartment</t>
  </si>
  <si>
    <t>Thane</t>
  </si>
  <si>
    <t>Kolshet</t>
  </si>
  <si>
    <t xml:space="preserve">19.2347373,72.9881413
</t>
  </si>
  <si>
    <t>https://goo.gl/maps/1V5rXUQTAoX3Msh6A</t>
  </si>
  <si>
    <t>2.1Km</t>
  </si>
  <si>
    <t>Lodha Clariant Tower A- iThink</t>
  </si>
  <si>
    <t>40.00 M Wide Kolshet Road</t>
  </si>
  <si>
    <t xml:space="preserve">Thane Municipal Corporation, Thane
</t>
  </si>
  <si>
    <t>-</t>
  </si>
  <si>
    <t>Area not in possession</t>
  </si>
  <si>
    <t>Nearest Bus Stop</t>
  </si>
  <si>
    <t>Novartis</t>
  </si>
  <si>
    <t>HDFC Bank</t>
  </si>
  <si>
    <t>700m</t>
  </si>
  <si>
    <t>Blossom English High School</t>
  </si>
  <si>
    <t>Navjeevan Hospital</t>
  </si>
  <si>
    <t>R-Mall</t>
  </si>
  <si>
    <t>1.9Km</t>
  </si>
  <si>
    <t>Indoor games area with table tennis, carom and chess, Ganesha Temple, EV charging points for electric vehicles, Health club with steam and changing rooms, Café and library lounge.</t>
  </si>
  <si>
    <t>Applicable and Received</t>
  </si>
  <si>
    <t>TMC</t>
  </si>
  <si>
    <t>V.P. S05/0083/14/TMC/TD-DP/4442/23
Date : 14/07/2023</t>
  </si>
  <si>
    <t>Not Applicable</t>
  </si>
  <si>
    <t>Applicable and Not Received</t>
  </si>
  <si>
    <t>To be obtained</t>
  </si>
  <si>
    <t>Verified by Adv. Pradip Garach (Advocate High Court)</t>
  </si>
  <si>
    <t>P51700049074</t>
  </si>
  <si>
    <t>Lodha Altamount, The World Towers, Lodha Bellissimo, Trump Tower Mumbai and Lodha Park.</t>
  </si>
  <si>
    <t>B2</t>
  </si>
  <si>
    <t>Tower 2</t>
  </si>
  <si>
    <t>Ground Floor for Entrance Lobby, Society Office, Letter Box, Meter Room, Residential &amp; Parking</t>
  </si>
  <si>
    <t>1BHK</t>
  </si>
  <si>
    <t>Meter Room</t>
  </si>
  <si>
    <t>1st to 7th Floor, 9th to 12th Floor,
14th to 17th (15th to 18th Floor as per Builder),
19th to 22nd Floor (20th to 23rd Floor as per Builder)</t>
  </si>
  <si>
    <t>8th Floor,
13th &amp; 18th Floor (14th &amp; 19th Floor as per builder)
(Part Refuge Area)</t>
  </si>
  <si>
    <t>Refuge Area</t>
  </si>
  <si>
    <t>23rd Floor (24th Floor as per Builder) (Part Refuge Area)</t>
  </si>
  <si>
    <t>100:0</t>
  </si>
  <si>
    <t>Car = 8, Scooter = 10</t>
  </si>
  <si>
    <t>Rbl Bank Ltd, Wonder Mall, Ground Floor, Sklyline Arcade, G.B Road, opp. Cine, Thane West, Thane, Maharashtra 400601</t>
  </si>
  <si>
    <t>Net Plot Area (Plot B2)</t>
  </si>
  <si>
    <t xml:space="preserve">32/1/7, 32/1/8, 32/1/9, 33/5, 54/1 &amp; 54/2 </t>
  </si>
  <si>
    <t>APF Technical Report Assignment Details</t>
  </si>
  <si>
    <t>Flats = 417</t>
  </si>
  <si>
    <t>Internal visit not allowed.</t>
  </si>
  <si>
    <t>Total Built Up Area (Tower 2)</t>
  </si>
  <si>
    <t>Gr. + 1st to 23th Floor</t>
  </si>
  <si>
    <t>SEIAA-EC-0000000343
Date : 13/06/2018</t>
  </si>
  <si>
    <t>Mr. Ajay Songare</t>
  </si>
  <si>
    <t>49/1/C, 50/12B/3, 50/12B/2, 50/13…. 60/16 to 19, 60/20A, 104/1A, 104/1B, 104/1C, 104/2, 274/1 &amp; Others</t>
  </si>
  <si>
    <t>Tower No.3</t>
  </si>
  <si>
    <t>Tower No.1</t>
  </si>
  <si>
    <t>Internal Road</t>
  </si>
  <si>
    <t>Mr. Pradeep Kamble &amp; Associates</t>
  </si>
  <si>
    <t>V.P. No. New S05/0083/14/TMC/TDD/4442/23
Date : 14/07/2023</t>
  </si>
  <si>
    <t>Surrounding Projects are Deloitte ithink lodha, Lodha Amara, Lodha Sterling, Belgrave square.</t>
  </si>
  <si>
    <t>In Tower 2, Flat No. 13 is not mentioned on any floor in approved floor Plan.</t>
  </si>
  <si>
    <t>Total Built Up Area (Plot B2)</t>
  </si>
  <si>
    <t>Ancilliary FSI</t>
  </si>
  <si>
    <t>Addl .FSI Under any under</t>
  </si>
  <si>
    <t xml:space="preserve">Valid Upto:
Tower-2 = Stilt/Ground + 23rd Floor
</t>
  </si>
  <si>
    <t xml:space="preserve">Labours &amp; Materials were found on site at the time of visit. </t>
  </si>
  <si>
    <t>Provisional Building Common Area Maintenance (CAM) Charges for 18
months*</t>
  </si>
  <si>
    <t>Provisional Federation Common Area Maintenance (CAM) Charges for 60
months*</t>
  </si>
  <si>
    <t>Utility Connection &amp; Related Expenses*</t>
  </si>
  <si>
    <t>Electricity Deposit Reimbursement*</t>
  </si>
  <si>
    <t>Land under construction (LUC)Reimbursement charges</t>
  </si>
  <si>
    <t>Building protection deposit*</t>
  </si>
  <si>
    <t>Construction details were collected from Mr. Rajendra Giri - 9820248856</t>
  </si>
  <si>
    <t xml:space="preserve">Construction Work is active at the time of visit. </t>
  </si>
  <si>
    <t>extra work given as per request</t>
  </si>
  <si>
    <t>Mr.  Abhishek Manjrekar</t>
  </si>
  <si>
    <t>As per Rajendra giri 9th slab completed on 11/09/2024.</t>
  </si>
  <si>
    <t>This photo provided by the bank 11/09/2024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</si>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</sst>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Book Antiqua"/>
      <family val="1"/>
    </font>
    <font>
      <sz val="9"/>
      <color rgb="FF000000"/>
      <name val="Garamond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9"/>
      <color indexed="8"/>
      <name val="Garamond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Garamond"/>
      <family val="1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8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9"/>
      <color rgb="FFFF0000"/>
      <name val="Garamond"/>
      <family val="1"/>
    </font>
    <font>
      <b/>
      <sz val="10"/>
      <color rgb="FFFF0000"/>
      <name val="Garamond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14" fillId="0" borderId="0"/>
    <xf numFmtId="0" fontId="20" fillId="0" borderId="0" applyNumberFormat="0" applyFill="0" applyBorder="0" applyAlignment="0" applyProtection="0"/>
  </cellStyleXfs>
  <cellXfs count="344">
    <xf numFmtId="0" fontId="0" fillId="0" borderId="0" xfId="0"/>
    <xf numFmtId="0" fontId="6" fillId="0" borderId="0" xfId="0" applyFont="1"/>
    <xf numFmtId="0" fontId="6" fillId="0" borderId="15" xfId="2" applyFont="1" applyBorder="1" applyProtection="1">
      <protection hidden="1"/>
    </xf>
    <xf numFmtId="0" fontId="6" fillId="0" borderId="16" xfId="2" applyFont="1" applyBorder="1" applyProtection="1">
      <protection hidden="1"/>
    </xf>
    <xf numFmtId="0" fontId="6" fillId="0" borderId="0" xfId="2" applyFont="1" applyProtection="1">
      <protection hidden="1"/>
    </xf>
    <xf numFmtId="0" fontId="6" fillId="0" borderId="1" xfId="2" applyFont="1" applyBorder="1" applyProtection="1">
      <protection hidden="1"/>
    </xf>
    <xf numFmtId="0" fontId="7" fillId="0" borderId="0" xfId="0" applyFont="1" applyProtection="1">
      <protection hidden="1"/>
    </xf>
    <xf numFmtId="0" fontId="6" fillId="0" borderId="1" xfId="2" applyFont="1" applyBorder="1"/>
    <xf numFmtId="0" fontId="7" fillId="0" borderId="1" xfId="0" applyFont="1" applyBorder="1" applyProtection="1">
      <protection hidden="1"/>
    </xf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7" fillId="0" borderId="20" xfId="0" applyFont="1" applyBorder="1" applyProtection="1">
      <protection hidden="1"/>
    </xf>
    <xf numFmtId="1" fontId="6" fillId="0" borderId="19" xfId="0" applyNumberFormat="1" applyFont="1" applyBorder="1"/>
    <xf numFmtId="0" fontId="9" fillId="0" borderId="15" xfId="2" applyFont="1" applyBorder="1" applyProtection="1">
      <protection hidden="1"/>
    </xf>
    <xf numFmtId="0" fontId="9" fillId="0" borderId="16" xfId="2" applyFont="1" applyBorder="1" applyProtection="1">
      <protection hidden="1"/>
    </xf>
    <xf numFmtId="0" fontId="9" fillId="0" borderId="6" xfId="2" applyFont="1" applyBorder="1" applyAlignment="1" applyProtection="1">
      <alignment horizontal="center" vertical="top"/>
      <protection locked="0"/>
    </xf>
    <xf numFmtId="0" fontId="9" fillId="0" borderId="7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1" xfId="2" applyFont="1" applyBorder="1" applyProtection="1">
      <protection hidden="1"/>
    </xf>
    <xf numFmtId="0" fontId="9" fillId="0" borderId="7" xfId="2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hidden="1"/>
    </xf>
    <xf numFmtId="0" fontId="9" fillId="0" borderId="1" xfId="2" applyFont="1" applyBorder="1"/>
    <xf numFmtId="0" fontId="9" fillId="0" borderId="7" xfId="2" applyFont="1" applyBorder="1" applyAlignment="1" applyProtection="1">
      <alignment horizontal="center" wrapText="1"/>
      <protection locked="0"/>
    </xf>
    <xf numFmtId="9" fontId="9" fillId="3" borderId="7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Protection="1">
      <protection hidden="1"/>
    </xf>
    <xf numFmtId="1" fontId="9" fillId="0" borderId="7" xfId="2" applyNumberFormat="1" applyFont="1" applyBorder="1" applyAlignment="1" applyProtection="1">
      <alignment horizontal="center" wrapText="1"/>
      <protection locked="0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right"/>
    </xf>
    <xf numFmtId="0" fontId="9" fillId="0" borderId="18" xfId="2" applyFont="1" applyBorder="1" applyAlignment="1" applyProtection="1">
      <alignment horizontal="center" wrapText="1"/>
      <protection locked="0"/>
    </xf>
    <xf numFmtId="9" fontId="9" fillId="3" borderId="18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Border="1" applyProtection="1">
      <protection hidden="1"/>
    </xf>
    <xf numFmtId="1" fontId="11" fillId="0" borderId="19" xfId="0" applyNumberFormat="1" applyFont="1" applyBorder="1"/>
    <xf numFmtId="0" fontId="9" fillId="0" borderId="10" xfId="2" applyFont="1" applyBorder="1" applyAlignment="1" applyProtection="1">
      <alignment vertical="top"/>
      <protection locked="0"/>
    </xf>
    <xf numFmtId="0" fontId="9" fillId="0" borderId="3" xfId="2" applyFont="1" applyBorder="1" applyAlignment="1" applyProtection="1">
      <alignment vertical="top"/>
      <protection locked="0"/>
    </xf>
    <xf numFmtId="0" fontId="9" fillId="0" borderId="2" xfId="2" applyFont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3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top"/>
      <protection locked="0"/>
    </xf>
    <xf numFmtId="1" fontId="12" fillId="0" borderId="0" xfId="2" applyNumberFormat="1" applyFont="1" applyAlignment="1" applyProtection="1">
      <alignment vertical="center" wrapText="1"/>
      <protection locked="0"/>
    </xf>
    <xf numFmtId="0" fontId="15" fillId="0" borderId="0" xfId="0" applyFont="1"/>
    <xf numFmtId="0" fontId="5" fillId="2" borderId="7" xfId="1" applyFont="1" applyFill="1" applyBorder="1" applyAlignment="1" applyProtection="1">
      <alignment vertical="center" wrapText="1"/>
      <protection locked="0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1" applyFont="1" applyFill="1" applyBorder="1" applyAlignment="1">
      <alignment vertical="center" wrapText="1"/>
    </xf>
    <xf numFmtId="1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5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6" fillId="0" borderId="0" xfId="0" applyFont="1" applyBorder="1"/>
    <xf numFmtId="1" fontId="9" fillId="0" borderId="0" xfId="2" applyNumberFormat="1" applyFont="1" applyBorder="1" applyAlignment="1">
      <alignment horizontal="center" vertical="center"/>
    </xf>
    <xf numFmtId="2" fontId="9" fillId="0" borderId="0" xfId="2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2" applyFont="1" applyBorder="1" applyAlignment="1">
      <alignment horizontal="center" vertical="center"/>
    </xf>
    <xf numFmtId="0" fontId="13" fillId="0" borderId="0" xfId="3" applyFont="1" applyBorder="1"/>
    <xf numFmtId="0" fontId="9" fillId="0" borderId="0" xfId="2" applyFont="1" applyBorder="1"/>
    <xf numFmtId="0" fontId="2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1" fontId="6" fillId="0" borderId="0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5" fillId="2" borderId="7" xfId="1" applyNumberFormat="1" applyFont="1" applyFill="1" applyBorder="1" applyAlignment="1" applyProtection="1">
      <alignment vertical="center"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3" fillId="4" borderId="14" xfId="2" applyFont="1" applyFill="1" applyBorder="1" applyAlignment="1" applyProtection="1">
      <alignment horizontal="center" vertical="center"/>
      <protection locked="0"/>
    </xf>
    <xf numFmtId="0" fontId="3" fillId="4" borderId="7" xfId="2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/>
    </xf>
    <xf numFmtId="0" fontId="3" fillId="4" borderId="7" xfId="2" applyFont="1" applyFill="1" applyBorder="1" applyAlignment="1" applyProtection="1">
      <alignment horizontal="center" vertical="top" wrapText="1"/>
      <protection locked="0"/>
    </xf>
    <xf numFmtId="9" fontId="3" fillId="4" borderId="7" xfId="0" applyNumberFormat="1" applyFont="1" applyFill="1" applyBorder="1" applyAlignment="1">
      <alignment horizontal="center" vertical="center"/>
    </xf>
    <xf numFmtId="0" fontId="3" fillId="4" borderId="7" xfId="2" applyFont="1" applyFill="1" applyBorder="1" applyAlignment="1" applyProtection="1">
      <alignment horizontal="center" wrapText="1"/>
      <protection locked="0"/>
    </xf>
    <xf numFmtId="9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" fontId="3" fillId="4" borderId="7" xfId="2" applyNumberFormat="1" applyFont="1" applyFill="1" applyBorder="1" applyAlignment="1" applyProtection="1">
      <alignment horizontal="center" wrapText="1"/>
      <protection locked="0"/>
    </xf>
    <xf numFmtId="9" fontId="3" fillId="4" borderId="13" xfId="0" applyNumberFormat="1" applyFont="1" applyFill="1" applyBorder="1" applyAlignment="1">
      <alignment horizontal="center" vertical="center"/>
    </xf>
    <xf numFmtId="0" fontId="3" fillId="4" borderId="13" xfId="2" applyFont="1" applyFill="1" applyBorder="1" applyAlignment="1" applyProtection="1">
      <alignment horizontal="center" wrapText="1"/>
      <protection locked="0"/>
    </xf>
    <xf numFmtId="9" fontId="3" fillId="4" borderId="13" xfId="2" applyNumberFormat="1" applyFont="1" applyFill="1" applyBorder="1" applyAlignment="1" applyProtection="1">
      <alignment horizontal="center" vertical="center" wrapText="1"/>
      <protection hidden="1"/>
    </xf>
    <xf numFmtId="1" fontId="29" fillId="0" borderId="7" xfId="0" applyNumberFormat="1" applyFont="1" applyBorder="1" applyAlignment="1" applyProtection="1">
      <alignment horizontal="center" vertical="center" wrapText="1"/>
      <protection locked="0"/>
    </xf>
    <xf numFmtId="1" fontId="30" fillId="0" borderId="18" xfId="0" applyNumberFormat="1" applyFont="1" applyBorder="1" applyAlignment="1" applyProtection="1">
      <alignment horizontal="center" vertical="center" wrapText="1"/>
      <protection locked="0"/>
    </xf>
    <xf numFmtId="1" fontId="30" fillId="0" borderId="13" xfId="0" applyNumberFormat="1" applyFont="1" applyBorder="1" applyAlignment="1" applyProtection="1">
      <alignment horizontal="center" vertical="center" wrapText="1"/>
      <protection locked="0"/>
    </xf>
    <xf numFmtId="1" fontId="30" fillId="0" borderId="33" xfId="0" applyNumberFormat="1" applyFont="1" applyBorder="1" applyAlignment="1" applyProtection="1">
      <alignment horizontal="center" vertical="center" wrapText="1"/>
      <protection locked="0"/>
    </xf>
    <xf numFmtId="1" fontId="28" fillId="0" borderId="7" xfId="2" applyNumberFormat="1" applyFont="1" applyBorder="1" applyAlignment="1" applyProtection="1">
      <alignment horizontal="center" vertical="center" wrapText="1"/>
      <protection locked="0"/>
    </xf>
    <xf numFmtId="1" fontId="26" fillId="0" borderId="7" xfId="2" applyNumberFormat="1" applyFont="1" applyBorder="1" applyAlignment="1">
      <alignment horizontal="center" vertical="center"/>
    </xf>
    <xf numFmtId="0" fontId="0" fillId="0" borderId="0" xfId="0" applyFill="1" applyBorder="1"/>
    <xf numFmtId="0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/>
    <xf numFmtId="0" fontId="32" fillId="4" borderId="7" xfId="0" applyFont="1" applyFill="1" applyBorder="1" applyAlignment="1">
      <alignment horizontal="left" vertical="top" wrapText="1"/>
    </xf>
    <xf numFmtId="0" fontId="31" fillId="0" borderId="10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3" fillId="0" borderId="0" xfId="0" applyFont="1"/>
    <xf numFmtId="14" fontId="5" fillId="2" borderId="7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1" fillId="0" borderId="7" xfId="0" applyFont="1" applyBorder="1" applyAlignment="1">
      <alignment horizontal="center" vertical="center"/>
    </xf>
    <xf numFmtId="1" fontId="13" fillId="0" borderId="0" xfId="2" applyNumberFormat="1" applyFont="1" applyAlignment="1" applyProtection="1">
      <alignment vertical="center" wrapText="1"/>
      <protection locked="0"/>
    </xf>
    <xf numFmtId="0" fontId="36" fillId="4" borderId="7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wrapText="1"/>
    </xf>
    <xf numFmtId="1" fontId="3" fillId="0" borderId="13" xfId="0" applyNumberFormat="1" applyFont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38" fillId="0" borderId="0" xfId="0" applyFont="1"/>
    <xf numFmtId="0" fontId="32" fillId="0" borderId="0" xfId="0" applyFont="1" applyAlignment="1">
      <alignment horizontal="center" vertical="top" wrapText="1"/>
    </xf>
    <xf numFmtId="0" fontId="34" fillId="4" borderId="7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vertical="top" wrapText="1"/>
    </xf>
    <xf numFmtId="0" fontId="38" fillId="0" borderId="0" xfId="0" applyFont="1" applyBorder="1"/>
    <xf numFmtId="0" fontId="32" fillId="0" borderId="0" xfId="0" applyFont="1" applyAlignment="1">
      <alignment horizontal="left" vertical="top" wrapText="1"/>
    </xf>
    <xf numFmtId="0" fontId="41" fillId="0" borderId="0" xfId="0" applyFont="1"/>
    <xf numFmtId="0" fontId="42" fillId="0" borderId="0" xfId="0" applyFont="1"/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1" fontId="19" fillId="0" borderId="13" xfId="2" applyNumberFormat="1" applyFont="1" applyBorder="1" applyAlignment="1" applyProtection="1">
      <alignment horizontal="center" vertical="center" wrapText="1"/>
      <protection locked="0"/>
    </xf>
    <xf numFmtId="14" fontId="35" fillId="2" borderId="7" xfId="1" applyNumberFormat="1" applyFont="1" applyFill="1" applyBorder="1" applyAlignment="1">
      <alignment horizontal="left" vertical="center"/>
    </xf>
    <xf numFmtId="0" fontId="27" fillId="4" borderId="11" xfId="0" applyFont="1" applyFill="1" applyBorder="1" applyAlignment="1">
      <alignment horizontal="left" vertical="top"/>
    </xf>
    <xf numFmtId="0" fontId="3" fillId="4" borderId="7" xfId="2" applyFont="1" applyFill="1" applyBorder="1" applyAlignment="1" applyProtection="1">
      <alignment horizontal="left" vertical="top" wrapText="1"/>
      <protection locked="0"/>
    </xf>
    <xf numFmtId="0" fontId="3" fillId="4" borderId="13" xfId="2" applyFont="1" applyFill="1" applyBorder="1" applyAlignment="1" applyProtection="1">
      <alignment horizontal="left" vertical="top" wrapText="1"/>
      <protection locked="0"/>
    </xf>
    <xf numFmtId="1" fontId="29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33" xfId="0" applyNumberFormat="1" applyFont="1" applyFill="1" applyBorder="1" applyAlignment="1" applyProtection="1">
      <alignment horizontal="center" vertical="center" wrapText="1"/>
      <protection locked="0"/>
    </xf>
    <xf numFmtId="9" fontId="19" fillId="0" borderId="9" xfId="2" applyNumberFormat="1" applyFont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3" fontId="17" fillId="4" borderId="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0" fillId="0" borderId="0" xfId="0" applyFont="1"/>
    <xf numFmtId="0" fontId="9" fillId="0" borderId="0" xfId="0" applyFont="1" applyAlignment="1">
      <alignment horizontal="center" vertical="center" wrapText="1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8" fillId="4" borderId="7" xfId="0" applyFont="1" applyFill="1" applyBorder="1" applyAlignment="1" applyProtection="1">
      <alignment horizontal="center" vertical="center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1" fontId="19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Alignment="1" applyProtection="1">
      <alignment horizontal="center" vertical="top" wrapText="1"/>
      <protection locked="0"/>
    </xf>
    <xf numFmtId="1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 vertical="top" wrapText="1"/>
    </xf>
    <xf numFmtId="0" fontId="12" fillId="0" borderId="0" xfId="2" applyFont="1" applyAlignment="1" applyProtection="1">
      <alignment horizontal="center" vertical="top"/>
      <protection locked="0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1" fontId="19" fillId="0" borderId="10" xfId="2" applyNumberFormat="1" applyFont="1" applyBorder="1" applyAlignment="1" applyProtection="1">
      <alignment horizontal="center" vertical="center" wrapText="1"/>
      <protection locked="0"/>
    </xf>
    <xf numFmtId="1" fontId="19" fillId="0" borderId="3" xfId="2" applyNumberFormat="1" applyFont="1" applyBorder="1" applyAlignment="1" applyProtection="1">
      <alignment horizontal="center" vertical="center" wrapText="1"/>
      <protection locked="0"/>
    </xf>
    <xf numFmtId="1" fontId="19" fillId="0" borderId="4" xfId="2" applyNumberFormat="1" applyFont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1" fontId="28" fillId="0" borderId="12" xfId="2" applyNumberFormat="1" applyFont="1" applyBorder="1" applyAlignment="1" applyProtection="1">
      <alignment horizontal="center" vertical="center" wrapText="1"/>
      <protection locked="0"/>
    </xf>
    <xf numFmtId="1" fontId="28" fillId="0" borderId="31" xfId="2" applyNumberFormat="1" applyFont="1" applyBorder="1" applyAlignment="1" applyProtection="1">
      <alignment horizontal="center" vertical="center" wrapText="1"/>
      <protection locked="0"/>
    </xf>
    <xf numFmtId="1" fontId="28" fillId="0" borderId="34" xfId="2" applyNumberFormat="1" applyFont="1" applyBorder="1" applyAlignment="1" applyProtection="1">
      <alignment horizontal="center" vertical="center" wrapText="1"/>
      <protection locked="0"/>
    </xf>
    <xf numFmtId="1" fontId="28" fillId="0" borderId="27" xfId="2" applyNumberFormat="1" applyFont="1" applyBorder="1" applyAlignment="1" applyProtection="1">
      <alignment horizontal="center" vertical="center" wrapText="1"/>
      <protection locked="0"/>
    </xf>
    <xf numFmtId="1" fontId="28" fillId="0" borderId="32" xfId="2" applyNumberFormat="1" applyFont="1" applyBorder="1" applyAlignment="1" applyProtection="1">
      <alignment horizontal="center" vertical="center" wrapText="1"/>
      <protection locked="0"/>
    </xf>
    <xf numFmtId="1" fontId="28" fillId="0" borderId="35" xfId="2" applyNumberFormat="1" applyFont="1" applyBorder="1" applyAlignment="1" applyProtection="1">
      <alignment horizontal="center" vertical="center" wrapText="1"/>
      <protection locked="0"/>
    </xf>
    <xf numFmtId="1" fontId="28" fillId="0" borderId="10" xfId="2" applyNumberFormat="1" applyFont="1" applyBorder="1" applyAlignment="1" applyProtection="1">
      <alignment horizontal="center" vertical="center" wrapText="1"/>
      <protection locked="0"/>
    </xf>
    <xf numFmtId="1" fontId="28" fillId="0" borderId="3" xfId="2" applyNumberFormat="1" applyFont="1" applyBorder="1" applyAlignment="1" applyProtection="1">
      <alignment horizontal="center" vertical="center" wrapText="1"/>
      <protection locked="0"/>
    </xf>
    <xf numFmtId="1" fontId="28" fillId="0" borderId="4" xfId="2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9" fontId="25" fillId="3" borderId="7" xfId="0" applyNumberFormat="1" applyFont="1" applyFill="1" applyBorder="1" applyAlignment="1">
      <alignment horizontal="left" vertical="top" wrapText="1"/>
    </xf>
    <xf numFmtId="0" fontId="25" fillId="3" borderId="7" xfId="0" applyFont="1" applyFill="1" applyBorder="1" applyAlignment="1">
      <alignment horizontal="left" vertical="top" wrapText="1"/>
    </xf>
    <xf numFmtId="0" fontId="31" fillId="3" borderId="13" xfId="0" applyFont="1" applyFill="1" applyBorder="1" applyAlignment="1">
      <alignment horizontal="center" vertical="top" wrapText="1"/>
    </xf>
    <xf numFmtId="0" fontId="20" fillId="0" borderId="10" xfId="4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164" fontId="31" fillId="0" borderId="7" xfId="0" applyNumberFormat="1" applyFont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1" fillId="3" borderId="7" xfId="0" applyFont="1" applyFill="1" applyBorder="1" applyAlignment="1">
      <alignment horizontal="center" vertical="top" wrapText="1"/>
    </xf>
    <xf numFmtId="0" fontId="2" fillId="5" borderId="3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5" fillId="4" borderId="10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5" fillId="3" borderId="4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center" vertical="top" wrapText="1"/>
    </xf>
    <xf numFmtId="0" fontId="2" fillId="4" borderId="10" xfId="1" applyFont="1" applyFill="1" applyBorder="1" applyAlignment="1">
      <alignment horizontal="left" vertical="center" wrapText="1"/>
    </xf>
    <xf numFmtId="0" fontId="2" fillId="4" borderId="4" xfId="1" applyFont="1" applyFill="1" applyBorder="1" applyAlignment="1">
      <alignment horizontal="left" vertical="center" wrapText="1"/>
    </xf>
    <xf numFmtId="0" fontId="20" fillId="4" borderId="10" xfId="4" applyFill="1" applyBorder="1" applyAlignment="1">
      <alignment horizontal="left" vertical="center" wrapText="1"/>
    </xf>
    <xf numFmtId="0" fontId="20" fillId="4" borderId="3" xfId="4" applyFill="1" applyBorder="1" applyAlignment="1">
      <alignment horizontal="left" vertical="center" wrapText="1"/>
    </xf>
    <xf numFmtId="0" fontId="20" fillId="4" borderId="4" xfId="4" applyFill="1" applyBorder="1" applyAlignment="1">
      <alignment horizontal="left" vertical="center" wrapText="1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  <protection locked="0"/>
    </xf>
    <xf numFmtId="0" fontId="3" fillId="4" borderId="4" xfId="2" applyFont="1" applyFill="1" applyBorder="1" applyAlignment="1" applyProtection="1">
      <alignment horizontal="center" vertical="center" wrapText="1"/>
      <protection locked="0"/>
    </xf>
    <xf numFmtId="9" fontId="3" fillId="4" borderId="12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34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1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42" xfId="2" applyNumberFormat="1" applyFont="1" applyFill="1" applyBorder="1" applyAlignment="1" applyProtection="1">
      <alignment horizontal="center" vertical="center" wrapText="1"/>
      <protection hidden="1"/>
    </xf>
    <xf numFmtId="0" fontId="27" fillId="4" borderId="14" xfId="2" applyFont="1" applyFill="1" applyBorder="1" applyAlignment="1" applyProtection="1">
      <alignment horizontal="left" vertical="top" wrapText="1"/>
      <protection locked="0"/>
    </xf>
    <xf numFmtId="0" fontId="27" fillId="4" borderId="7" xfId="2" applyFont="1" applyFill="1" applyBorder="1" applyAlignment="1" applyProtection="1">
      <alignment horizontal="left" vertical="top" wrapText="1"/>
      <protection locked="0"/>
    </xf>
    <xf numFmtId="0" fontId="27" fillId="4" borderId="5" xfId="2" applyFont="1" applyFill="1" applyBorder="1" applyAlignment="1" applyProtection="1">
      <alignment horizontal="left" vertical="top" wrapText="1"/>
      <protection locked="0"/>
    </xf>
    <xf numFmtId="0" fontId="27" fillId="4" borderId="3" xfId="2" applyFont="1" applyFill="1" applyBorder="1" applyAlignment="1" applyProtection="1">
      <alignment horizontal="left" vertical="top" wrapText="1"/>
      <protection locked="0"/>
    </xf>
    <xf numFmtId="0" fontId="27" fillId="4" borderId="4" xfId="2" applyFont="1" applyFill="1" applyBorder="1" applyAlignment="1" applyProtection="1">
      <alignment horizontal="left" vertical="top" wrapText="1"/>
      <protection locked="0"/>
    </xf>
    <xf numFmtId="1" fontId="27" fillId="0" borderId="33" xfId="0" applyNumberFormat="1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1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1" fontId="12" fillId="0" borderId="0" xfId="2" applyNumberFormat="1" applyFont="1" applyAlignment="1" applyProtection="1">
      <alignment horizontal="center" vertical="top" wrapText="1"/>
      <protection locked="0"/>
    </xf>
    <xf numFmtId="1" fontId="19" fillId="0" borderId="13" xfId="2" applyNumberFormat="1" applyFont="1" applyBorder="1" applyAlignment="1" applyProtection="1">
      <alignment horizontal="center" vertical="center" wrapText="1"/>
      <protection locked="0"/>
    </xf>
    <xf numFmtId="1" fontId="19" fillId="0" borderId="9" xfId="2" applyNumberFormat="1" applyFont="1" applyBorder="1" applyAlignment="1" applyProtection="1">
      <alignment horizontal="center" vertical="center" wrapText="1"/>
      <protection locked="0"/>
    </xf>
    <xf numFmtId="1" fontId="19" fillId="0" borderId="12" xfId="2" applyNumberFormat="1" applyFont="1" applyBorder="1" applyAlignment="1" applyProtection="1">
      <alignment horizontal="center" vertical="center" wrapText="1"/>
      <protection locked="0"/>
    </xf>
    <xf numFmtId="1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19" fillId="4" borderId="10" xfId="2" applyFont="1" applyFill="1" applyBorder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0" fontId="19" fillId="4" borderId="4" xfId="2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/>
    </xf>
    <xf numFmtId="0" fontId="34" fillId="0" borderId="4" xfId="0" applyFont="1" applyFill="1" applyBorder="1" applyAlignment="1">
      <alignment horizontal="left" vertical="center"/>
    </xf>
    <xf numFmtId="1" fontId="27" fillId="0" borderId="18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1" fontId="27" fillId="0" borderId="18" xfId="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10" xfId="2" applyFont="1" applyBorder="1" applyAlignment="1" applyProtection="1">
      <alignment horizontal="center" vertical="top"/>
      <protection locked="0"/>
    </xf>
    <xf numFmtId="0" fontId="19" fillId="0" borderId="3" xfId="2" applyFont="1" applyBorder="1" applyAlignment="1" applyProtection="1">
      <alignment horizontal="center" vertical="top"/>
      <protection locked="0"/>
    </xf>
    <xf numFmtId="0" fontId="19" fillId="0" borderId="4" xfId="2" applyFont="1" applyBorder="1" applyAlignment="1" applyProtection="1">
      <alignment horizontal="center" vertical="top"/>
      <protection locked="0"/>
    </xf>
    <xf numFmtId="0" fontId="18" fillId="5" borderId="10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" fillId="5" borderId="7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7" xfId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14" fontId="3" fillId="0" borderId="7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19" fillId="5" borderId="27" xfId="2" applyFont="1" applyFill="1" applyBorder="1" applyAlignment="1" applyProtection="1">
      <alignment horizontal="center" vertical="center"/>
      <protection locked="0"/>
    </xf>
    <xf numFmtId="0" fontId="19" fillId="5" borderId="32" xfId="2" applyFont="1" applyFill="1" applyBorder="1" applyAlignment="1" applyProtection="1">
      <alignment horizontal="center" vertical="center"/>
      <protection locked="0"/>
    </xf>
    <xf numFmtId="0" fontId="19" fillId="5" borderId="35" xfId="2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8" fillId="0" borderId="21" xfId="2" applyFont="1" applyBorder="1" applyAlignment="1" applyProtection="1">
      <alignment horizontal="left" vertical="top" wrapText="1"/>
      <protection locked="0"/>
    </xf>
    <xf numFmtId="0" fontId="8" fillId="0" borderId="22" xfId="2" applyFont="1" applyBorder="1" applyAlignment="1" applyProtection="1">
      <alignment horizontal="left" vertical="top" wrapText="1"/>
      <protection locked="0"/>
    </xf>
    <xf numFmtId="0" fontId="8" fillId="0" borderId="23" xfId="2" applyFont="1" applyBorder="1" applyAlignment="1" applyProtection="1">
      <alignment horizontal="left" vertical="top" wrapText="1"/>
      <protection locked="0"/>
    </xf>
    <xf numFmtId="0" fontId="8" fillId="0" borderId="24" xfId="2" applyFont="1" applyBorder="1" applyAlignment="1" applyProtection="1">
      <alignment horizontal="left" vertical="top" wrapText="1"/>
      <protection locked="0"/>
    </xf>
    <xf numFmtId="0" fontId="8" fillId="0" borderId="25" xfId="2" applyFont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/>
      <protection locked="0"/>
    </xf>
    <xf numFmtId="0" fontId="8" fillId="0" borderId="7" xfId="2" applyFont="1" applyBorder="1" applyAlignment="1" applyProtection="1">
      <alignment horizontal="left" vertical="top"/>
      <protection locked="0"/>
    </xf>
    <xf numFmtId="0" fontId="8" fillId="0" borderId="7" xfId="2" applyFont="1" applyBorder="1" applyAlignment="1" applyProtection="1">
      <alignment horizontal="left" vertical="top" wrapText="1"/>
      <protection locked="0"/>
    </xf>
    <xf numFmtId="0" fontId="8" fillId="0" borderId="8" xfId="2" applyFont="1" applyBorder="1" applyAlignment="1" applyProtection="1">
      <alignment horizontal="left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9" fillId="0" borderId="7" xfId="2" applyFont="1" applyBorder="1" applyAlignment="1" applyProtection="1">
      <alignment horizontal="center" vertical="top" wrapText="1"/>
      <protection locked="0"/>
    </xf>
    <xf numFmtId="0" fontId="9" fillId="0" borderId="8" xfId="2" applyFont="1" applyBorder="1" applyAlignment="1" applyProtection="1">
      <alignment horizontal="center" vertical="top" wrapText="1"/>
      <protection locked="0"/>
    </xf>
    <xf numFmtId="0" fontId="9" fillId="0" borderId="17" xfId="2" applyFont="1" applyBorder="1" applyAlignment="1" applyProtection="1">
      <alignment horizontal="center" vertical="top" wrapText="1"/>
      <protection locked="0"/>
    </xf>
    <xf numFmtId="0" fontId="9" fillId="0" borderId="18" xfId="2" applyFont="1" applyBorder="1" applyAlignment="1" applyProtection="1">
      <alignment horizontal="center" vertical="top" wrapText="1"/>
      <protection locked="0"/>
    </xf>
    <xf numFmtId="9" fontId="9" fillId="3" borderId="7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8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8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2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top"/>
      <protection locked="0"/>
    </xf>
    <xf numFmtId="0" fontId="9" fillId="0" borderId="7" xfId="2" applyFont="1" applyBorder="1" applyAlignment="1" applyProtection="1">
      <alignment horizontal="center" vertical="top"/>
      <protection locked="0"/>
    </xf>
    <xf numFmtId="0" fontId="3" fillId="4" borderId="7" xfId="2" applyFont="1" applyFill="1" applyBorder="1" applyAlignment="1" applyProtection="1">
      <alignment horizontal="center" vertical="center" wrapText="1"/>
      <protection locked="0"/>
    </xf>
  </cellXfs>
  <cellStyles count="5">
    <cellStyle name="Excel Built-in Normal" xfId="3"/>
    <cellStyle name="Hyperlink" xfId="4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300407</xdr:colOff>
      <xdr:row>362</xdr:row>
      <xdr:rowOff>0</xdr:rowOff>
    </xdr:from>
    <xdr:to>
      <xdr:col>5</xdr:col>
      <xdr:colOff>871755</xdr:colOff>
      <xdr:row>392</xdr:row>
      <xdr:rowOff>45000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07" y="71400865"/>
          <a:ext cx="6249713" cy="57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1130032</xdr:colOff>
      <xdr:row>382</xdr:row>
      <xdr:rowOff>46148</xdr:rowOff>
    </xdr:from>
    <xdr:to>
      <xdr:col>2</xdr:col>
      <xdr:colOff>475073</xdr:colOff>
      <xdr:row>388</xdr:row>
      <xdr:rowOff>53028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 rot="1617360">
          <a:off x="2441551" y="75257013"/>
          <a:ext cx="510022" cy="114988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510341</xdr:colOff>
      <xdr:row>364</xdr:row>
      <xdr:rowOff>81342</xdr:rowOff>
    </xdr:from>
    <xdr:to>
      <xdr:col>3</xdr:col>
      <xdr:colOff>822468</xdr:colOff>
      <xdr:row>367</xdr:row>
      <xdr:rowOff>81342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986841" y="71863207"/>
          <a:ext cx="1257300" cy="57150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105679</xdr:colOff>
      <xdr:row>384</xdr:row>
      <xdr:rowOff>72366</xdr:rowOff>
    </xdr:from>
    <xdr:to>
      <xdr:col>1</xdr:col>
      <xdr:colOff>805962</xdr:colOff>
      <xdr:row>385</xdr:row>
      <xdr:rowOff>162071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1417198" y="75664231"/>
          <a:ext cx="700283" cy="280205"/>
        </a:xfrm>
        <a:prstGeom prst="rect">
          <a:avLst/>
        </a:prstGeom>
        <a:solidFill>
          <a:srgbClr val="FF00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solidFill>
                <a:srgbClr val="FFFF00"/>
              </a:solidFill>
            </a:rPr>
            <a:t>Tower 1</a:t>
          </a:r>
        </a:p>
      </xdr:txBody>
    </xdr:sp>
    <xdr:clientData/>
  </xdr:twoCellAnchor>
  <xdr:twoCellAnchor>
    <xdr:from>
      <xdr:col>1</xdr:col>
      <xdr:colOff>759571</xdr:colOff>
      <xdr:row>375</xdr:row>
      <xdr:rowOff>185296</xdr:rowOff>
    </xdr:from>
    <xdr:to>
      <xdr:col>2</xdr:col>
      <xdr:colOff>661921</xdr:colOff>
      <xdr:row>377</xdr:row>
      <xdr:rowOff>173628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070659" y="72933884"/>
          <a:ext cx="1067762" cy="369332"/>
        </a:xfrm>
        <a:prstGeom prst="rect">
          <a:avLst/>
        </a:prstGeom>
        <a:solidFill>
          <a:srgbClr val="FFFF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Tower 2</a:t>
          </a:r>
        </a:p>
      </xdr:txBody>
    </xdr:sp>
    <xdr:clientData/>
  </xdr:twoCellAnchor>
  <xdr:twoCellAnchor>
    <xdr:from>
      <xdr:col>2</xdr:col>
      <xdr:colOff>636486</xdr:colOff>
      <xdr:row>362</xdr:row>
      <xdr:rowOff>148370</xdr:rowOff>
    </xdr:from>
    <xdr:to>
      <xdr:col>3</xdr:col>
      <xdr:colOff>402980</xdr:colOff>
      <xdr:row>364</xdr:row>
      <xdr:rowOff>47575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3112986" y="71549235"/>
          <a:ext cx="711667" cy="280205"/>
        </a:xfrm>
        <a:prstGeom prst="rect">
          <a:avLst/>
        </a:prstGeom>
        <a:solidFill>
          <a:srgbClr val="FF00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solidFill>
                <a:srgbClr val="FFFF00"/>
              </a:solidFill>
            </a:rPr>
            <a:t>Tower 4</a:t>
          </a:r>
        </a:p>
      </xdr:txBody>
    </xdr:sp>
    <xdr:clientData/>
  </xdr:twoCellAnchor>
  <xdr:twoCellAnchor>
    <xdr:from>
      <xdr:col>2</xdr:col>
      <xdr:colOff>609757</xdr:colOff>
      <xdr:row>376</xdr:row>
      <xdr:rowOff>36392</xdr:rowOff>
    </xdr:from>
    <xdr:to>
      <xdr:col>3</xdr:col>
      <xdr:colOff>210485</xdr:colOff>
      <xdr:row>382</xdr:row>
      <xdr:rowOff>182492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 rot="1886794">
          <a:off x="3086257" y="74104257"/>
          <a:ext cx="545901" cy="12891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1099042</xdr:colOff>
      <xdr:row>372</xdr:row>
      <xdr:rowOff>153865</xdr:rowOff>
    </xdr:from>
    <xdr:to>
      <xdr:col>4</xdr:col>
      <xdr:colOff>561075</xdr:colOff>
      <xdr:row>374</xdr:row>
      <xdr:rowOff>53070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4520715" y="73459730"/>
          <a:ext cx="700283" cy="280205"/>
        </a:xfrm>
        <a:prstGeom prst="rect">
          <a:avLst/>
        </a:prstGeom>
        <a:solidFill>
          <a:srgbClr val="FF00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solidFill>
                <a:srgbClr val="FFFF00"/>
              </a:solidFill>
            </a:rPr>
            <a:t>Tower 3</a:t>
          </a:r>
        </a:p>
      </xdr:txBody>
    </xdr:sp>
    <xdr:clientData/>
  </xdr:twoCellAnchor>
  <xdr:twoCellAnchor>
    <xdr:from>
      <xdr:col>3</xdr:col>
      <xdr:colOff>380999</xdr:colOff>
      <xdr:row>369</xdr:row>
      <xdr:rowOff>51288</xdr:rowOff>
    </xdr:from>
    <xdr:to>
      <xdr:col>3</xdr:col>
      <xdr:colOff>996461</xdr:colOff>
      <xdr:row>376</xdr:row>
      <xdr:rowOff>153865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 rot="1974273">
          <a:off x="3802672" y="72785653"/>
          <a:ext cx="615462" cy="143607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923203</xdr:colOff>
      <xdr:row>409</xdr:row>
      <xdr:rowOff>21981</xdr:rowOff>
    </xdr:from>
    <xdr:to>
      <xdr:col>5</xdr:col>
      <xdr:colOff>267306</xdr:colOff>
      <xdr:row>426</xdr:row>
      <xdr:rowOff>23481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203" y="79482462"/>
          <a:ext cx="5022468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923202</xdr:colOff>
      <xdr:row>427</xdr:row>
      <xdr:rowOff>9876</xdr:rowOff>
    </xdr:from>
    <xdr:to>
      <xdr:col>5</xdr:col>
      <xdr:colOff>267305</xdr:colOff>
      <xdr:row>444</xdr:row>
      <xdr:rowOff>11376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202" y="82899357"/>
          <a:ext cx="5022468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90237</xdr:colOff>
      <xdr:row>116</xdr:row>
      <xdr:rowOff>80211</xdr:rowOff>
    </xdr:from>
    <xdr:to>
      <xdr:col>13</xdr:col>
      <xdr:colOff>355398</xdr:colOff>
      <xdr:row>167</xdr:row>
      <xdr:rowOff>339199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0816" y="30921158"/>
          <a:ext cx="4285714" cy="55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303588</xdr:colOff>
      <xdr:row>128</xdr:row>
      <xdr:rowOff>148273</xdr:rowOff>
    </xdr:from>
    <xdr:to>
      <xdr:col>23</xdr:col>
      <xdr:colOff>293211</xdr:colOff>
      <xdr:row>179</xdr:row>
      <xdr:rowOff>146781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30912" y="33777126"/>
          <a:ext cx="5435681" cy="3360273"/>
        </a:xfrm>
        <a:prstGeom prst="rect">
          <a:avLst/>
        </a:prstGeom>
      </xdr:spPr>
    </xdr:pic>
    <xdr:clientData/>
  </xdr:twoCellAnchor>
  <xdr:twoCellAnchor>
    <xdr:from>
      <xdr:col>7</xdr:col>
      <xdr:colOff>38490</xdr:colOff>
      <xdr:row>315</xdr:row>
      <xdr:rowOff>77467</xdr:rowOff>
    </xdr:from>
    <xdr:to>
      <xdr:col>13</xdr:col>
      <xdr:colOff>410053</xdr:colOff>
      <xdr:row>344</xdr:row>
      <xdr:rowOff>101483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xmlns="" id="{143F8BFD-E82B-41C9-BF88-AED6D8F40B70}"/>
            </a:ext>
          </a:extLst>
        </xdr:cNvPr>
        <xdr:cNvGrpSpPr/>
      </xdr:nvGrpSpPr>
      <xdr:grpSpPr>
        <a:xfrm>
          <a:off x="7267965" y="61875667"/>
          <a:ext cx="4991188" cy="5548516"/>
          <a:chOff x="841773" y="438150"/>
          <a:chExt cx="5014696" cy="5548516"/>
        </a:xfrm>
      </xdr:grpSpPr>
      <xdr:pic>
        <xdr:nvPicPr>
          <xdr:cNvPr id="46" name="Picture 45">
            <a:extLst>
              <a:ext uri="{FF2B5EF4-FFF2-40B4-BE49-F238E27FC236}">
                <a16:creationId xmlns:a16="http://schemas.microsoft.com/office/drawing/2014/main" xmlns="" id="{A09AD3C9-01F6-4DF5-A297-0900E818E2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1773" y="43815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xmlns="" id="{B310CECD-9998-4D7F-8178-E3527A162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3815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xmlns="" id="{84044861-3C80-4720-84EF-7E32FF408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5857" y="382666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xmlns="" id="{FF3498AD-DEEC-49B2-B6CA-95FA713BC9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37663" y="3826666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7</xdr:col>
      <xdr:colOff>139852</xdr:colOff>
      <xdr:row>316</xdr:row>
      <xdr:rowOff>13341</xdr:rowOff>
    </xdr:from>
    <xdr:to>
      <xdr:col>8</xdr:col>
      <xdr:colOff>197118</xdr:colOff>
      <xdr:row>317</xdr:row>
      <xdr:rowOff>49976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F8E3C444-4026-4422-B679-42188B6AA547}"/>
            </a:ext>
          </a:extLst>
        </xdr:cNvPr>
        <xdr:cNvSpPr txBox="1"/>
      </xdr:nvSpPr>
      <xdr:spPr>
        <a:xfrm>
          <a:off x="7370569" y="61950689"/>
          <a:ext cx="670179" cy="227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Tower 2</a:t>
          </a:r>
        </a:p>
      </xdr:txBody>
    </xdr:sp>
    <xdr:clientData/>
  </xdr:twoCellAnchor>
  <xdr:twoCellAnchor>
    <xdr:from>
      <xdr:col>7</xdr:col>
      <xdr:colOff>456451</xdr:colOff>
      <xdr:row>317</xdr:row>
      <xdr:rowOff>17198</xdr:rowOff>
    </xdr:from>
    <xdr:to>
      <xdr:col>8</xdr:col>
      <xdr:colOff>52130</xdr:colOff>
      <xdr:row>318</xdr:row>
      <xdr:rowOff>188552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xmlns="" id="{091FDA21-B5AE-418E-B7EC-379EC144C2D7}"/>
            </a:ext>
          </a:extLst>
        </xdr:cNvPr>
        <xdr:cNvCxnSpPr/>
      </xdr:nvCxnSpPr>
      <xdr:spPr>
        <a:xfrm>
          <a:off x="7687168" y="62145046"/>
          <a:ext cx="208592" cy="36185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7794</xdr:colOff>
      <xdr:row>315</xdr:row>
      <xdr:rowOff>166140</xdr:rowOff>
    </xdr:from>
    <xdr:to>
      <xdr:col>11</xdr:col>
      <xdr:colOff>68958</xdr:colOff>
      <xdr:row>317</xdr:row>
      <xdr:rowOff>12275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DAA647D8-A957-409A-99F8-954B84406E82}"/>
            </a:ext>
          </a:extLst>
        </xdr:cNvPr>
        <xdr:cNvSpPr txBox="1"/>
      </xdr:nvSpPr>
      <xdr:spPr>
        <a:xfrm>
          <a:off x="10038033" y="61912988"/>
          <a:ext cx="674077" cy="227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Tower 2</a:t>
          </a:r>
        </a:p>
      </xdr:txBody>
    </xdr:sp>
    <xdr:clientData/>
  </xdr:twoCellAnchor>
  <xdr:twoCellAnchor>
    <xdr:from>
      <xdr:col>10</xdr:col>
      <xdr:colOff>324393</xdr:colOff>
      <xdr:row>316</xdr:row>
      <xdr:rowOff>169997</xdr:rowOff>
    </xdr:from>
    <xdr:to>
      <xdr:col>11</xdr:col>
      <xdr:colOff>11204</xdr:colOff>
      <xdr:row>318</xdr:row>
      <xdr:rowOff>132522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xmlns="" id="{3083E62D-F352-4A6C-B35E-E4C5615D5010}"/>
            </a:ext>
          </a:extLst>
        </xdr:cNvPr>
        <xdr:cNvCxnSpPr/>
      </xdr:nvCxnSpPr>
      <xdr:spPr>
        <a:xfrm>
          <a:off x="10354632" y="62107345"/>
          <a:ext cx="299724" cy="343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228599</xdr:colOff>
      <xdr:row>315</xdr:row>
      <xdr:rowOff>123824</xdr:rowOff>
    </xdr:from>
    <xdr:to>
      <xdr:col>5</xdr:col>
      <xdr:colOff>1189798</xdr:colOff>
      <xdr:row>351</xdr:row>
      <xdr:rowOff>71436</xdr:rowOff>
    </xdr:to>
    <xdr:grpSp>
      <xdr:nvGrpSpPr>
        <xdr:cNvPr id="4" name="Group 3"/>
        <xdr:cNvGrpSpPr/>
      </xdr:nvGrpSpPr>
      <xdr:grpSpPr>
        <a:xfrm>
          <a:off x="228599" y="61922024"/>
          <a:ext cx="6247574" cy="6805612"/>
          <a:chOff x="228599" y="61922024"/>
          <a:chExt cx="6247574" cy="6805612"/>
        </a:xfrm>
      </xdr:grpSpPr>
      <xdr:grpSp>
        <xdr:nvGrpSpPr>
          <xdr:cNvPr id="2" name="Group 1"/>
          <xdr:cNvGrpSpPr/>
        </xdr:nvGrpSpPr>
        <xdr:grpSpPr>
          <a:xfrm>
            <a:off x="228599" y="61922024"/>
            <a:ext cx="6247574" cy="6805612"/>
            <a:chOff x="219074" y="61874399"/>
            <a:chExt cx="6247574" cy="6805612"/>
          </a:xfrm>
        </xdr:grpSpPr>
        <xdr:pic>
          <xdr:nvPicPr>
            <xdr:cNvPr id="38" name="Picture 37" descr="https://vsjcllp.vsjadon.com/upload/insp-242825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50" y="66074924"/>
              <a:ext cx="1948213" cy="2600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42825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9074" y="61874399"/>
              <a:ext cx="3075749" cy="4105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 descr="https://vsjcllp.vsjadon.com/upload/insp-242825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2925" y="66079686"/>
              <a:ext cx="3463889" cy="2600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42825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90899" y="61874399"/>
              <a:ext cx="3075749" cy="4105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xmlns="" id="{F8E3C444-4026-4422-B679-42188B6AA547}"/>
              </a:ext>
            </a:extLst>
          </xdr:cNvPr>
          <xdr:cNvSpPr txBox="1"/>
        </xdr:nvSpPr>
        <xdr:spPr>
          <a:xfrm>
            <a:off x="809624" y="61969650"/>
            <a:ext cx="895352" cy="35242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/>
              <a:t>Tower 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22</xdr:col>
      <xdr:colOff>209550</xdr:colOff>
      <xdr:row>170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498425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goo.gl/maps/1V5rXUQTAoX3Msh6A" TargetMode="External"/><Relationship Id="rId1" Type="http://schemas.openxmlformats.org/officeDocument/2006/relationships/hyperlink" Target="mailto:vsjc.apf@gmail.com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49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18.28515625" style="52" customWidth="1"/>
    <col min="2" max="2" width="16.28515625" customWidth="1"/>
    <col min="3" max="3" width="13.140625" style="100" customWidth="1"/>
    <col min="4" max="4" width="17.28515625" customWidth="1"/>
    <col min="5" max="5" width="14.28515625" customWidth="1"/>
    <col min="6" max="6" width="20" customWidth="1"/>
    <col min="9" max="9" width="23.5703125" customWidth="1"/>
  </cols>
  <sheetData>
    <row r="1" spans="1:12" x14ac:dyDescent="0.25">
      <c r="A1" s="234" t="s">
        <v>0</v>
      </c>
      <c r="B1" s="235"/>
      <c r="C1" s="235"/>
      <c r="D1" s="235"/>
      <c r="E1" s="235"/>
      <c r="F1" s="236"/>
      <c r="G1" s="57"/>
      <c r="H1" s="57"/>
      <c r="I1" s="57"/>
      <c r="J1" s="57"/>
      <c r="K1" s="57"/>
      <c r="L1" s="57"/>
    </row>
    <row r="2" spans="1:12" ht="40.5" customHeight="1" x14ac:dyDescent="0.25">
      <c r="A2" s="113" t="s">
        <v>69</v>
      </c>
      <c r="B2" s="237" t="s">
        <v>284</v>
      </c>
      <c r="C2" s="237"/>
      <c r="D2" s="237"/>
      <c r="E2" s="114" t="s">
        <v>1</v>
      </c>
      <c r="F2" s="104" t="s">
        <v>285</v>
      </c>
      <c r="G2" s="57"/>
      <c r="H2" s="57"/>
      <c r="I2" s="57"/>
      <c r="J2" s="57"/>
      <c r="K2" s="57"/>
      <c r="L2" s="57"/>
    </row>
    <row r="3" spans="1:12" x14ac:dyDescent="0.25">
      <c r="A3" s="238" t="s">
        <v>70</v>
      </c>
      <c r="B3" s="238"/>
      <c r="C3" s="238"/>
      <c r="D3" s="238"/>
      <c r="E3" s="238"/>
      <c r="F3" s="238"/>
      <c r="G3" s="57"/>
      <c r="H3" s="57"/>
      <c r="I3" s="57"/>
      <c r="J3" s="57"/>
      <c r="K3" s="57"/>
      <c r="L3" s="57"/>
    </row>
    <row r="4" spans="1:12" ht="15" customHeight="1" x14ac:dyDescent="0.25">
      <c r="A4" s="239" t="s">
        <v>76</v>
      </c>
      <c r="B4" s="239"/>
      <c r="C4" s="223" t="s">
        <v>242</v>
      </c>
      <c r="D4" s="224"/>
      <c r="E4" s="224"/>
      <c r="F4" s="225"/>
      <c r="G4" s="57"/>
      <c r="H4" s="57"/>
      <c r="I4" s="57"/>
      <c r="J4" s="57"/>
      <c r="K4" s="57"/>
      <c r="L4" s="57"/>
    </row>
    <row r="5" spans="1:12" ht="15" customHeight="1" x14ac:dyDescent="0.25">
      <c r="A5" s="241" t="s">
        <v>71</v>
      </c>
      <c r="B5" s="242"/>
      <c r="C5" s="223" t="s">
        <v>243</v>
      </c>
      <c r="D5" s="224"/>
      <c r="E5" s="224"/>
      <c r="F5" s="225"/>
      <c r="G5" s="57"/>
      <c r="H5" s="57"/>
      <c r="I5" s="57"/>
      <c r="J5" s="57"/>
      <c r="K5" s="57"/>
      <c r="L5" s="57"/>
    </row>
    <row r="6" spans="1:12" ht="15" customHeight="1" x14ac:dyDescent="0.25">
      <c r="A6" s="226" t="s">
        <v>72</v>
      </c>
      <c r="B6" s="226"/>
      <c r="C6" s="243" t="s">
        <v>244</v>
      </c>
      <c r="D6" s="244"/>
      <c r="E6" s="244"/>
      <c r="F6" s="245"/>
      <c r="G6" s="57"/>
      <c r="H6" s="57"/>
      <c r="I6" s="57"/>
      <c r="J6" s="57"/>
      <c r="K6" s="57"/>
      <c r="L6" s="57"/>
    </row>
    <row r="7" spans="1:12" ht="15" customHeight="1" x14ac:dyDescent="0.25">
      <c r="A7" s="226" t="s">
        <v>75</v>
      </c>
      <c r="B7" s="226"/>
      <c r="C7" s="223" t="s">
        <v>245</v>
      </c>
      <c r="D7" s="224"/>
      <c r="E7" s="224"/>
      <c r="F7" s="225"/>
      <c r="G7" s="57"/>
      <c r="H7" s="57"/>
      <c r="I7" s="57"/>
      <c r="J7" s="57"/>
      <c r="K7" s="57"/>
      <c r="L7" s="57"/>
    </row>
    <row r="8" spans="1:12" ht="15" customHeight="1" x14ac:dyDescent="0.25">
      <c r="A8" s="226" t="s">
        <v>73</v>
      </c>
      <c r="B8" s="226"/>
      <c r="C8" s="223"/>
      <c r="D8" s="224"/>
      <c r="E8" s="224"/>
      <c r="F8" s="225"/>
      <c r="G8" s="57"/>
      <c r="H8" s="57"/>
      <c r="I8" s="57"/>
      <c r="J8" s="57"/>
      <c r="K8" s="57"/>
      <c r="L8" s="57"/>
    </row>
    <row r="9" spans="1:12" ht="33" customHeight="1" x14ac:dyDescent="0.25">
      <c r="A9" s="226" t="s">
        <v>74</v>
      </c>
      <c r="B9" s="226"/>
      <c r="C9" s="223" t="s">
        <v>283</v>
      </c>
      <c r="D9" s="224"/>
      <c r="E9" s="224"/>
      <c r="F9" s="225"/>
      <c r="G9" s="57"/>
      <c r="H9" s="57"/>
      <c r="I9" s="87"/>
      <c r="J9" s="87"/>
      <c r="K9" s="87"/>
      <c r="L9" s="87"/>
    </row>
    <row r="10" spans="1:12" x14ac:dyDescent="0.25">
      <c r="A10" s="238" t="s">
        <v>333</v>
      </c>
      <c r="B10" s="238"/>
      <c r="C10" s="238"/>
      <c r="D10" s="238"/>
      <c r="E10" s="238"/>
      <c r="F10" s="238"/>
      <c r="G10" s="57"/>
      <c r="H10" s="57"/>
      <c r="I10" s="87"/>
      <c r="J10" s="87"/>
      <c r="K10" s="87"/>
      <c r="L10" s="87"/>
    </row>
    <row r="11" spans="1:12" ht="24" x14ac:dyDescent="0.25">
      <c r="A11" s="47" t="s">
        <v>81</v>
      </c>
      <c r="B11" s="101">
        <v>45874</v>
      </c>
      <c r="C11" s="47" t="s">
        <v>94</v>
      </c>
      <c r="D11" s="45" t="s">
        <v>362</v>
      </c>
      <c r="E11" s="47" t="s">
        <v>278</v>
      </c>
      <c r="F11" s="127">
        <v>45161</v>
      </c>
      <c r="G11" s="57"/>
      <c r="H11" s="57"/>
      <c r="I11" s="88"/>
      <c r="J11" s="88"/>
      <c r="K11" s="88"/>
      <c r="L11" s="88"/>
    </row>
    <row r="12" spans="1:12" x14ac:dyDescent="0.25">
      <c r="A12" s="47" t="s">
        <v>82</v>
      </c>
      <c r="B12" s="101">
        <v>45875</v>
      </c>
      <c r="C12" s="239" t="s">
        <v>95</v>
      </c>
      <c r="D12" s="239"/>
      <c r="E12" s="246" t="s">
        <v>339</v>
      </c>
      <c r="F12" s="246"/>
      <c r="G12" s="57"/>
      <c r="H12" s="57"/>
      <c r="I12" s="213"/>
      <c r="J12" s="213"/>
      <c r="K12" s="88"/>
      <c r="L12" s="88"/>
    </row>
    <row r="13" spans="1:12" x14ac:dyDescent="0.25">
      <c r="A13" s="47" t="s">
        <v>83</v>
      </c>
      <c r="B13" s="68" t="str">
        <f ca="1">TEXT(TODAY(),"DD/MM/YYYY")</f>
        <v>07/08/2025</v>
      </c>
      <c r="C13" s="239" t="s">
        <v>96</v>
      </c>
      <c r="D13" s="239"/>
      <c r="E13" s="246" t="s">
        <v>365</v>
      </c>
      <c r="F13" s="246"/>
      <c r="G13" s="57"/>
      <c r="H13" s="57"/>
      <c r="I13" s="213"/>
      <c r="J13" s="213"/>
      <c r="K13" s="88"/>
      <c r="L13" s="88"/>
    </row>
    <row r="14" spans="1:12" x14ac:dyDescent="0.25">
      <c r="A14" s="215" t="s">
        <v>77</v>
      </c>
      <c r="B14" s="216"/>
      <c r="C14" s="216"/>
      <c r="D14" s="216"/>
      <c r="E14" s="216"/>
      <c r="F14" s="217"/>
      <c r="G14" s="57"/>
      <c r="H14" s="57"/>
      <c r="I14" s="87"/>
      <c r="J14" s="87"/>
      <c r="K14" s="87"/>
      <c r="L14" s="87"/>
    </row>
    <row r="15" spans="1:12" x14ac:dyDescent="0.25">
      <c r="A15" s="181" t="s">
        <v>78</v>
      </c>
      <c r="B15" s="181"/>
      <c r="C15" s="198" t="s">
        <v>286</v>
      </c>
      <c r="D15" s="198"/>
      <c r="E15" s="198"/>
      <c r="F15" s="198"/>
      <c r="G15" s="57"/>
      <c r="H15" s="57"/>
      <c r="I15" s="87"/>
      <c r="J15" s="87"/>
      <c r="K15" s="87"/>
      <c r="L15" s="87"/>
    </row>
    <row r="16" spans="1:12" x14ac:dyDescent="0.25">
      <c r="A16" s="215" t="s">
        <v>79</v>
      </c>
      <c r="B16" s="216"/>
      <c r="C16" s="216"/>
      <c r="D16" s="216"/>
      <c r="E16" s="216"/>
      <c r="F16" s="217"/>
      <c r="G16" s="57"/>
      <c r="H16" s="57"/>
      <c r="I16" s="87"/>
      <c r="J16" s="87"/>
      <c r="K16" s="87"/>
      <c r="L16" s="87"/>
    </row>
    <row r="17" spans="1:12" x14ac:dyDescent="0.25">
      <c r="A17" s="69" t="s">
        <v>69</v>
      </c>
      <c r="B17" s="218" t="s">
        <v>287</v>
      </c>
      <c r="C17" s="186"/>
      <c r="D17" s="186"/>
      <c r="E17" s="186"/>
      <c r="F17" s="187"/>
      <c r="G17" s="57"/>
      <c r="H17" s="57"/>
      <c r="J17" s="87"/>
      <c r="K17" s="87"/>
      <c r="L17" s="87"/>
    </row>
    <row r="18" spans="1:12" ht="63.75" customHeight="1" x14ac:dyDescent="0.25">
      <c r="A18" s="69" t="s">
        <v>80</v>
      </c>
      <c r="B18" s="219" t="s">
        <v>319</v>
      </c>
      <c r="C18" s="219"/>
      <c r="D18" s="69" t="s">
        <v>88</v>
      </c>
      <c r="E18" s="220" t="s">
        <v>340</v>
      </c>
      <c r="F18" s="220"/>
      <c r="G18" s="57"/>
      <c r="H18" s="57"/>
      <c r="I18" s="111" t="s">
        <v>332</v>
      </c>
      <c r="J18" s="89"/>
      <c r="K18" s="87"/>
      <c r="L18" s="87"/>
    </row>
    <row r="19" spans="1:12" x14ac:dyDescent="0.25">
      <c r="A19" s="69" t="s">
        <v>84</v>
      </c>
      <c r="B19" s="219" t="s">
        <v>288</v>
      </c>
      <c r="C19" s="219"/>
      <c r="D19" s="69" t="s">
        <v>248</v>
      </c>
      <c r="E19" s="219" t="s">
        <v>289</v>
      </c>
      <c r="F19" s="219"/>
      <c r="G19" s="57"/>
      <c r="H19" s="57"/>
      <c r="I19" s="87"/>
      <c r="J19" s="89"/>
      <c r="K19" s="87"/>
      <c r="L19" s="87"/>
    </row>
    <row r="20" spans="1:12" x14ac:dyDescent="0.25">
      <c r="A20" s="69" t="s">
        <v>249</v>
      </c>
      <c r="B20" s="219" t="s">
        <v>292</v>
      </c>
      <c r="C20" s="219"/>
      <c r="D20" s="69" t="s">
        <v>89</v>
      </c>
      <c r="E20" s="219" t="s">
        <v>290</v>
      </c>
      <c r="F20" s="219"/>
      <c r="G20" s="57"/>
      <c r="H20" s="57"/>
      <c r="I20" s="87"/>
      <c r="J20" s="89"/>
      <c r="K20" s="87"/>
      <c r="L20" s="57"/>
    </row>
    <row r="21" spans="1:12" x14ac:dyDescent="0.25">
      <c r="A21" s="69" t="s">
        <v>247</v>
      </c>
      <c r="B21" s="219" t="s">
        <v>291</v>
      </c>
      <c r="C21" s="219"/>
      <c r="D21" s="69" t="s">
        <v>90</v>
      </c>
      <c r="E21" s="219" t="s">
        <v>291</v>
      </c>
      <c r="F21" s="219"/>
      <c r="G21" s="57"/>
      <c r="H21" s="57"/>
      <c r="I21" s="87"/>
      <c r="J21" s="89"/>
      <c r="K21" s="87"/>
      <c r="L21" s="57"/>
    </row>
    <row r="22" spans="1:12" x14ac:dyDescent="0.25">
      <c r="A22" s="69" t="s">
        <v>85</v>
      </c>
      <c r="B22" s="219" t="s">
        <v>235</v>
      </c>
      <c r="C22" s="219"/>
      <c r="D22" s="69" t="s">
        <v>91</v>
      </c>
      <c r="E22" s="219" t="s">
        <v>236</v>
      </c>
      <c r="F22" s="219"/>
      <c r="G22" s="57"/>
      <c r="H22" s="57"/>
      <c r="I22" s="87"/>
      <c r="J22" s="89"/>
      <c r="K22" s="87"/>
      <c r="L22" s="57"/>
    </row>
    <row r="23" spans="1:12" x14ac:dyDescent="0.25">
      <c r="A23" s="69" t="s">
        <v>86</v>
      </c>
      <c r="B23" s="219">
        <v>400607</v>
      </c>
      <c r="C23" s="219"/>
      <c r="D23" s="69" t="s">
        <v>92</v>
      </c>
      <c r="E23" s="221" t="s">
        <v>293</v>
      </c>
      <c r="F23" s="222"/>
      <c r="G23" s="57"/>
      <c r="H23" s="57"/>
      <c r="I23" s="87"/>
      <c r="J23" s="89"/>
      <c r="K23" s="87"/>
      <c r="L23" s="57"/>
    </row>
    <row r="24" spans="1:12" x14ac:dyDescent="0.25">
      <c r="A24" s="69" t="s">
        <v>252</v>
      </c>
      <c r="B24" s="185" t="s">
        <v>294</v>
      </c>
      <c r="C24" s="186"/>
      <c r="D24" s="186"/>
      <c r="E24" s="186"/>
      <c r="F24" s="187"/>
      <c r="G24" s="57"/>
      <c r="H24" s="57"/>
      <c r="I24" s="87"/>
      <c r="J24" s="89"/>
      <c r="K24" s="87"/>
      <c r="L24" s="57"/>
    </row>
    <row r="25" spans="1:12" ht="70.5" customHeight="1" x14ac:dyDescent="0.25">
      <c r="A25" s="69" t="s">
        <v>87</v>
      </c>
      <c r="B25" s="228" t="s">
        <v>330</v>
      </c>
      <c r="C25" s="228"/>
      <c r="D25" s="69" t="s">
        <v>93</v>
      </c>
      <c r="E25" s="219" t="s">
        <v>295</v>
      </c>
      <c r="F25" s="219"/>
      <c r="G25" s="57"/>
      <c r="H25" s="57"/>
      <c r="I25" s="87"/>
      <c r="J25" s="89"/>
      <c r="K25" s="87"/>
      <c r="L25" s="57"/>
    </row>
    <row r="26" spans="1:12" x14ac:dyDescent="0.25">
      <c r="A26" s="215" t="s">
        <v>103</v>
      </c>
      <c r="B26" s="216"/>
      <c r="C26" s="216"/>
      <c r="D26" s="216"/>
      <c r="E26" s="216"/>
      <c r="F26" s="217"/>
      <c r="G26" s="57"/>
      <c r="H26" s="57"/>
      <c r="I26" s="87"/>
      <c r="J26" s="87"/>
      <c r="K26" s="87"/>
      <c r="L26" s="57"/>
    </row>
    <row r="27" spans="1:12" x14ac:dyDescent="0.25">
      <c r="A27" s="232"/>
      <c r="B27" s="233"/>
      <c r="C27" s="49" t="s">
        <v>97</v>
      </c>
      <c r="D27" s="49" t="s">
        <v>98</v>
      </c>
      <c r="E27" s="49" t="s">
        <v>99</v>
      </c>
      <c r="F27" s="49" t="s">
        <v>100</v>
      </c>
      <c r="G27" s="57"/>
      <c r="H27" s="57"/>
      <c r="I27" s="87"/>
      <c r="J27" s="87"/>
      <c r="K27" s="87"/>
      <c r="L27" s="57"/>
    </row>
    <row r="28" spans="1:12" ht="30" customHeight="1" x14ac:dyDescent="0.25">
      <c r="A28" s="232" t="s">
        <v>101</v>
      </c>
      <c r="B28" s="233"/>
      <c r="C28" s="125" t="s">
        <v>246</v>
      </c>
      <c r="D28" s="125" t="s">
        <v>246</v>
      </c>
      <c r="E28" s="125" t="s">
        <v>246</v>
      </c>
      <c r="F28" s="125" t="s">
        <v>246</v>
      </c>
      <c r="G28" s="180"/>
      <c r="H28" s="180"/>
      <c r="I28" s="87"/>
      <c r="J28" s="87"/>
      <c r="K28" s="87"/>
      <c r="L28" s="57"/>
    </row>
    <row r="29" spans="1:12" ht="30" customHeight="1" x14ac:dyDescent="0.25">
      <c r="A29" s="232" t="s">
        <v>250</v>
      </c>
      <c r="B29" s="233"/>
      <c r="C29" s="125" t="s">
        <v>341</v>
      </c>
      <c r="D29" s="125" t="s">
        <v>342</v>
      </c>
      <c r="E29" s="104" t="s">
        <v>297</v>
      </c>
      <c r="F29" s="104" t="s">
        <v>343</v>
      </c>
      <c r="G29" s="180"/>
      <c r="H29" s="180"/>
      <c r="I29" s="87"/>
      <c r="J29" s="57"/>
      <c r="K29" s="57"/>
      <c r="L29" s="57"/>
    </row>
    <row r="30" spans="1:12" ht="30" x14ac:dyDescent="0.25">
      <c r="A30" s="232" t="s">
        <v>102</v>
      </c>
      <c r="B30" s="233"/>
      <c r="C30" s="125" t="s">
        <v>341</v>
      </c>
      <c r="D30" s="125" t="s">
        <v>342</v>
      </c>
      <c r="E30" s="125" t="s">
        <v>288</v>
      </c>
      <c r="F30" s="104" t="s">
        <v>296</v>
      </c>
      <c r="G30" s="180"/>
      <c r="H30" s="180"/>
      <c r="I30" s="87"/>
      <c r="J30" s="57"/>
      <c r="K30" s="57"/>
      <c r="L30" s="57"/>
    </row>
    <row r="31" spans="1:12" x14ac:dyDescent="0.25">
      <c r="A31" s="215" t="s">
        <v>104</v>
      </c>
      <c r="B31" s="216"/>
      <c r="C31" s="216"/>
      <c r="D31" s="216"/>
      <c r="E31" s="216"/>
      <c r="F31" s="217"/>
      <c r="G31" s="180"/>
      <c r="H31" s="180"/>
      <c r="I31" s="87"/>
      <c r="J31" s="57"/>
      <c r="K31" s="57"/>
      <c r="L31" s="57"/>
    </row>
    <row r="32" spans="1:12" x14ac:dyDescent="0.25">
      <c r="A32" s="181" t="s">
        <v>105</v>
      </c>
      <c r="B32" s="181"/>
      <c r="C32" s="183" t="s">
        <v>298</v>
      </c>
      <c r="D32" s="183"/>
      <c r="E32" s="183"/>
      <c r="F32" s="183"/>
      <c r="G32" s="214" t="s">
        <v>251</v>
      </c>
      <c r="H32" s="214"/>
      <c r="I32" s="57"/>
      <c r="J32" s="57"/>
      <c r="K32" s="57"/>
      <c r="L32" s="57"/>
    </row>
    <row r="33" spans="1:12" ht="15" customHeight="1" x14ac:dyDescent="0.25">
      <c r="A33" s="181" t="s">
        <v>106</v>
      </c>
      <c r="B33" s="181"/>
      <c r="C33" s="183" t="s">
        <v>298</v>
      </c>
      <c r="D33" s="183"/>
      <c r="E33" s="183"/>
      <c r="F33" s="183"/>
      <c r="G33" s="214"/>
      <c r="H33" s="214"/>
      <c r="I33" s="57"/>
      <c r="J33" s="57"/>
      <c r="K33" s="57"/>
      <c r="L33" s="57"/>
    </row>
    <row r="34" spans="1:12" ht="15" customHeight="1" x14ac:dyDescent="0.25">
      <c r="A34" s="181" t="s">
        <v>107</v>
      </c>
      <c r="B34" s="181"/>
      <c r="C34" s="183" t="s">
        <v>288</v>
      </c>
      <c r="D34" s="183"/>
      <c r="E34" s="183"/>
      <c r="F34" s="183"/>
      <c r="G34" s="180"/>
      <c r="H34" s="180"/>
      <c r="I34" s="57"/>
      <c r="J34" s="57"/>
      <c r="K34" s="57"/>
      <c r="L34" s="57"/>
    </row>
    <row r="35" spans="1:12" x14ac:dyDescent="0.25">
      <c r="A35" s="181" t="s">
        <v>108</v>
      </c>
      <c r="B35" s="181"/>
      <c r="C35" s="229" t="str">
        <f>IF(AND(E21="Mumbai"),"Developed","Developing")</f>
        <v>Developing</v>
      </c>
      <c r="D35" s="230"/>
      <c r="E35" s="230"/>
      <c r="F35" s="231"/>
      <c r="G35" s="180"/>
      <c r="H35" s="180"/>
      <c r="I35" s="57"/>
      <c r="J35" s="57"/>
      <c r="K35" s="57"/>
      <c r="L35" s="57"/>
    </row>
    <row r="36" spans="1:12" ht="15" customHeight="1" x14ac:dyDescent="0.25">
      <c r="A36" s="181" t="s">
        <v>109</v>
      </c>
      <c r="B36" s="181"/>
      <c r="C36" s="183" t="s">
        <v>253</v>
      </c>
      <c r="D36" s="183"/>
      <c r="E36" s="183"/>
      <c r="F36" s="183"/>
      <c r="G36" s="180"/>
      <c r="H36" s="180"/>
      <c r="I36" s="57"/>
      <c r="J36" s="57"/>
      <c r="K36" s="57"/>
      <c r="L36" s="57"/>
    </row>
    <row r="37" spans="1:12" x14ac:dyDescent="0.25">
      <c r="A37" s="181" t="s">
        <v>110</v>
      </c>
      <c r="B37" s="181"/>
      <c r="C37" s="182">
        <f ca="1">E165</f>
        <v>0.83695652173913049</v>
      </c>
      <c r="D37" s="183"/>
      <c r="E37" s="183"/>
      <c r="F37" s="183"/>
      <c r="G37" s="180"/>
      <c r="H37" s="180"/>
      <c r="I37" s="57"/>
      <c r="J37" s="57"/>
      <c r="K37" s="57"/>
      <c r="L37" s="57"/>
    </row>
    <row r="38" spans="1:12" ht="15" customHeight="1" x14ac:dyDescent="0.25">
      <c r="A38" s="181" t="s">
        <v>111</v>
      </c>
      <c r="B38" s="181"/>
      <c r="C38" s="183" t="s">
        <v>254</v>
      </c>
      <c r="D38" s="183"/>
      <c r="E38" s="183"/>
      <c r="F38" s="183"/>
      <c r="G38" s="180"/>
      <c r="H38" s="180"/>
      <c r="I38" s="57"/>
      <c r="J38" s="57"/>
      <c r="K38" s="57"/>
      <c r="L38" s="57"/>
    </row>
    <row r="39" spans="1:12" x14ac:dyDescent="0.25">
      <c r="A39" s="181" t="s">
        <v>112</v>
      </c>
      <c r="B39" s="181"/>
      <c r="C39" s="183" t="s">
        <v>254</v>
      </c>
      <c r="D39" s="183"/>
      <c r="E39" s="183"/>
      <c r="F39" s="183"/>
      <c r="G39" s="180"/>
      <c r="H39" s="180"/>
      <c r="I39" s="57"/>
      <c r="J39" s="57"/>
      <c r="K39" s="57"/>
      <c r="L39" s="57"/>
    </row>
    <row r="40" spans="1:12" x14ac:dyDescent="0.25">
      <c r="A40" s="181" t="s">
        <v>113</v>
      </c>
      <c r="B40" s="181"/>
      <c r="C40" s="183" t="s">
        <v>344</v>
      </c>
      <c r="D40" s="183"/>
      <c r="E40" s="183"/>
      <c r="F40" s="183"/>
      <c r="G40" s="180"/>
      <c r="H40" s="180"/>
      <c r="I40" s="57"/>
      <c r="J40" s="57"/>
      <c r="K40" s="57"/>
      <c r="L40" s="57"/>
    </row>
    <row r="41" spans="1:12" x14ac:dyDescent="0.25">
      <c r="A41" s="215" t="s">
        <v>115</v>
      </c>
      <c r="B41" s="216"/>
      <c r="C41" s="216"/>
      <c r="D41" s="216"/>
      <c r="E41" s="216"/>
      <c r="F41" s="217"/>
      <c r="G41" s="180"/>
      <c r="H41" s="180"/>
      <c r="I41" s="57"/>
      <c r="J41" s="57"/>
      <c r="K41" s="57"/>
      <c r="L41" s="57"/>
    </row>
    <row r="42" spans="1:12" x14ac:dyDescent="0.25">
      <c r="A42" s="200" t="s">
        <v>116</v>
      </c>
      <c r="B42" s="201"/>
      <c r="C42" s="181" t="s">
        <v>114</v>
      </c>
      <c r="D42" s="181"/>
      <c r="E42" s="181"/>
      <c r="F42" s="181"/>
      <c r="G42" s="203">
        <f>C45/C44</f>
        <v>3.7745206605705071</v>
      </c>
      <c r="H42" s="203"/>
      <c r="I42" s="57"/>
      <c r="J42" s="57"/>
      <c r="K42" s="57"/>
      <c r="L42" s="57"/>
    </row>
    <row r="43" spans="1:12" x14ac:dyDescent="0.25">
      <c r="A43" s="200" t="s">
        <v>117</v>
      </c>
      <c r="B43" s="201"/>
      <c r="C43" s="227">
        <v>345608.62</v>
      </c>
      <c r="D43" s="227"/>
      <c r="E43" s="227"/>
      <c r="F43" s="227"/>
      <c r="G43" s="204">
        <v>345608.62</v>
      </c>
      <c r="H43" s="204"/>
      <c r="I43" s="105">
        <v>14936.18</v>
      </c>
      <c r="J43" s="57"/>
      <c r="K43" s="57"/>
      <c r="L43" s="57"/>
    </row>
    <row r="44" spans="1:12" x14ac:dyDescent="0.25">
      <c r="A44" s="200" t="s">
        <v>331</v>
      </c>
      <c r="B44" s="201"/>
      <c r="C44" s="198">
        <v>14936.18</v>
      </c>
      <c r="D44" s="198"/>
      <c r="E44" s="198"/>
      <c r="F44" s="198"/>
      <c r="G44" s="180"/>
      <c r="H44" s="180"/>
      <c r="I44" s="57"/>
      <c r="J44" s="57"/>
      <c r="K44" s="57"/>
      <c r="L44" s="57"/>
    </row>
    <row r="45" spans="1:12" x14ac:dyDescent="0.25">
      <c r="A45" s="200" t="s">
        <v>348</v>
      </c>
      <c r="B45" s="201"/>
      <c r="C45" s="198">
        <v>56376.92</v>
      </c>
      <c r="D45" s="198"/>
      <c r="E45" s="198"/>
      <c r="F45" s="198"/>
      <c r="G45" s="199">
        <f>C45/C44</f>
        <v>3.7745206605705071</v>
      </c>
      <c r="H45" s="199"/>
      <c r="I45" s="57">
        <f>18052.19/I43</f>
        <v>1.2086216154331293</v>
      </c>
      <c r="J45" s="57"/>
      <c r="K45" s="57"/>
      <c r="L45" s="57"/>
    </row>
    <row r="46" spans="1:12" x14ac:dyDescent="0.25">
      <c r="A46" s="200" t="s">
        <v>336</v>
      </c>
      <c r="B46" s="201"/>
      <c r="C46" s="198">
        <v>18052.189999999999</v>
      </c>
      <c r="D46" s="198"/>
      <c r="E46" s="198"/>
      <c r="F46" s="198"/>
      <c r="G46" s="180"/>
      <c r="H46" s="180"/>
      <c r="I46" s="57" t="e">
        <f>18052.19/I44</f>
        <v>#DIV/0!</v>
      </c>
      <c r="J46" s="57"/>
      <c r="K46" s="57"/>
      <c r="L46" s="57"/>
    </row>
    <row r="47" spans="1:12" x14ac:dyDescent="0.25">
      <c r="A47" s="200" t="s">
        <v>118</v>
      </c>
      <c r="B47" s="201"/>
      <c r="C47" s="198">
        <v>18052.189999999999</v>
      </c>
      <c r="D47" s="198"/>
      <c r="E47" s="198"/>
      <c r="F47" s="198"/>
      <c r="G47" s="180"/>
      <c r="H47" s="180"/>
      <c r="I47" s="57">
        <v>18052.189999999999</v>
      </c>
      <c r="J47" s="57"/>
      <c r="K47" s="57"/>
      <c r="L47" s="57"/>
    </row>
    <row r="48" spans="1:12" hidden="1" x14ac:dyDescent="0.25">
      <c r="A48" s="200" t="s">
        <v>119</v>
      </c>
      <c r="B48" s="201"/>
      <c r="C48" s="198" t="s">
        <v>299</v>
      </c>
      <c r="D48" s="198"/>
      <c r="E48" s="198"/>
      <c r="F48" s="198"/>
      <c r="G48" s="180"/>
      <c r="H48" s="180"/>
      <c r="I48" s="57"/>
      <c r="J48" s="57"/>
      <c r="K48" s="57"/>
      <c r="L48" s="57"/>
    </row>
    <row r="49" spans="1:14" x14ac:dyDescent="0.25">
      <c r="A49" s="200" t="s">
        <v>120</v>
      </c>
      <c r="B49" s="201"/>
      <c r="C49" s="198">
        <f>674.04+6370</f>
        <v>7044.04</v>
      </c>
      <c r="D49" s="198"/>
      <c r="E49" s="198"/>
      <c r="F49" s="198"/>
      <c r="G49" s="180"/>
      <c r="H49" s="180"/>
      <c r="I49" s="57"/>
      <c r="J49" s="57"/>
      <c r="K49" s="57"/>
      <c r="L49" s="57"/>
    </row>
    <row r="50" spans="1:14" hidden="1" x14ac:dyDescent="0.25">
      <c r="A50" s="200" t="s">
        <v>121</v>
      </c>
      <c r="B50" s="201"/>
      <c r="C50" s="198" t="s">
        <v>299</v>
      </c>
      <c r="D50" s="198"/>
      <c r="E50" s="198"/>
      <c r="F50" s="198"/>
      <c r="G50" s="180"/>
      <c r="H50" s="180"/>
      <c r="I50" s="57"/>
      <c r="J50" s="57"/>
      <c r="K50" s="57"/>
      <c r="L50" s="57"/>
    </row>
    <row r="51" spans="1:14" x14ac:dyDescent="0.25">
      <c r="A51" s="200" t="s">
        <v>122</v>
      </c>
      <c r="B51" s="201"/>
      <c r="C51" s="227">
        <v>1632.5</v>
      </c>
      <c r="D51" s="227"/>
      <c r="E51" s="227"/>
      <c r="F51" s="227"/>
      <c r="G51" s="180"/>
      <c r="H51" s="180"/>
      <c r="I51" s="57"/>
      <c r="J51" s="57"/>
      <c r="K51" s="57"/>
      <c r="L51" s="57"/>
    </row>
    <row r="52" spans="1:14" x14ac:dyDescent="0.25">
      <c r="A52" s="200" t="s">
        <v>300</v>
      </c>
      <c r="B52" s="201"/>
      <c r="C52" s="227">
        <v>475.78</v>
      </c>
      <c r="D52" s="227"/>
      <c r="E52" s="227"/>
      <c r="F52" s="227"/>
      <c r="G52" s="180"/>
      <c r="H52" s="180"/>
      <c r="I52" s="57"/>
      <c r="J52" s="57"/>
      <c r="K52" s="57"/>
      <c r="L52" s="57"/>
    </row>
    <row r="53" spans="1:14" x14ac:dyDescent="0.25">
      <c r="A53" s="294" t="s">
        <v>123</v>
      </c>
      <c r="B53" s="294"/>
      <c r="C53" s="294"/>
      <c r="D53" s="294"/>
      <c r="E53" s="294"/>
      <c r="F53" s="294"/>
      <c r="G53" s="180"/>
      <c r="H53" s="180"/>
      <c r="I53" s="57"/>
      <c r="J53" s="57"/>
      <c r="K53" s="57"/>
      <c r="L53" s="57"/>
    </row>
    <row r="54" spans="1:14" x14ac:dyDescent="0.25">
      <c r="A54" s="181" t="s">
        <v>124</v>
      </c>
      <c r="B54" s="181"/>
      <c r="C54" s="202">
        <v>1.1000000000000001</v>
      </c>
      <c r="D54" s="202"/>
      <c r="E54" s="202"/>
      <c r="F54" s="202"/>
      <c r="G54" s="180"/>
      <c r="H54" s="180"/>
      <c r="I54" s="57">
        <f>16429.8/14936.18</f>
        <v>1.1000001339030461</v>
      </c>
      <c r="J54" s="57"/>
      <c r="K54" s="57"/>
      <c r="L54" s="57"/>
    </row>
    <row r="55" spans="1:14" hidden="1" x14ac:dyDescent="0.25">
      <c r="A55" s="181" t="s">
        <v>125</v>
      </c>
      <c r="B55" s="181"/>
      <c r="C55" s="211" t="s">
        <v>299</v>
      </c>
      <c r="D55" s="211"/>
      <c r="E55" s="211"/>
      <c r="F55" s="211"/>
      <c r="G55" s="180"/>
      <c r="H55" s="180"/>
      <c r="I55" s="57"/>
      <c r="J55" s="57"/>
      <c r="K55" s="57"/>
      <c r="L55" s="57"/>
    </row>
    <row r="56" spans="1:14" hidden="1" x14ac:dyDescent="0.25">
      <c r="A56" s="181" t="s">
        <v>2</v>
      </c>
      <c r="B56" s="181"/>
      <c r="C56" s="211" t="s">
        <v>299</v>
      </c>
      <c r="D56" s="211"/>
      <c r="E56" s="211"/>
      <c r="F56" s="211"/>
      <c r="G56" s="180"/>
      <c r="H56" s="180"/>
      <c r="I56" s="57"/>
      <c r="J56" s="57"/>
      <c r="K56" s="57"/>
      <c r="L56" s="57"/>
    </row>
    <row r="57" spans="1:14" x14ac:dyDescent="0.25">
      <c r="A57" s="181" t="s">
        <v>126</v>
      </c>
      <c r="B57" s="181"/>
      <c r="C57" s="202">
        <f>7751.16/C44</f>
        <v>0.51895196763831175</v>
      </c>
      <c r="D57" s="202"/>
      <c r="E57" s="202"/>
      <c r="F57" s="202"/>
      <c r="G57" s="180"/>
      <c r="H57" s="180"/>
      <c r="I57" s="57"/>
      <c r="J57" s="57"/>
      <c r="K57" s="57"/>
      <c r="L57" s="57"/>
    </row>
    <row r="58" spans="1:14" x14ac:dyDescent="0.25">
      <c r="A58" s="181" t="s">
        <v>350</v>
      </c>
      <c r="B58" s="181"/>
      <c r="C58" s="202">
        <f>10990/C44</f>
        <v>0.73579723865138202</v>
      </c>
      <c r="D58" s="202"/>
      <c r="E58" s="202"/>
      <c r="F58" s="202"/>
      <c r="G58" s="180"/>
      <c r="H58" s="180"/>
      <c r="I58" s="57"/>
      <c r="J58" s="57"/>
      <c r="K58" s="57"/>
      <c r="L58" s="57"/>
    </row>
    <row r="59" spans="1:14" x14ac:dyDescent="0.25">
      <c r="A59" s="181" t="s">
        <v>349</v>
      </c>
      <c r="B59" s="181"/>
      <c r="C59" s="202">
        <f>21205.96/C44</f>
        <v>1.4197713203777671</v>
      </c>
      <c r="D59" s="202"/>
      <c r="E59" s="202"/>
      <c r="F59" s="202"/>
      <c r="G59" s="180"/>
      <c r="H59" s="180"/>
      <c r="I59" s="57"/>
      <c r="J59" s="57"/>
      <c r="K59" s="57"/>
      <c r="L59" s="57"/>
    </row>
    <row r="60" spans="1:14" x14ac:dyDescent="0.25">
      <c r="A60" s="181" t="s">
        <v>127</v>
      </c>
      <c r="B60" s="181"/>
      <c r="C60" s="202">
        <f>SUM(C54:F59)</f>
        <v>3.7745205266674606</v>
      </c>
      <c r="D60" s="202"/>
      <c r="E60" s="202"/>
      <c r="F60" s="202"/>
      <c r="G60" s="180"/>
      <c r="H60" s="180"/>
      <c r="I60" s="57"/>
      <c r="J60" s="57"/>
      <c r="K60" s="57"/>
      <c r="L60" s="57"/>
    </row>
    <row r="61" spans="1:14" x14ac:dyDescent="0.25">
      <c r="A61" s="181" t="s">
        <v>128</v>
      </c>
      <c r="B61" s="181"/>
      <c r="C61" s="198" t="s">
        <v>299</v>
      </c>
      <c r="D61" s="198"/>
      <c r="E61" s="198"/>
      <c r="F61" s="198"/>
      <c r="G61" s="180"/>
      <c r="H61" s="180"/>
      <c r="I61" s="57"/>
      <c r="J61" s="57"/>
      <c r="K61" s="57"/>
      <c r="L61" s="57"/>
    </row>
    <row r="62" spans="1:14" x14ac:dyDescent="0.25">
      <c r="A62" s="302"/>
      <c r="B62" s="302"/>
      <c r="C62" s="302"/>
      <c r="D62" s="302"/>
      <c r="E62" s="302"/>
      <c r="F62" s="302"/>
      <c r="G62" s="57"/>
      <c r="H62" s="57"/>
      <c r="I62" s="57"/>
      <c r="J62" s="57"/>
      <c r="K62" s="57"/>
      <c r="L62" s="57"/>
      <c r="M62" s="57"/>
      <c r="N62" s="57"/>
    </row>
    <row r="63" spans="1:14" x14ac:dyDescent="0.25">
      <c r="A63" s="181" t="s">
        <v>129</v>
      </c>
      <c r="B63" s="181"/>
      <c r="C63" s="198" t="s">
        <v>334</v>
      </c>
      <c r="D63" s="198"/>
      <c r="E63" s="198"/>
      <c r="F63" s="198"/>
      <c r="G63" s="180"/>
      <c r="H63" s="180"/>
      <c r="I63" s="90"/>
      <c r="J63" s="90"/>
      <c r="K63" s="87"/>
      <c r="L63" s="87"/>
      <c r="M63" s="57"/>
      <c r="N63" s="57"/>
    </row>
    <row r="64" spans="1:14" x14ac:dyDescent="0.25">
      <c r="A64" s="181" t="s">
        <v>130</v>
      </c>
      <c r="B64" s="181"/>
      <c r="C64" s="198" t="s">
        <v>329</v>
      </c>
      <c r="D64" s="198"/>
      <c r="E64" s="198"/>
      <c r="F64" s="198"/>
      <c r="G64" s="180"/>
      <c r="H64" s="180"/>
      <c r="I64" s="87"/>
      <c r="J64" s="87"/>
      <c r="K64" s="87"/>
      <c r="L64" s="87"/>
      <c r="M64" s="57"/>
      <c r="N64" s="57"/>
    </row>
    <row r="65" spans="1:14" x14ac:dyDescent="0.25">
      <c r="A65" s="181" t="s">
        <v>131</v>
      </c>
      <c r="B65" s="181"/>
      <c r="C65" s="303" t="s">
        <v>328</v>
      </c>
      <c r="D65" s="303"/>
      <c r="E65" s="303"/>
      <c r="F65" s="303"/>
      <c r="G65" s="180"/>
      <c r="H65" s="180"/>
      <c r="I65" s="87"/>
      <c r="J65" s="87"/>
      <c r="K65" s="87"/>
      <c r="L65" s="87"/>
      <c r="M65" s="57"/>
      <c r="N65" s="57"/>
    </row>
    <row r="66" spans="1:14" x14ac:dyDescent="0.25">
      <c r="A66" s="206" t="s">
        <v>132</v>
      </c>
      <c r="B66" s="207"/>
      <c r="C66" s="207"/>
      <c r="D66" s="207"/>
      <c r="E66" s="207"/>
      <c r="F66" s="208"/>
      <c r="G66" s="180"/>
      <c r="H66" s="180"/>
      <c r="I66" s="87"/>
      <c r="J66" s="87"/>
      <c r="K66" s="87"/>
      <c r="L66" s="87"/>
      <c r="M66" s="57"/>
      <c r="N66" s="57"/>
    </row>
    <row r="67" spans="1:14" ht="39" customHeight="1" x14ac:dyDescent="0.25">
      <c r="A67" s="125"/>
      <c r="B67" s="49" t="s">
        <v>301</v>
      </c>
      <c r="C67" s="49" t="s">
        <v>133</v>
      </c>
      <c r="D67" s="49" t="s">
        <v>138</v>
      </c>
      <c r="E67" s="49" t="s">
        <v>134</v>
      </c>
      <c r="F67" s="49" t="s">
        <v>137</v>
      </c>
      <c r="G67" s="91"/>
      <c r="H67" s="91"/>
      <c r="I67" s="91"/>
      <c r="J67" s="91"/>
      <c r="K67" s="91"/>
      <c r="L67" s="91"/>
      <c r="M67" s="91" t="str">
        <f t="shared" ref="M67" si="0">PROPER(G67)</f>
        <v/>
      </c>
      <c r="N67" s="57"/>
    </row>
    <row r="68" spans="1:14" ht="30" x14ac:dyDescent="0.25">
      <c r="A68" s="49" t="s">
        <v>135</v>
      </c>
      <c r="B68" s="125" t="s">
        <v>302</v>
      </c>
      <c r="C68" s="125" t="s">
        <v>303</v>
      </c>
      <c r="D68" s="104" t="s">
        <v>305</v>
      </c>
      <c r="E68" s="104" t="s">
        <v>306</v>
      </c>
      <c r="F68" s="125" t="s">
        <v>307</v>
      </c>
      <c r="G68" s="91"/>
      <c r="H68" s="87"/>
      <c r="I68" s="87"/>
      <c r="J68" s="87"/>
      <c r="K68" s="87"/>
      <c r="L68" s="87"/>
      <c r="M68" s="87"/>
      <c r="N68" s="57"/>
    </row>
    <row r="69" spans="1:14" ht="36" x14ac:dyDescent="0.25">
      <c r="A69" s="49" t="s">
        <v>136</v>
      </c>
      <c r="B69" s="125" t="s">
        <v>237</v>
      </c>
      <c r="C69" s="125" t="s">
        <v>304</v>
      </c>
      <c r="D69" s="125" t="s">
        <v>304</v>
      </c>
      <c r="E69" s="125" t="s">
        <v>238</v>
      </c>
      <c r="F69" s="125" t="s">
        <v>308</v>
      </c>
      <c r="G69" s="91"/>
      <c r="H69" s="87"/>
      <c r="I69" s="87"/>
      <c r="J69" s="87"/>
      <c r="K69" s="87"/>
      <c r="L69" s="87"/>
      <c r="M69" s="92"/>
    </row>
    <row r="70" spans="1:14" x14ac:dyDescent="0.25">
      <c r="A70" s="305" t="s">
        <v>139</v>
      </c>
      <c r="B70" s="306"/>
      <c r="C70" s="306"/>
      <c r="D70" s="306"/>
      <c r="E70" s="306"/>
      <c r="F70" s="307"/>
      <c r="G70" s="91"/>
      <c r="H70" s="87"/>
      <c r="I70" s="87"/>
      <c r="J70" s="87"/>
      <c r="K70" s="87"/>
      <c r="L70" s="87"/>
      <c r="M70" s="92"/>
    </row>
    <row r="71" spans="1:14" ht="36" x14ac:dyDescent="0.25">
      <c r="A71" s="125"/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91"/>
      <c r="H71" s="91"/>
      <c r="I71" s="91"/>
      <c r="J71" s="91"/>
      <c r="K71" s="91"/>
      <c r="L71" s="91"/>
      <c r="M71" s="92"/>
    </row>
    <row r="72" spans="1:14" ht="25.5" customHeight="1" x14ac:dyDescent="0.25">
      <c r="A72" s="49" t="s">
        <v>145</v>
      </c>
      <c r="B72" s="96" t="s">
        <v>279</v>
      </c>
      <c r="C72" s="96" t="s">
        <v>239</v>
      </c>
      <c r="D72" s="96" t="s">
        <v>239</v>
      </c>
      <c r="E72" s="96" t="s">
        <v>239</v>
      </c>
      <c r="F72" s="96" t="s">
        <v>239</v>
      </c>
      <c r="G72" s="91"/>
      <c r="H72" s="91"/>
      <c r="I72" s="91"/>
      <c r="J72" s="91"/>
      <c r="K72" s="91"/>
      <c r="L72" s="91"/>
      <c r="M72" s="92"/>
    </row>
    <row r="73" spans="1:14" ht="42.75" customHeight="1" x14ac:dyDescent="0.25">
      <c r="A73" s="125"/>
      <c r="B73" s="49" t="s">
        <v>146</v>
      </c>
      <c r="C73" s="49" t="s">
        <v>147</v>
      </c>
      <c r="D73" s="49" t="s">
        <v>148</v>
      </c>
      <c r="E73" s="49" t="s">
        <v>149</v>
      </c>
      <c r="F73" s="49" t="s">
        <v>150</v>
      </c>
      <c r="G73" s="91"/>
      <c r="H73" s="91"/>
      <c r="I73" s="91"/>
      <c r="J73" s="91"/>
      <c r="K73" s="91"/>
      <c r="L73" s="91"/>
      <c r="M73" s="92"/>
    </row>
    <row r="74" spans="1:14" x14ac:dyDescent="0.25">
      <c r="A74" s="49" t="s">
        <v>145</v>
      </c>
      <c r="B74" s="96" t="s">
        <v>239</v>
      </c>
      <c r="C74" s="96" t="s">
        <v>239</v>
      </c>
      <c r="D74" s="96" t="s">
        <v>239</v>
      </c>
      <c r="E74" s="96" t="s">
        <v>239</v>
      </c>
      <c r="F74" s="96" t="s">
        <v>239</v>
      </c>
      <c r="G74" s="91"/>
      <c r="H74" s="91"/>
      <c r="I74" s="91"/>
      <c r="J74" s="91"/>
      <c r="K74" s="91"/>
      <c r="L74" s="91"/>
      <c r="M74" s="92"/>
    </row>
    <row r="75" spans="1:14" hidden="1" x14ac:dyDescent="0.25">
      <c r="A75" s="46" t="s">
        <v>3</v>
      </c>
      <c r="B75" s="124"/>
      <c r="C75" s="124"/>
      <c r="D75" s="124"/>
      <c r="E75" s="124"/>
      <c r="F75" s="124"/>
      <c r="G75" s="91"/>
      <c r="H75" s="91"/>
      <c r="I75" s="91"/>
      <c r="J75" s="91"/>
      <c r="K75" s="91"/>
      <c r="L75" s="91"/>
      <c r="M75" s="92"/>
    </row>
    <row r="76" spans="1:14" x14ac:dyDescent="0.25">
      <c r="A76" s="125"/>
      <c r="B76" s="49" t="s">
        <v>151</v>
      </c>
      <c r="C76" s="49" t="s">
        <v>152</v>
      </c>
      <c r="D76" s="49" t="s">
        <v>153</v>
      </c>
      <c r="E76" s="49" t="s">
        <v>154</v>
      </c>
      <c r="F76" s="49" t="s">
        <v>155</v>
      </c>
      <c r="G76" s="91"/>
      <c r="H76" s="91"/>
      <c r="I76" s="91"/>
      <c r="J76" s="91"/>
      <c r="K76" s="91"/>
      <c r="L76" s="91"/>
      <c r="M76" s="92"/>
    </row>
    <row r="77" spans="1:14" x14ac:dyDescent="0.25">
      <c r="A77" s="49" t="s">
        <v>145</v>
      </c>
      <c r="B77" s="96" t="s">
        <v>239</v>
      </c>
      <c r="C77" s="96" t="s">
        <v>239</v>
      </c>
      <c r="D77" s="96" t="s">
        <v>239</v>
      </c>
      <c r="E77" s="96" t="s">
        <v>239</v>
      </c>
      <c r="F77" s="96" t="s">
        <v>239</v>
      </c>
      <c r="G77" s="91"/>
      <c r="H77" s="91"/>
      <c r="I77" s="91"/>
      <c r="J77" s="91"/>
      <c r="K77" s="91"/>
      <c r="L77" s="91"/>
      <c r="M77" s="92"/>
    </row>
    <row r="78" spans="1:14" hidden="1" x14ac:dyDescent="0.25">
      <c r="A78" s="46" t="s">
        <v>3</v>
      </c>
      <c r="B78" s="124"/>
      <c r="C78" s="124"/>
      <c r="D78" s="124"/>
      <c r="E78" s="124"/>
      <c r="F78" s="124"/>
      <c r="G78" s="91"/>
      <c r="H78" s="87"/>
      <c r="I78" s="87"/>
      <c r="J78" s="87"/>
      <c r="K78" s="87"/>
      <c r="L78" s="87"/>
      <c r="M78" s="92"/>
    </row>
    <row r="79" spans="1:14" x14ac:dyDescent="0.25">
      <c r="A79" s="188"/>
      <c r="B79" s="189"/>
      <c r="C79" s="189"/>
      <c r="D79" s="189"/>
      <c r="E79" s="189"/>
      <c r="F79" s="190"/>
      <c r="G79" s="91"/>
      <c r="H79" s="87"/>
      <c r="I79" s="87"/>
      <c r="J79" s="87"/>
      <c r="K79" s="87"/>
      <c r="L79" s="87"/>
      <c r="M79" s="92"/>
    </row>
    <row r="80" spans="1:14" ht="36" customHeight="1" x14ac:dyDescent="0.25">
      <c r="A80" s="46" t="s">
        <v>156</v>
      </c>
      <c r="B80" s="308" t="s">
        <v>309</v>
      </c>
      <c r="C80" s="309"/>
      <c r="D80" s="309"/>
      <c r="E80" s="309"/>
      <c r="F80" s="310"/>
      <c r="G80" s="91"/>
      <c r="H80" s="87"/>
      <c r="I80" s="87"/>
      <c r="J80" s="87"/>
      <c r="K80" s="87"/>
      <c r="L80" s="87"/>
      <c r="M80" s="92"/>
    </row>
    <row r="81" spans="1:12" x14ac:dyDescent="0.25">
      <c r="A81" s="206" t="s">
        <v>157</v>
      </c>
      <c r="B81" s="207"/>
      <c r="C81" s="207"/>
      <c r="D81" s="207"/>
      <c r="E81" s="207"/>
      <c r="F81" s="208"/>
      <c r="G81" s="91"/>
      <c r="H81" s="57"/>
      <c r="I81" s="57"/>
      <c r="J81" s="57"/>
      <c r="K81" s="57"/>
      <c r="L81" s="57"/>
    </row>
    <row r="82" spans="1:12" ht="27" customHeight="1" x14ac:dyDescent="0.25">
      <c r="A82" s="46" t="s">
        <v>169</v>
      </c>
      <c r="B82" s="240" t="str">
        <f>C32</f>
        <v xml:space="preserve">Thane Municipal Corporation, Thane
</v>
      </c>
      <c r="C82" s="240"/>
      <c r="D82" s="240"/>
      <c r="E82" s="240"/>
      <c r="F82" s="240"/>
      <c r="G82" s="91"/>
      <c r="H82" s="87"/>
      <c r="I82" s="87"/>
      <c r="J82" s="87"/>
      <c r="K82" s="87"/>
      <c r="L82" s="87"/>
    </row>
    <row r="83" spans="1:12" ht="31.5" customHeight="1" x14ac:dyDescent="0.25">
      <c r="A83" s="49" t="s">
        <v>158</v>
      </c>
      <c r="B83" s="49" t="s">
        <v>170</v>
      </c>
      <c r="C83" s="49" t="s">
        <v>171</v>
      </c>
      <c r="D83" s="200" t="s">
        <v>172</v>
      </c>
      <c r="E83" s="304"/>
      <c r="F83" s="201"/>
      <c r="G83" s="91"/>
      <c r="H83" s="91"/>
      <c r="I83" s="91"/>
      <c r="J83" s="180"/>
      <c r="K83" s="180"/>
      <c r="L83" s="180"/>
    </row>
    <row r="84" spans="1:12" ht="31.5" customHeight="1" x14ac:dyDescent="0.25">
      <c r="A84" s="49" t="s">
        <v>159</v>
      </c>
      <c r="B84" s="99" t="s">
        <v>310</v>
      </c>
      <c r="C84" s="99" t="s">
        <v>311</v>
      </c>
      <c r="D84" s="191" t="s">
        <v>312</v>
      </c>
      <c r="E84" s="192"/>
      <c r="F84" s="193"/>
      <c r="G84" s="91"/>
      <c r="H84" s="87"/>
      <c r="I84" s="87"/>
      <c r="J84" s="87"/>
      <c r="K84" s="87"/>
      <c r="L84" s="87"/>
    </row>
    <row r="85" spans="1:12" ht="31.5" customHeight="1" x14ac:dyDescent="0.25">
      <c r="A85" s="49" t="s">
        <v>160</v>
      </c>
      <c r="B85" s="99" t="s">
        <v>310</v>
      </c>
      <c r="C85" s="99" t="s">
        <v>311</v>
      </c>
      <c r="D85" s="191" t="s">
        <v>312</v>
      </c>
      <c r="E85" s="192"/>
      <c r="F85" s="193"/>
      <c r="G85" s="91"/>
      <c r="H85" s="87"/>
      <c r="I85" s="87"/>
      <c r="J85" s="87"/>
      <c r="K85" s="87"/>
      <c r="L85" s="87"/>
    </row>
    <row r="86" spans="1:12" ht="29.1" customHeight="1" x14ac:dyDescent="0.25">
      <c r="A86" s="194" t="s">
        <v>161</v>
      </c>
      <c r="B86" s="196" t="s">
        <v>310</v>
      </c>
      <c r="C86" s="196" t="s">
        <v>311</v>
      </c>
      <c r="D86" s="191" t="s">
        <v>345</v>
      </c>
      <c r="E86" s="192"/>
      <c r="F86" s="193"/>
      <c r="G86" s="91"/>
      <c r="H86" s="87"/>
      <c r="I86" s="87"/>
      <c r="J86" s="87"/>
      <c r="K86" s="87"/>
      <c r="L86" s="87"/>
    </row>
    <row r="87" spans="1:12" ht="33" customHeight="1" x14ac:dyDescent="0.25">
      <c r="A87" s="195"/>
      <c r="B87" s="197"/>
      <c r="C87" s="197"/>
      <c r="D87" s="191" t="s">
        <v>351</v>
      </c>
      <c r="E87" s="192"/>
      <c r="F87" s="193"/>
      <c r="G87" s="91"/>
      <c r="H87" s="87"/>
      <c r="I87" s="87"/>
      <c r="J87" s="87"/>
      <c r="K87" s="87"/>
      <c r="L87" s="87"/>
    </row>
    <row r="88" spans="1:12" ht="44.25" customHeight="1" x14ac:dyDescent="0.25">
      <c r="A88" s="49" t="s">
        <v>162</v>
      </c>
      <c r="B88" s="99" t="s">
        <v>313</v>
      </c>
      <c r="C88" s="99" t="s">
        <v>246</v>
      </c>
      <c r="D88" s="295" t="s">
        <v>246</v>
      </c>
      <c r="E88" s="296"/>
      <c r="F88" s="297"/>
      <c r="G88" s="91"/>
      <c r="H88" s="87"/>
      <c r="I88" s="87"/>
      <c r="J88" s="87"/>
      <c r="K88" s="87"/>
      <c r="L88" s="57"/>
    </row>
    <row r="89" spans="1:12" ht="35.450000000000003" customHeight="1" x14ac:dyDescent="0.25">
      <c r="A89" s="49" t="s">
        <v>163</v>
      </c>
      <c r="B89" s="99" t="s">
        <v>313</v>
      </c>
      <c r="C89" s="99" t="s">
        <v>246</v>
      </c>
      <c r="D89" s="295" t="s">
        <v>246</v>
      </c>
      <c r="E89" s="296"/>
      <c r="F89" s="297"/>
      <c r="G89" s="91"/>
      <c r="H89" s="87"/>
      <c r="I89" s="87"/>
      <c r="J89" s="87"/>
      <c r="K89" s="87"/>
      <c r="L89" s="57"/>
    </row>
    <row r="90" spans="1:12" ht="29.1" customHeight="1" x14ac:dyDescent="0.25">
      <c r="A90" s="49" t="s">
        <v>164</v>
      </c>
      <c r="B90" s="99" t="s">
        <v>313</v>
      </c>
      <c r="C90" s="99" t="s">
        <v>246</v>
      </c>
      <c r="D90" s="295" t="s">
        <v>246</v>
      </c>
      <c r="E90" s="296"/>
      <c r="F90" s="297"/>
      <c r="G90" s="91"/>
      <c r="H90" s="87"/>
      <c r="I90" s="87"/>
      <c r="J90" s="87"/>
      <c r="K90" s="87"/>
      <c r="L90" s="57"/>
    </row>
    <row r="91" spans="1:12" ht="29.45" customHeight="1" x14ac:dyDescent="0.25">
      <c r="A91" s="49" t="s">
        <v>165</v>
      </c>
      <c r="B91" s="99" t="s">
        <v>313</v>
      </c>
      <c r="C91" s="99" t="s">
        <v>246</v>
      </c>
      <c r="D91" s="295" t="s">
        <v>246</v>
      </c>
      <c r="E91" s="296"/>
      <c r="F91" s="297"/>
      <c r="G91" s="91"/>
      <c r="H91" s="87"/>
      <c r="I91" s="87"/>
      <c r="J91" s="87"/>
      <c r="K91" s="87"/>
      <c r="L91" s="57"/>
    </row>
    <row r="92" spans="1:12" ht="29.45" customHeight="1" x14ac:dyDescent="0.25">
      <c r="A92" s="49" t="s">
        <v>255</v>
      </c>
      <c r="B92" s="99" t="s">
        <v>314</v>
      </c>
      <c r="C92" s="99" t="s">
        <v>246</v>
      </c>
      <c r="D92" s="298" t="s">
        <v>315</v>
      </c>
      <c r="E92" s="299"/>
      <c r="F92" s="300"/>
      <c r="G92" s="91"/>
      <c r="H92" s="87"/>
      <c r="I92" s="87"/>
      <c r="J92" s="87"/>
      <c r="K92" s="87"/>
      <c r="L92" s="57"/>
    </row>
    <row r="93" spans="1:12" ht="31.5" customHeight="1" x14ac:dyDescent="0.25">
      <c r="A93" s="49" t="s">
        <v>256</v>
      </c>
      <c r="B93" s="99" t="s">
        <v>310</v>
      </c>
      <c r="C93" s="99" t="s">
        <v>246</v>
      </c>
      <c r="D93" s="298" t="s">
        <v>338</v>
      </c>
      <c r="E93" s="299"/>
      <c r="F93" s="300"/>
      <c r="G93" s="91"/>
      <c r="H93" s="87"/>
      <c r="I93" s="87"/>
      <c r="J93" s="87"/>
      <c r="K93" s="87"/>
      <c r="L93" s="57"/>
    </row>
    <row r="94" spans="1:12" ht="40.5" customHeight="1" x14ac:dyDescent="0.25">
      <c r="A94" s="49" t="s">
        <v>257</v>
      </c>
      <c r="B94" s="99" t="s">
        <v>313</v>
      </c>
      <c r="C94" s="99" t="s">
        <v>246</v>
      </c>
      <c r="D94" s="295" t="s">
        <v>246</v>
      </c>
      <c r="E94" s="296"/>
      <c r="F94" s="297"/>
      <c r="G94" s="91"/>
      <c r="H94" s="87"/>
      <c r="I94" s="87"/>
      <c r="J94" s="87"/>
      <c r="K94" s="87"/>
      <c r="L94" s="57"/>
    </row>
    <row r="95" spans="1:12" ht="31.5" customHeight="1" x14ac:dyDescent="0.25">
      <c r="A95" s="49" t="s">
        <v>166</v>
      </c>
      <c r="B95" s="99" t="s">
        <v>310</v>
      </c>
      <c r="C95" s="99" t="s">
        <v>246</v>
      </c>
      <c r="D95" s="295" t="s">
        <v>316</v>
      </c>
      <c r="E95" s="296"/>
      <c r="F95" s="297"/>
      <c r="G95" s="91"/>
      <c r="H95" s="87"/>
      <c r="I95" s="87"/>
      <c r="J95" s="87"/>
      <c r="K95" s="87"/>
      <c r="L95" s="57"/>
    </row>
    <row r="96" spans="1:12" ht="36" hidden="1" customHeight="1" x14ac:dyDescent="0.25">
      <c r="A96" s="49" t="s">
        <v>167</v>
      </c>
      <c r="B96" s="99"/>
      <c r="C96" s="99"/>
      <c r="D96" s="191"/>
      <c r="E96" s="192"/>
      <c r="F96" s="193"/>
      <c r="G96" s="91"/>
      <c r="H96" s="87"/>
      <c r="I96" s="87"/>
      <c r="J96" s="87"/>
      <c r="K96" s="87"/>
      <c r="L96" s="57"/>
    </row>
    <row r="97" spans="1:12" ht="24" x14ac:dyDescent="0.25">
      <c r="A97" s="46" t="s">
        <v>168</v>
      </c>
      <c r="B97" s="222"/>
      <c r="C97" s="222"/>
      <c r="D97" s="222"/>
      <c r="E97" s="222"/>
      <c r="F97" s="222"/>
      <c r="G97" s="91"/>
      <c r="H97" s="87"/>
      <c r="I97" s="87"/>
      <c r="J97" s="87"/>
      <c r="K97" s="87"/>
      <c r="L97" s="57"/>
    </row>
    <row r="98" spans="1:12" x14ac:dyDescent="0.25">
      <c r="A98" s="206" t="s">
        <v>173</v>
      </c>
      <c r="B98" s="207"/>
      <c r="C98" s="207"/>
      <c r="D98" s="207"/>
      <c r="E98" s="207"/>
      <c r="F98" s="208"/>
      <c r="G98" s="91"/>
      <c r="H98" s="87"/>
      <c r="I98" s="91"/>
      <c r="J98" s="87"/>
      <c r="K98" s="87"/>
      <c r="L98" s="57"/>
    </row>
    <row r="99" spans="1:12" ht="48" x14ac:dyDescent="0.25">
      <c r="A99" s="49" t="s">
        <v>174</v>
      </c>
      <c r="B99" s="94" t="s">
        <v>239</v>
      </c>
      <c r="C99" s="95" t="s">
        <v>178</v>
      </c>
      <c r="D99" s="94" t="s">
        <v>258</v>
      </c>
      <c r="E99" s="95" t="s">
        <v>175</v>
      </c>
      <c r="F99" s="106" t="s">
        <v>317</v>
      </c>
      <c r="G99" s="91"/>
      <c r="H99" s="87"/>
      <c r="I99" s="87"/>
      <c r="J99" s="91"/>
      <c r="K99" s="87"/>
      <c r="L99" s="57"/>
    </row>
    <row r="100" spans="1:12" ht="24" x14ac:dyDescent="0.25">
      <c r="A100" s="46" t="s">
        <v>176</v>
      </c>
      <c r="B100" s="313">
        <v>44956</v>
      </c>
      <c r="C100" s="210"/>
      <c r="D100" s="46" t="s">
        <v>179</v>
      </c>
      <c r="E100" s="313">
        <v>46599</v>
      </c>
      <c r="F100" s="210"/>
      <c r="G100" s="91"/>
      <c r="H100" s="87"/>
      <c r="I100" s="87"/>
      <c r="J100" s="91"/>
      <c r="K100" s="87"/>
      <c r="L100" s="57"/>
    </row>
    <row r="101" spans="1:12" ht="36" x14ac:dyDescent="0.25">
      <c r="A101" s="46" t="s">
        <v>177</v>
      </c>
      <c r="B101" s="311" t="s">
        <v>254</v>
      </c>
      <c r="C101" s="312"/>
      <c r="D101" s="93" t="s">
        <v>180</v>
      </c>
      <c r="E101" s="311" t="s">
        <v>246</v>
      </c>
      <c r="F101" s="312"/>
      <c r="G101" s="91"/>
      <c r="H101" s="87"/>
      <c r="I101" s="87"/>
      <c r="J101" s="91"/>
      <c r="K101" s="87"/>
      <c r="L101" s="57"/>
    </row>
    <row r="102" spans="1:12" x14ac:dyDescent="0.25">
      <c r="A102" s="206" t="s">
        <v>181</v>
      </c>
      <c r="B102" s="207"/>
      <c r="C102" s="207"/>
      <c r="D102" s="207"/>
      <c r="E102" s="207"/>
      <c r="F102" s="208"/>
      <c r="G102" s="91"/>
      <c r="H102" s="87"/>
      <c r="I102" s="91"/>
      <c r="J102" s="87"/>
      <c r="K102" s="87"/>
      <c r="L102" s="57"/>
    </row>
    <row r="103" spans="1:12" x14ac:dyDescent="0.25">
      <c r="A103" s="46" t="s">
        <v>188</v>
      </c>
      <c r="B103" s="301" t="s">
        <v>259</v>
      </c>
      <c r="C103" s="301"/>
      <c r="D103" s="46" t="s">
        <v>182</v>
      </c>
      <c r="E103" s="211" t="s">
        <v>254</v>
      </c>
      <c r="F103" s="211"/>
      <c r="G103" s="91"/>
      <c r="H103" s="87"/>
      <c r="I103" s="87"/>
      <c r="J103" s="91"/>
      <c r="K103" s="87"/>
      <c r="L103" s="57"/>
    </row>
    <row r="104" spans="1:12" ht="24" x14ac:dyDescent="0.25">
      <c r="A104" s="46" t="s">
        <v>189</v>
      </c>
      <c r="B104" s="211" t="s">
        <v>239</v>
      </c>
      <c r="C104" s="211"/>
      <c r="D104" s="93" t="s">
        <v>183</v>
      </c>
      <c r="E104" s="301" t="s">
        <v>260</v>
      </c>
      <c r="F104" s="301"/>
      <c r="G104" s="91"/>
      <c r="H104" s="87"/>
      <c r="I104" s="87"/>
      <c r="J104" s="91"/>
      <c r="K104" s="87"/>
      <c r="L104" s="57"/>
    </row>
    <row r="105" spans="1:12" ht="36" x14ac:dyDescent="0.25">
      <c r="A105" s="46" t="s">
        <v>190</v>
      </c>
      <c r="B105" s="211" t="s">
        <v>254</v>
      </c>
      <c r="C105" s="211"/>
      <c r="D105" s="93" t="s">
        <v>184</v>
      </c>
      <c r="E105" s="211" t="s">
        <v>254</v>
      </c>
      <c r="F105" s="211"/>
      <c r="G105" s="91"/>
      <c r="H105" s="87"/>
      <c r="I105" s="87"/>
      <c r="J105" s="91"/>
      <c r="K105" s="87"/>
      <c r="L105" s="57"/>
    </row>
    <row r="106" spans="1:12" ht="24" customHeight="1" x14ac:dyDescent="0.25">
      <c r="A106" s="46" t="s">
        <v>191</v>
      </c>
      <c r="B106" s="211" t="s">
        <v>254</v>
      </c>
      <c r="C106" s="211"/>
      <c r="D106" s="93" t="s">
        <v>185</v>
      </c>
      <c r="E106" s="211" t="s">
        <v>254</v>
      </c>
      <c r="F106" s="211"/>
      <c r="G106" s="91"/>
      <c r="H106" s="87"/>
      <c r="I106" s="87"/>
      <c r="J106" s="91"/>
      <c r="K106" s="87"/>
      <c r="L106" s="57"/>
    </row>
    <row r="107" spans="1:12" ht="36" x14ac:dyDescent="0.25">
      <c r="A107" s="46" t="s">
        <v>192</v>
      </c>
      <c r="B107" s="211" t="s">
        <v>254</v>
      </c>
      <c r="C107" s="211"/>
      <c r="D107" s="93" t="s">
        <v>186</v>
      </c>
      <c r="E107" s="211" t="s">
        <v>254</v>
      </c>
      <c r="F107" s="211"/>
      <c r="G107" s="91"/>
      <c r="H107" s="87"/>
      <c r="I107" s="87"/>
      <c r="J107" s="91"/>
      <c r="K107" s="87"/>
      <c r="L107" s="57"/>
    </row>
    <row r="108" spans="1:12" x14ac:dyDescent="0.25">
      <c r="A108" s="46" t="s">
        <v>193</v>
      </c>
      <c r="B108" s="211" t="s">
        <v>254</v>
      </c>
      <c r="C108" s="211"/>
      <c r="D108" s="93" t="s">
        <v>187</v>
      </c>
      <c r="E108" s="211" t="s">
        <v>254</v>
      </c>
      <c r="F108" s="211"/>
      <c r="G108" s="91"/>
      <c r="H108" s="87"/>
      <c r="I108" s="87"/>
      <c r="J108" s="91"/>
      <c r="K108" s="87"/>
      <c r="L108" s="57"/>
    </row>
    <row r="109" spans="1:12" x14ac:dyDescent="0.25">
      <c r="A109" s="181" t="s">
        <v>194</v>
      </c>
      <c r="B109" s="181"/>
      <c r="C109" s="205" t="s">
        <v>239</v>
      </c>
      <c r="D109" s="205"/>
      <c r="E109" s="205"/>
      <c r="F109" s="205"/>
      <c r="G109" s="180"/>
      <c r="H109" s="180"/>
      <c r="I109" s="87"/>
      <c r="J109" s="87"/>
      <c r="K109" s="87"/>
      <c r="L109" s="57"/>
    </row>
    <row r="110" spans="1:12" ht="30" customHeight="1" x14ac:dyDescent="0.25">
      <c r="A110" s="181" t="s">
        <v>195</v>
      </c>
      <c r="B110" s="181"/>
      <c r="C110" s="205" t="s">
        <v>254</v>
      </c>
      <c r="D110" s="205"/>
      <c r="E110" s="205"/>
      <c r="F110" s="205"/>
      <c r="G110" s="180"/>
      <c r="H110" s="180"/>
      <c r="I110" s="87"/>
      <c r="J110" s="87"/>
      <c r="K110" s="87"/>
      <c r="L110" s="57"/>
    </row>
    <row r="111" spans="1:12" x14ac:dyDescent="0.25">
      <c r="A111" s="206" t="s">
        <v>196</v>
      </c>
      <c r="B111" s="207"/>
      <c r="C111" s="207"/>
      <c r="D111" s="207"/>
      <c r="E111" s="207"/>
      <c r="F111" s="208"/>
      <c r="G111" s="91"/>
      <c r="H111" s="87"/>
      <c r="I111" s="87"/>
      <c r="J111" s="87"/>
      <c r="K111" s="87"/>
      <c r="L111" s="57"/>
    </row>
    <row r="112" spans="1:12" ht="36" customHeight="1" x14ac:dyDescent="0.25">
      <c r="A112" s="209" t="s">
        <v>198</v>
      </c>
      <c r="B112" s="209"/>
      <c r="C112" s="209"/>
      <c r="D112" s="209"/>
      <c r="E112" s="209" t="s">
        <v>197</v>
      </c>
      <c r="F112" s="209"/>
      <c r="G112" s="91"/>
      <c r="H112" s="91"/>
      <c r="I112" s="91"/>
      <c r="J112" s="91"/>
      <c r="K112" s="91"/>
      <c r="L112" s="61"/>
    </row>
    <row r="113" spans="1:12" ht="15.75" thickBot="1" x14ac:dyDescent="0.3">
      <c r="A113" s="210" t="s">
        <v>246</v>
      </c>
      <c r="B113" s="210"/>
      <c r="C113" s="210"/>
      <c r="D113" s="210"/>
      <c r="E113" s="211" t="s">
        <v>254</v>
      </c>
      <c r="F113" s="211"/>
      <c r="G113" s="87"/>
      <c r="H113" s="87"/>
      <c r="I113" s="87"/>
      <c r="J113" s="87"/>
      <c r="K113" s="87"/>
      <c r="L113" s="57"/>
    </row>
    <row r="114" spans="1:12" ht="36" x14ac:dyDescent="0.25">
      <c r="A114" s="65" t="s">
        <v>199</v>
      </c>
      <c r="B114" s="65" t="s">
        <v>200</v>
      </c>
      <c r="C114" s="65" t="s">
        <v>201</v>
      </c>
      <c r="D114" s="65" t="s">
        <v>202</v>
      </c>
      <c r="E114" s="65" t="s">
        <v>203</v>
      </c>
      <c r="F114" s="65" t="s">
        <v>204</v>
      </c>
      <c r="G114" s="91"/>
      <c r="H114" s="91"/>
      <c r="I114" s="61"/>
      <c r="J114" s="61"/>
      <c r="K114" s="61"/>
      <c r="L114" s="61"/>
    </row>
    <row r="115" spans="1:12" ht="33" customHeight="1" thickBot="1" x14ac:dyDescent="0.3">
      <c r="A115" s="66">
        <v>1</v>
      </c>
      <c r="B115" s="66">
        <v>1</v>
      </c>
      <c r="C115" s="66" t="s">
        <v>299</v>
      </c>
      <c r="D115" s="66">
        <v>417</v>
      </c>
      <c r="E115" s="66">
        <v>0</v>
      </c>
      <c r="F115" s="66">
        <f>D115+E115</f>
        <v>417</v>
      </c>
      <c r="G115" s="92"/>
      <c r="H115" s="92"/>
    </row>
    <row r="116" spans="1:12" x14ac:dyDescent="0.25">
      <c r="A116" s="212" t="s">
        <v>261</v>
      </c>
      <c r="B116" s="212"/>
      <c r="C116" s="205" t="s">
        <v>337</v>
      </c>
      <c r="D116" s="205"/>
      <c r="E116" s="205"/>
      <c r="F116" s="205"/>
      <c r="G116" s="180"/>
      <c r="H116" s="180"/>
      <c r="I116" t="s">
        <v>364</v>
      </c>
    </row>
    <row r="117" spans="1:12" x14ac:dyDescent="0.25">
      <c r="A117" s="200" t="s">
        <v>262</v>
      </c>
      <c r="B117" s="201"/>
      <c r="C117" s="184" t="s">
        <v>337</v>
      </c>
      <c r="D117" s="184"/>
      <c r="E117" s="184"/>
      <c r="F117" s="184"/>
      <c r="G117" s="180"/>
      <c r="H117" s="180"/>
    </row>
    <row r="118" spans="1:12" x14ac:dyDescent="0.25">
      <c r="A118" s="212" t="s">
        <v>205</v>
      </c>
      <c r="B118" s="212"/>
      <c r="C118" s="205" t="s">
        <v>239</v>
      </c>
      <c r="D118" s="205"/>
      <c r="E118" s="205"/>
      <c r="F118" s="205"/>
      <c r="G118" s="180"/>
      <c r="H118" s="180"/>
    </row>
    <row r="119" spans="1:12" x14ac:dyDescent="0.25">
      <c r="A119" s="181" t="s">
        <v>206</v>
      </c>
      <c r="B119" s="181"/>
      <c r="C119" s="205" t="s">
        <v>239</v>
      </c>
      <c r="D119" s="205"/>
      <c r="E119" s="205"/>
      <c r="F119" s="205"/>
      <c r="G119" s="180"/>
      <c r="H119" s="180"/>
    </row>
    <row r="120" spans="1:12" ht="32.25" customHeight="1" x14ac:dyDescent="0.25">
      <c r="A120" s="181" t="s">
        <v>207</v>
      </c>
      <c r="B120" s="181"/>
      <c r="C120" s="319" t="s">
        <v>318</v>
      </c>
      <c r="D120" s="319"/>
      <c r="E120" s="319"/>
      <c r="F120" s="319"/>
      <c r="G120" s="180"/>
      <c r="H120" s="180"/>
    </row>
    <row r="121" spans="1:12" ht="34.5" customHeight="1" x14ac:dyDescent="0.25">
      <c r="A121" s="181" t="s">
        <v>208</v>
      </c>
      <c r="B121" s="181"/>
      <c r="C121" s="319" t="s">
        <v>346</v>
      </c>
      <c r="D121" s="319"/>
      <c r="E121" s="319"/>
      <c r="F121" s="319"/>
      <c r="G121" s="180"/>
      <c r="H121" s="180"/>
    </row>
    <row r="122" spans="1:12" ht="15.75" thickBot="1" x14ac:dyDescent="0.3">
      <c r="A122" s="320" t="s">
        <v>4</v>
      </c>
      <c r="B122" s="321"/>
      <c r="C122" s="321"/>
      <c r="D122" s="321"/>
      <c r="E122" s="321"/>
      <c r="F122" s="322"/>
      <c r="G122" s="1"/>
      <c r="H122" s="1"/>
    </row>
    <row r="123" spans="1:12" x14ac:dyDescent="0.25">
      <c r="A123" s="253" t="str">
        <f>C117</f>
        <v>Gr. + 1st to 23th Floor</v>
      </c>
      <c r="B123" s="253"/>
      <c r="C123" s="70" t="s">
        <v>5</v>
      </c>
      <c r="D123" s="70" t="s">
        <v>6</v>
      </c>
      <c r="E123" s="70" t="s">
        <v>7</v>
      </c>
      <c r="F123" s="70" t="s">
        <v>8</v>
      </c>
      <c r="G123" s="2" t="str">
        <f ca="1">(IF(E127&gt;99%,"All work completed. Please provide OC.",IF(E127&gt;89.8%,"Plinth, RCC, Brick, Plaster, Flooring, Painting work Completed. Finishing work is in process.",IF(E128&lt;94%,(IF(C127=0,"Work not yet Started.",IF(D127=25%,"Piling work in process",IF(D127=50%,"Excavation work in process",IF(D127=100%," ","")))&amp;(IF(C128=0%,"",IF(C128=H129,"Excavation work is process",IF(C128=H130,"Foundation Work in process",IF(C128=H131,"1st Basement Completed",IF(C128=H132,"1st &amp; 2nd Basement Completed",IF(C128=H133,"1st to 3rd Basement Completed",IF(C128=H134,"1st to 4th Basement Completed",IF(C128=H135,"Plinth work is process",IF(C128=H136,"Plinth work completed","0")))))))))))&amp;(IF(C129=(D124+E124+F124),", RCC Slab",IF(C129&gt;0,", RCC upto "&amp;C129&amp;" Slab",""))&amp;(IF(C130=F124,", Brickwork",IF(C130&gt;0,", Brickwork upto "&amp;C130&amp;" Floor",""))&amp;(IF(C131=F124,", Internal Plaster",IF(C131&gt;0,", Internal Plaster upto "&amp;C131&amp;" Floor",""))&amp;(IF(C132=F124,", External Plaster",IF(C132&gt;0,", External Plaster upto "&amp;C132&amp;" Floor",""))&amp;(IF(C133=F124,", Flooring",IF(C133&gt;0,", Flooring upto "&amp;C133&amp;" Floor",""))&amp;(IF(C134=F124,", Painting",IF(C134&gt;0,", Painting upto "&amp;C134&amp;" Floor",""))&amp;(IF(C135&gt;0,", Finishing upto "&amp;C135&amp;" Floor","")&amp;(IF(C129&gt;0.5," Completed",""))))))))))))))</f>
        <v xml:space="preserve"> Plinth work completed, RCC Slab, Brickwork, Internal Plaster, External Plaster upto 12 Floor, Flooring upto 3 Floor, Painting upto 2 Floor Completed</v>
      </c>
      <c r="H123" s="3"/>
    </row>
    <row r="124" spans="1:12" x14ac:dyDescent="0.25">
      <c r="A124" s="254"/>
      <c r="B124" s="254"/>
      <c r="C124" s="71">
        <v>0</v>
      </c>
      <c r="D124" s="71">
        <v>1</v>
      </c>
      <c r="E124" s="71">
        <v>0</v>
      </c>
      <c r="F124" s="71">
        <f ca="1">--TRIM(RIGHT(SUBSTITUTE(LEFT(A123,_xlfn.AGGREGATE(16,6,FIND({0,1,2,3,4,5,6,7,8,9},A123,ROW(INDIRECT("1:"&amp;LEN(A123)))),1))," ",REPT(" ",LEN(A123))),LEN(A123)))</f>
        <v>23</v>
      </c>
      <c r="G124" s="4"/>
      <c r="H124" s="5"/>
      <c r="L124" t="s">
        <v>211</v>
      </c>
    </row>
    <row r="125" spans="1:12" ht="32.25" customHeight="1" x14ac:dyDescent="0.25">
      <c r="A125" s="128" t="s">
        <v>9</v>
      </c>
      <c r="B125" s="255" t="str">
        <f ca="1">G123</f>
        <v xml:space="preserve"> Plinth work completed, RCC Slab, Brickwork, Internal Plaster, External Plaster upto 12 Floor, Flooring upto 3 Floor, Painting upto 2 Floor Completed</v>
      </c>
      <c r="C125" s="256"/>
      <c r="D125" s="256"/>
      <c r="E125" s="256"/>
      <c r="F125" s="257"/>
      <c r="G125" s="4" t="s">
        <v>10</v>
      </c>
      <c r="H125" s="5"/>
      <c r="L125" t="s">
        <v>209</v>
      </c>
    </row>
    <row r="126" spans="1:12" x14ac:dyDescent="0.25">
      <c r="A126" s="129" t="s">
        <v>11</v>
      </c>
      <c r="B126" s="72" t="s">
        <v>12</v>
      </c>
      <c r="C126" s="73" t="s">
        <v>13</v>
      </c>
      <c r="D126" s="73" t="s">
        <v>14</v>
      </c>
      <c r="E126" s="247" t="s">
        <v>37</v>
      </c>
      <c r="F126" s="248"/>
      <c r="G126" s="6"/>
      <c r="H126" s="7"/>
      <c r="L126" t="s">
        <v>210</v>
      </c>
    </row>
    <row r="127" spans="1:12" hidden="1" x14ac:dyDescent="0.25">
      <c r="A127" s="129" t="s">
        <v>17</v>
      </c>
      <c r="B127" s="74">
        <v>0.15</v>
      </c>
      <c r="C127" s="75">
        <v>23</v>
      </c>
      <c r="D127" s="76">
        <f ca="1">((100/F124)*C127)/100</f>
        <v>1</v>
      </c>
      <c r="E127" s="249">
        <f ca="1">((((C128/F124)*35)+(35/(F124+E124+D124)*C129)+(5/F124*C130)+(5/F124*C131)+(5/F124*C132)+(5/F124*C133)+(5/F124*C134)+(2.5/F124*C135)+(2.5/F124*C136))/100)</f>
        <v>0.83695652173913049</v>
      </c>
      <c r="F127" s="250"/>
      <c r="G127" s="6"/>
      <c r="H127" s="8"/>
    </row>
    <row r="128" spans="1:12" x14ac:dyDescent="0.25">
      <c r="A128" s="129" t="s">
        <v>19</v>
      </c>
      <c r="B128" s="74">
        <v>0.35</v>
      </c>
      <c r="C128" s="77">
        <f ca="1">H136</f>
        <v>23</v>
      </c>
      <c r="D128" s="76">
        <f ca="1">((100/F124)*C128)/100</f>
        <v>1</v>
      </c>
      <c r="E128" s="251"/>
      <c r="F128" s="252"/>
      <c r="G128" s="6"/>
      <c r="H128" s="8"/>
    </row>
    <row r="129" spans="1:12" ht="30" x14ac:dyDescent="0.25">
      <c r="A129" s="129" t="s">
        <v>21</v>
      </c>
      <c r="B129" s="74">
        <v>0.35</v>
      </c>
      <c r="C129" s="97">
        <v>24</v>
      </c>
      <c r="D129" s="76">
        <f ca="1">((100/(D124+E124+F124))*C129)/100</f>
        <v>1</v>
      </c>
      <c r="E129" s="251"/>
      <c r="F129" s="252"/>
      <c r="G129" s="6" t="s">
        <v>280</v>
      </c>
      <c r="H129" s="9">
        <f ca="1">(IF(C124&gt;1,(F124/(C124+2)),F124/7))</f>
        <v>3.2857142857142856</v>
      </c>
      <c r="J129" t="s">
        <v>361</v>
      </c>
    </row>
    <row r="130" spans="1:12" x14ac:dyDescent="0.25">
      <c r="A130" s="129" t="s">
        <v>23</v>
      </c>
      <c r="B130" s="74">
        <v>0.05</v>
      </c>
      <c r="C130" s="77">
        <f>C129-D124</f>
        <v>23</v>
      </c>
      <c r="D130" s="76">
        <f ca="1">((100/F124)*C130)/100</f>
        <v>1</v>
      </c>
      <c r="E130" s="251"/>
      <c r="F130" s="252"/>
      <c r="G130" s="6" t="s">
        <v>281</v>
      </c>
      <c r="H130" s="9">
        <f ca="1">(IF(C124&gt;1,(F124/(C124+2)),F124/3.5))</f>
        <v>6.5714285714285712</v>
      </c>
    </row>
    <row r="131" spans="1:12" x14ac:dyDescent="0.25">
      <c r="A131" s="129" t="s">
        <v>38</v>
      </c>
      <c r="B131" s="74">
        <v>0.05</v>
      </c>
      <c r="C131" s="77">
        <v>23</v>
      </c>
      <c r="D131" s="76">
        <f ca="1">((100/F124)*C131)/100</f>
        <v>1</v>
      </c>
      <c r="E131" s="251"/>
      <c r="F131" s="252"/>
      <c r="G131" s="6" t="s">
        <v>26</v>
      </c>
      <c r="H131" s="9">
        <f>(IF(C124&gt;1,(F124/(C124+2)+H130),0))</f>
        <v>0</v>
      </c>
    </row>
    <row r="132" spans="1:12" x14ac:dyDescent="0.25">
      <c r="A132" s="129" t="s">
        <v>29</v>
      </c>
      <c r="B132" s="74">
        <v>0.05</v>
      </c>
      <c r="C132" s="77">
        <v>12</v>
      </c>
      <c r="D132" s="76">
        <f ca="1">((100/(F124))*C132)/100</f>
        <v>0.52173913043478259</v>
      </c>
      <c r="E132" s="251"/>
      <c r="F132" s="252"/>
      <c r="G132" s="6" t="s">
        <v>28</v>
      </c>
      <c r="H132" s="9">
        <f>(IF(C124&gt;2,(F124/(C124+2)+H131),0))</f>
        <v>0</v>
      </c>
    </row>
    <row r="133" spans="1:12" ht="30" x14ac:dyDescent="0.25">
      <c r="A133" s="129" t="s">
        <v>39</v>
      </c>
      <c r="B133" s="74">
        <v>0.05</v>
      </c>
      <c r="C133" s="343">
        <v>3</v>
      </c>
      <c r="D133" s="76">
        <f ca="1">((100/F124)*C133)/100</f>
        <v>0.13043478260869565</v>
      </c>
      <c r="E133" s="251"/>
      <c r="F133" s="252"/>
      <c r="G133" s="6" t="s">
        <v>30</v>
      </c>
      <c r="H133" s="10">
        <f>(IF(C124&gt;3,(F124/(C124+2)+H132),0))</f>
        <v>0</v>
      </c>
    </row>
    <row r="134" spans="1:12" x14ac:dyDescent="0.25">
      <c r="A134" s="129" t="s">
        <v>31</v>
      </c>
      <c r="B134" s="74">
        <v>0.05</v>
      </c>
      <c r="C134" s="343">
        <v>2</v>
      </c>
      <c r="D134" s="76">
        <f ca="1">((100/F124)*C134)/100</f>
        <v>8.6956521739130432E-2</v>
      </c>
      <c r="E134" s="251"/>
      <c r="F134" s="252"/>
      <c r="G134" s="6" t="s">
        <v>32</v>
      </c>
      <c r="H134" s="9">
        <f>(IF(C124&gt;4,(F124/(C124+2)+H133),0))</f>
        <v>0</v>
      </c>
    </row>
    <row r="135" spans="1:12" x14ac:dyDescent="0.25">
      <c r="A135" s="129" t="s">
        <v>40</v>
      </c>
      <c r="B135" s="74">
        <v>2.5000000000000001E-2</v>
      </c>
      <c r="C135" s="75">
        <v>0</v>
      </c>
      <c r="D135" s="76">
        <f ca="1">((100/(F124))*C135)/100</f>
        <v>0</v>
      </c>
      <c r="E135" s="251"/>
      <c r="F135" s="252"/>
      <c r="G135" s="6" t="s">
        <v>34</v>
      </c>
      <c r="H135" s="9">
        <f ca="1">(IF(C124&gt;1,(F124/(C124+2)),F124*4/7))</f>
        <v>13.142857142857142</v>
      </c>
    </row>
    <row r="136" spans="1:12" ht="15.75" thickBot="1" x14ac:dyDescent="0.3">
      <c r="A136" s="130" t="s">
        <v>35</v>
      </c>
      <c r="B136" s="78">
        <v>2.5000000000000001E-2</v>
      </c>
      <c r="C136" s="79">
        <v>0</v>
      </c>
      <c r="D136" s="80">
        <f ca="1">((100/(F124))*C136)/100</f>
        <v>0</v>
      </c>
      <c r="E136" s="251"/>
      <c r="F136" s="252"/>
      <c r="G136" s="11" t="s">
        <v>36</v>
      </c>
      <c r="H136" s="12">
        <f ca="1">F124</f>
        <v>23</v>
      </c>
    </row>
    <row r="137" spans="1:12" ht="15.75" hidden="1" thickBot="1" x14ac:dyDescent="0.3">
      <c r="A137" s="253" t="e">
        <f>#REF!</f>
        <v>#REF!</v>
      </c>
      <c r="B137" s="253"/>
      <c r="C137" s="70" t="s">
        <v>5</v>
      </c>
      <c r="D137" s="70" t="s">
        <v>6</v>
      </c>
      <c r="E137" s="70" t="s">
        <v>7</v>
      </c>
      <c r="F137" s="70" t="s">
        <v>8</v>
      </c>
      <c r="G137" s="2" t="e">
        <f ca="1">(IF(E141&gt;99%,"All work completed. Please provide OC.",IF(E141&gt;89.8%,"Plinth, RCC, Brick, Plaster, Flooring, Painting work Completed. Finishing work is in process.",IF(E142&lt;94%,(IF(C141=0,"Work not yet Started.",IF(D141=25%,"Piling work in process",IF(D141=50%,"Excavation work in process",IF(D141=100%," ","")))&amp;(IF(C142=0%,"",IF(C142=H143,"Excavation work is process",IF(C142=H144,"Foudation Work in process",IF(C142=H145,"1st Basement Completed",IF(C142=H146,"1st &amp; 2nd Basement Completed",IF(C142=H147,"1st to 3rd Basement Completed",IF(C142=H148,"1st to 4th Basement Completed",IF(C142=H149,"Plinth work is process",IF(C142=H150,"Plinth work completed","0")))))))))))&amp;(IF(C143=(D138+E138+F138),", RCC Slab",IF(C143&gt;0,", RCC upto "&amp;C143&amp;" Slab",""))&amp;(IF(C144=F138,", Brickwork",IF(C144&gt;0,", Brickwork upto "&amp;C144&amp;" Floor",""))&amp;(IF(C145=F138,", Internal Plaster",IF(C145&gt;0,", Internal Plaster upto "&amp;C145&amp;" Floor",""))&amp;(IF(C146=F138,", External Plaster",IF(C146&gt;0,", External Plaster upto "&amp;C146&amp;" Floor",""))&amp;(IF(C147=F138,", Flooring",IF(C147&gt;0,", Flooring upto "&amp;C147&amp;" Floor",""))&amp;(IF(C148=F138,", Painting",IF(C148&gt;0,", Painting upto "&amp;C148&amp;" Floor",""))&amp;(IF(C149&gt;0,", Finishing upto "&amp;C149&amp;" Floor","")&amp;(IF(C143&gt;0.5," Completed",""))))))))))))))</f>
        <v>#REF!</v>
      </c>
      <c r="H137" s="3"/>
    </row>
    <row r="138" spans="1:12" ht="15.75" hidden="1" thickBot="1" x14ac:dyDescent="0.3">
      <c r="A138" s="254"/>
      <c r="B138" s="254"/>
      <c r="C138" s="71">
        <v>0</v>
      </c>
      <c r="D138" s="71">
        <v>1</v>
      </c>
      <c r="E138" s="71">
        <v>0</v>
      </c>
      <c r="F138" s="71" t="e">
        <f ca="1">--TRIM(RIGHT(SUBSTITUTE(LEFT(A137,_xlfn.AGGREGATE(16,6,FIND({0,1,2,3,4,5,6,7,8,9},A137,ROW(INDIRECT("1:"&amp;LEN(A137)))),1))," ",REPT(" ",LEN(A137))),LEN(A137)))</f>
        <v>#REF!</v>
      </c>
      <c r="G138" s="4"/>
      <c r="H138" s="5"/>
      <c r="L138" t="s">
        <v>211</v>
      </c>
    </row>
    <row r="139" spans="1:12" ht="15.75" hidden="1" thickBot="1" x14ac:dyDescent="0.3">
      <c r="A139" s="128" t="s">
        <v>9</v>
      </c>
      <c r="B139" s="255" t="e">
        <f ca="1">G137</f>
        <v>#REF!</v>
      </c>
      <c r="C139" s="256"/>
      <c r="D139" s="256"/>
      <c r="E139" s="256"/>
      <c r="F139" s="257"/>
      <c r="G139" s="4" t="s">
        <v>10</v>
      </c>
      <c r="H139" s="5"/>
      <c r="L139" t="s">
        <v>209</v>
      </c>
    </row>
    <row r="140" spans="1:12" ht="15.75" hidden="1" thickBot="1" x14ac:dyDescent="0.3">
      <c r="A140" s="129" t="s">
        <v>11</v>
      </c>
      <c r="B140" s="72" t="s">
        <v>12</v>
      </c>
      <c r="C140" s="73" t="s">
        <v>13</v>
      </c>
      <c r="D140" s="73" t="s">
        <v>14</v>
      </c>
      <c r="E140" s="247" t="s">
        <v>37</v>
      </c>
      <c r="F140" s="248"/>
      <c r="G140" s="6"/>
      <c r="H140" s="7"/>
      <c r="L140" t="s">
        <v>210</v>
      </c>
    </row>
    <row r="141" spans="1:12" ht="15" hidden="1" customHeight="1" x14ac:dyDescent="0.3">
      <c r="A141" s="129" t="s">
        <v>17</v>
      </c>
      <c r="B141" s="74">
        <v>0.15</v>
      </c>
      <c r="C141" s="75">
        <v>7</v>
      </c>
      <c r="D141" s="76" t="e">
        <f ca="1">((100/F138)*C141)/100</f>
        <v>#REF!</v>
      </c>
      <c r="E141" s="249" t="e">
        <f ca="1">((((C142/F138)*35)+(35/(F138+E138+D138)*C143)+(5/F138*C144)+(5/F138*C145)+(5/F138*C146)+(5/F138*C147)+(5/F138*C148)+(2.5/F138*C149)+(2.5/F138*C150))/100)</f>
        <v>#REF!</v>
      </c>
      <c r="F141" s="250"/>
      <c r="G141" s="6"/>
      <c r="H141" s="8"/>
    </row>
    <row r="142" spans="1:12" ht="15.75" hidden="1" thickBot="1" x14ac:dyDescent="0.3">
      <c r="A142" s="129" t="s">
        <v>19</v>
      </c>
      <c r="B142" s="74">
        <v>0.35</v>
      </c>
      <c r="C142" s="77" t="e">
        <f ca="1">H150</f>
        <v>#REF!</v>
      </c>
      <c r="D142" s="76" t="e">
        <f ca="1">((100/F138)*C142)/100</f>
        <v>#REF!</v>
      </c>
      <c r="E142" s="251"/>
      <c r="F142" s="252"/>
      <c r="G142" s="6"/>
      <c r="H142" s="8"/>
    </row>
    <row r="143" spans="1:12" ht="30.75" hidden="1" thickBot="1" x14ac:dyDescent="0.3">
      <c r="A143" s="129" t="s">
        <v>21</v>
      </c>
      <c r="B143" s="74">
        <v>0.35</v>
      </c>
      <c r="C143" s="97">
        <v>0</v>
      </c>
      <c r="D143" s="76" t="e">
        <f ca="1">((100/(D138+E138+F138))*C143)/100</f>
        <v>#REF!</v>
      </c>
      <c r="E143" s="251"/>
      <c r="F143" s="252"/>
      <c r="G143" s="6" t="s">
        <v>280</v>
      </c>
      <c r="H143" s="9" t="e">
        <f ca="1">(IF(C138&gt;1,(F138/(C138+2)),F138/7))</f>
        <v>#REF!</v>
      </c>
    </row>
    <row r="144" spans="1:12" ht="15.75" hidden="1" thickBot="1" x14ac:dyDescent="0.3">
      <c r="A144" s="129" t="s">
        <v>23</v>
      </c>
      <c r="B144" s="74">
        <v>0.05</v>
      </c>
      <c r="C144" s="75">
        <v>0</v>
      </c>
      <c r="D144" s="76" t="e">
        <f ca="1">((100/F138)*C144)/100</f>
        <v>#REF!</v>
      </c>
      <c r="E144" s="251"/>
      <c r="F144" s="252"/>
      <c r="G144" s="6" t="s">
        <v>281</v>
      </c>
      <c r="H144" s="9" t="e">
        <f ca="1">(IF(C138&gt;1,(F138/(C138+2)),F138/3.5))</f>
        <v>#REF!</v>
      </c>
    </row>
    <row r="145" spans="1:12" ht="15.75" hidden="1" thickBot="1" x14ac:dyDescent="0.3">
      <c r="A145" s="129" t="s">
        <v>38</v>
      </c>
      <c r="B145" s="74">
        <v>0.05</v>
      </c>
      <c r="C145" s="75">
        <v>0</v>
      </c>
      <c r="D145" s="76" t="e">
        <f ca="1">((100/F138)*C145)/100</f>
        <v>#REF!</v>
      </c>
      <c r="E145" s="251"/>
      <c r="F145" s="252"/>
      <c r="G145" s="6" t="s">
        <v>26</v>
      </c>
      <c r="H145" s="9">
        <f>(IF(C138&gt;1,(F138/(C138+2)+H144),0))</f>
        <v>0</v>
      </c>
    </row>
    <row r="146" spans="1:12" ht="15.75" hidden="1" thickBot="1" x14ac:dyDescent="0.3">
      <c r="A146" s="129" t="s">
        <v>29</v>
      </c>
      <c r="B146" s="74">
        <v>0.05</v>
      </c>
      <c r="C146" s="75">
        <v>0</v>
      </c>
      <c r="D146" s="76" t="e">
        <f ca="1">((100/(F138))*C146)/100</f>
        <v>#REF!</v>
      </c>
      <c r="E146" s="251"/>
      <c r="F146" s="252"/>
      <c r="G146" s="6" t="s">
        <v>28</v>
      </c>
      <c r="H146" s="9">
        <f>(IF(C138&gt;2,(F138/(C138+2)+H145),0))</f>
        <v>0</v>
      </c>
    </row>
    <row r="147" spans="1:12" ht="30.75" hidden="1" thickBot="1" x14ac:dyDescent="0.3">
      <c r="A147" s="129" t="s">
        <v>39</v>
      </c>
      <c r="B147" s="74">
        <v>0.05</v>
      </c>
      <c r="C147" s="75">
        <v>0</v>
      </c>
      <c r="D147" s="76" t="e">
        <f ca="1">((100/F138)*C147)/100</f>
        <v>#REF!</v>
      </c>
      <c r="E147" s="251"/>
      <c r="F147" s="252"/>
      <c r="G147" s="6" t="s">
        <v>30</v>
      </c>
      <c r="H147" s="10">
        <f>(IF(C138&gt;3,(F138/(C138+2)+H146),0))</f>
        <v>0</v>
      </c>
    </row>
    <row r="148" spans="1:12" ht="15.75" hidden="1" thickBot="1" x14ac:dyDescent="0.3">
      <c r="A148" s="129" t="s">
        <v>31</v>
      </c>
      <c r="B148" s="74">
        <v>0.05</v>
      </c>
      <c r="C148" s="75">
        <v>0</v>
      </c>
      <c r="D148" s="76" t="e">
        <f ca="1">((100/F138)*C148)/100</f>
        <v>#REF!</v>
      </c>
      <c r="E148" s="251"/>
      <c r="F148" s="252"/>
      <c r="G148" s="6" t="s">
        <v>32</v>
      </c>
      <c r="H148" s="9">
        <f>(IF(C138&gt;4,(F138/(C138+2)+H147),0))</f>
        <v>0</v>
      </c>
    </row>
    <row r="149" spans="1:12" ht="15.75" hidden="1" thickBot="1" x14ac:dyDescent="0.3">
      <c r="A149" s="129" t="s">
        <v>40</v>
      </c>
      <c r="B149" s="74">
        <v>2.5000000000000001E-2</v>
      </c>
      <c r="C149" s="75">
        <v>0</v>
      </c>
      <c r="D149" s="76" t="e">
        <f ca="1">((100/(F138))*C149)/100</f>
        <v>#REF!</v>
      </c>
      <c r="E149" s="251"/>
      <c r="F149" s="252"/>
      <c r="G149" s="6" t="s">
        <v>34</v>
      </c>
      <c r="H149" s="9" t="e">
        <f ca="1">(IF(C138&gt;1,(F138/(C138+2)),F138*4/7))</f>
        <v>#REF!</v>
      </c>
    </row>
    <row r="150" spans="1:12" ht="15.75" hidden="1" thickBot="1" x14ac:dyDescent="0.3">
      <c r="A150" s="130" t="s">
        <v>35</v>
      </c>
      <c r="B150" s="78">
        <v>2.5000000000000001E-2</v>
      </c>
      <c r="C150" s="79">
        <v>0</v>
      </c>
      <c r="D150" s="80" t="e">
        <f ca="1">((100/(F138))*C150)/100</f>
        <v>#REF!</v>
      </c>
      <c r="E150" s="251"/>
      <c r="F150" s="252"/>
      <c r="G150" s="11" t="s">
        <v>36</v>
      </c>
      <c r="H150" s="12" t="e">
        <f ca="1">F138</f>
        <v>#REF!</v>
      </c>
    </row>
    <row r="151" spans="1:12" ht="15.75" hidden="1" thickBot="1" x14ac:dyDescent="0.3">
      <c r="A151" s="253" t="e">
        <f>#REF!</f>
        <v>#REF!</v>
      </c>
      <c r="B151" s="253"/>
      <c r="C151" s="70" t="s">
        <v>5</v>
      </c>
      <c r="D151" s="70" t="s">
        <v>6</v>
      </c>
      <c r="E151" s="70" t="s">
        <v>7</v>
      </c>
      <c r="F151" s="70" t="s">
        <v>8</v>
      </c>
      <c r="G151" s="2" t="e">
        <f ca="1">(IF(E155&gt;99%,"All work completed. Please provide OC.",IF(E155&gt;89.8%,"Plinth, RCC, Brick, Plaster, Flooring, Painting work Completed. Finishing work is in process.",IF(E156&lt;94%,(IF(C155=0,"Work not yet Started.",IF(D155=25%,"Piling work in process",IF(D155=50%,"Excavation work in process",IF(D155=100%," ","")))&amp;(IF(C156=0%,"",IF(C156=H157,"Excavation work is process",IF(C156=H158,"Foudation Work in process",IF(C156=H159,"1st Basement Completed",IF(C156=H160,"1st &amp; 2nd Basement Completed",IF(C156=H161,"1st to 3rd Basement Completed",IF(C156=H162,"1st to 4th Basement Completed",IF(C156=H163,"Plinth work is process",IF(C156=H164,"Plinth work completed","0")))))))))))&amp;(IF(C157=(D152+E152+F152),", RCC Slab",IF(C157&gt;0,", RCC upto "&amp;C157&amp;" Slab",""))&amp;(IF(C158=F152,", Brickwork",IF(C158&gt;0,", Brickwork upto "&amp;C158&amp;" Floor",""))&amp;(IF(C159=F152,", Internal Plaster",IF(C159&gt;0,", Internal Plaster upto "&amp;C159&amp;" Floor",""))&amp;(IF(C160=F152,", External Plaster",IF(C160&gt;0,", External Plaster upto "&amp;C160&amp;" Floor",""))&amp;(IF(C161=F152,", Flooring",IF(C161&gt;0,", Flooring upto "&amp;C161&amp;" Floor",""))&amp;(IF(C162=F152,", Painting",IF(C162&gt;0,", Painting upto "&amp;C162&amp;" Floor",""))&amp;(IF(C163&gt;0,", Finishing upto "&amp;C163&amp;" Floor","")&amp;(IF(C157&gt;0.5," Completed",""))))))))))))))</f>
        <v>#REF!</v>
      </c>
      <c r="H151" s="3"/>
    </row>
    <row r="152" spans="1:12" ht="15.75" hidden="1" thickBot="1" x14ac:dyDescent="0.3">
      <c r="A152" s="254"/>
      <c r="B152" s="254"/>
      <c r="C152" s="71">
        <v>0</v>
      </c>
      <c r="D152" s="71">
        <v>1</v>
      </c>
      <c r="E152" s="71">
        <v>0</v>
      </c>
      <c r="F152" s="71" t="e">
        <f ca="1">--TRIM(RIGHT(SUBSTITUTE(LEFT(A151,_xlfn.AGGREGATE(16,6,FIND({0,1,2,3,4,5,6,7,8,9},A151,ROW(INDIRECT("1:"&amp;LEN(A151)))),1))," ",REPT(" ",LEN(A151))),LEN(A151)))</f>
        <v>#REF!</v>
      </c>
      <c r="G152" s="4"/>
      <c r="H152" s="5"/>
      <c r="L152" t="s">
        <v>211</v>
      </c>
    </row>
    <row r="153" spans="1:12" ht="15.75" hidden="1" thickBot="1" x14ac:dyDescent="0.3">
      <c r="A153" s="128" t="s">
        <v>9</v>
      </c>
      <c r="B153" s="255" t="e">
        <f ca="1">G151</f>
        <v>#REF!</v>
      </c>
      <c r="C153" s="256"/>
      <c r="D153" s="256"/>
      <c r="E153" s="256"/>
      <c r="F153" s="257"/>
      <c r="G153" s="4" t="s">
        <v>10</v>
      </c>
      <c r="H153" s="5"/>
      <c r="L153" t="s">
        <v>209</v>
      </c>
    </row>
    <row r="154" spans="1:12" ht="15.75" hidden="1" thickBot="1" x14ac:dyDescent="0.3">
      <c r="A154" s="129" t="s">
        <v>11</v>
      </c>
      <c r="B154" s="72" t="s">
        <v>12</v>
      </c>
      <c r="C154" s="73" t="s">
        <v>13</v>
      </c>
      <c r="D154" s="73" t="s">
        <v>14</v>
      </c>
      <c r="E154" s="247" t="s">
        <v>37</v>
      </c>
      <c r="F154" s="248"/>
      <c r="G154" s="6"/>
      <c r="H154" s="7"/>
      <c r="L154" t="s">
        <v>210</v>
      </c>
    </row>
    <row r="155" spans="1:12" ht="15" hidden="1" customHeight="1" x14ac:dyDescent="0.3">
      <c r="A155" s="129" t="s">
        <v>17</v>
      </c>
      <c r="B155" s="74">
        <v>0.15</v>
      </c>
      <c r="C155" s="75">
        <v>7</v>
      </c>
      <c r="D155" s="76" t="e">
        <f ca="1">((100/F152)*C155)/100</f>
        <v>#REF!</v>
      </c>
      <c r="E155" s="249" t="e">
        <f ca="1">((((C156/F152)*35)+(35/(F152+E152+D152)*C157)+(5/F152*C158)+(5/F152*C159)+(5/F152*C160)+(5/F152*C161)+(5/F152*C162)+(2.5/F152*C163)+(2.5/F152*C164))/100)</f>
        <v>#REF!</v>
      </c>
      <c r="F155" s="250"/>
      <c r="G155" s="6"/>
      <c r="H155" s="8"/>
    </row>
    <row r="156" spans="1:12" ht="15.75" hidden="1" thickBot="1" x14ac:dyDescent="0.3">
      <c r="A156" s="129" t="s">
        <v>19</v>
      </c>
      <c r="B156" s="74">
        <v>0.35</v>
      </c>
      <c r="C156" s="77" t="e">
        <f ca="1">H164</f>
        <v>#REF!</v>
      </c>
      <c r="D156" s="76" t="e">
        <f ca="1">((100/F152)*C156)/100</f>
        <v>#REF!</v>
      </c>
      <c r="E156" s="251"/>
      <c r="F156" s="252"/>
      <c r="G156" s="6"/>
      <c r="H156" s="8"/>
    </row>
    <row r="157" spans="1:12" ht="30.75" hidden="1" thickBot="1" x14ac:dyDescent="0.3">
      <c r="A157" s="129" t="s">
        <v>21</v>
      </c>
      <c r="B157" s="74">
        <v>0.35</v>
      </c>
      <c r="C157" s="97">
        <v>5</v>
      </c>
      <c r="D157" s="76" t="e">
        <f ca="1">((100/(D152+E152+F152))*C157)/100</f>
        <v>#REF!</v>
      </c>
      <c r="E157" s="251"/>
      <c r="F157" s="252"/>
      <c r="G157" s="6" t="s">
        <v>280</v>
      </c>
      <c r="H157" s="9" t="e">
        <f ca="1">(IF(C152&gt;1,(F152/(C152+2)),F152/7))</f>
        <v>#REF!</v>
      </c>
    </row>
    <row r="158" spans="1:12" ht="15.75" hidden="1" thickBot="1" x14ac:dyDescent="0.3">
      <c r="A158" s="129" t="s">
        <v>23</v>
      </c>
      <c r="B158" s="74">
        <v>0.05</v>
      </c>
      <c r="C158" s="75">
        <v>0</v>
      </c>
      <c r="D158" s="76" t="e">
        <f ca="1">((100/F152)*C158)/100</f>
        <v>#REF!</v>
      </c>
      <c r="E158" s="251"/>
      <c r="F158" s="252"/>
      <c r="G158" s="6" t="s">
        <v>281</v>
      </c>
      <c r="H158" s="9" t="e">
        <f ca="1">(IF(C152&gt;1,(F152/(C152+2)),F152/3.5))</f>
        <v>#REF!</v>
      </c>
    </row>
    <row r="159" spans="1:12" ht="15.75" hidden="1" thickBot="1" x14ac:dyDescent="0.3">
      <c r="A159" s="129" t="s">
        <v>38</v>
      </c>
      <c r="B159" s="74">
        <v>0.05</v>
      </c>
      <c r="C159" s="75">
        <v>0</v>
      </c>
      <c r="D159" s="76" t="e">
        <f ca="1">((100/F152)*C159)/100</f>
        <v>#REF!</v>
      </c>
      <c r="E159" s="251"/>
      <c r="F159" s="252"/>
      <c r="G159" s="6" t="s">
        <v>26</v>
      </c>
      <c r="H159" s="9">
        <f>(IF(C152&gt;1,(F152/(C152+2)+H158),0))</f>
        <v>0</v>
      </c>
    </row>
    <row r="160" spans="1:12" ht="15.75" hidden="1" thickBot="1" x14ac:dyDescent="0.3">
      <c r="A160" s="129" t="s">
        <v>29</v>
      </c>
      <c r="B160" s="74">
        <v>0.05</v>
      </c>
      <c r="C160" s="75">
        <v>0</v>
      </c>
      <c r="D160" s="76" t="e">
        <f ca="1">((100/(F152))*C160)/100</f>
        <v>#REF!</v>
      </c>
      <c r="E160" s="251"/>
      <c r="F160" s="252"/>
      <c r="G160" s="6" t="s">
        <v>28</v>
      </c>
      <c r="H160" s="9">
        <f>(IF(C152&gt;2,(F152/(C152+2)+H159),0))</f>
        <v>0</v>
      </c>
    </row>
    <row r="161" spans="1:13" ht="30.75" hidden="1" thickBot="1" x14ac:dyDescent="0.3">
      <c r="A161" s="129" t="s">
        <v>39</v>
      </c>
      <c r="B161" s="74">
        <v>0.05</v>
      </c>
      <c r="C161" s="75">
        <v>0</v>
      </c>
      <c r="D161" s="76" t="e">
        <f ca="1">((100/F152)*C161)/100</f>
        <v>#REF!</v>
      </c>
      <c r="E161" s="251"/>
      <c r="F161" s="252"/>
      <c r="G161" s="6" t="s">
        <v>30</v>
      </c>
      <c r="H161" s="10">
        <f>(IF(C152&gt;3,(F152/(C152+2)+H160),0))</f>
        <v>0</v>
      </c>
    </row>
    <row r="162" spans="1:13" ht="15.75" hidden="1" thickBot="1" x14ac:dyDescent="0.3">
      <c r="A162" s="129" t="s">
        <v>31</v>
      </c>
      <c r="B162" s="74">
        <v>0.05</v>
      </c>
      <c r="C162" s="75">
        <v>0</v>
      </c>
      <c r="D162" s="76" t="e">
        <f ca="1">((100/F152)*C162)/100</f>
        <v>#REF!</v>
      </c>
      <c r="E162" s="251"/>
      <c r="F162" s="252"/>
      <c r="G162" s="6" t="s">
        <v>32</v>
      </c>
      <c r="H162" s="9">
        <f>(IF(C152&gt;4,(F152/(C152+2)+H161),0))</f>
        <v>0</v>
      </c>
    </row>
    <row r="163" spans="1:13" ht="15.75" hidden="1" thickBot="1" x14ac:dyDescent="0.3">
      <c r="A163" s="129" t="s">
        <v>40</v>
      </c>
      <c r="B163" s="74">
        <v>2.5000000000000001E-2</v>
      </c>
      <c r="C163" s="75">
        <v>0</v>
      </c>
      <c r="D163" s="76" t="e">
        <f ca="1">((100/(F152))*C163)/100</f>
        <v>#REF!</v>
      </c>
      <c r="E163" s="251"/>
      <c r="F163" s="252"/>
      <c r="G163" s="6" t="s">
        <v>34</v>
      </c>
      <c r="H163" s="9" t="e">
        <f ca="1">(IF(C152&gt;1,(F152/(C152+2)),F152*4/7))</f>
        <v>#REF!</v>
      </c>
    </row>
    <row r="164" spans="1:13" ht="15.75" hidden="1" thickBot="1" x14ac:dyDescent="0.3">
      <c r="A164" s="130" t="s">
        <v>35</v>
      </c>
      <c r="B164" s="78">
        <v>2.5000000000000001E-2</v>
      </c>
      <c r="C164" s="79">
        <v>0</v>
      </c>
      <c r="D164" s="80" t="e">
        <f ca="1">((100/(F152))*C164)/100</f>
        <v>#REF!</v>
      </c>
      <c r="E164" s="251"/>
      <c r="F164" s="252"/>
      <c r="G164" s="11" t="s">
        <v>36</v>
      </c>
      <c r="H164" s="12" t="e">
        <f ca="1">F152</f>
        <v>#REF!</v>
      </c>
    </row>
    <row r="165" spans="1:13" s="62" customFormat="1" x14ac:dyDescent="0.25">
      <c r="A165" s="146" t="s">
        <v>110</v>
      </c>
      <c r="B165" s="146"/>
      <c r="C165" s="146"/>
      <c r="D165" s="146"/>
      <c r="E165" s="148">
        <f ca="1">AVERAGE(E127)</f>
        <v>0.83695652173913049</v>
      </c>
      <c r="F165" s="146"/>
    </row>
    <row r="166" spans="1:13" s="62" customFormat="1" x14ac:dyDescent="0.25">
      <c r="A166" s="147"/>
      <c r="B166" s="147"/>
      <c r="C166" s="147"/>
      <c r="D166" s="147"/>
      <c r="E166" s="147"/>
      <c r="F166" s="147"/>
      <c r="G166" s="63"/>
      <c r="H166" s="64"/>
    </row>
    <row r="167" spans="1:13" x14ac:dyDescent="0.25">
      <c r="A167" s="156" t="s">
        <v>45</v>
      </c>
      <c r="B167" s="156"/>
      <c r="C167" s="156"/>
      <c r="D167" s="156"/>
      <c r="E167" s="156"/>
      <c r="F167" s="156"/>
    </row>
    <row r="168" spans="1:13" ht="36" x14ac:dyDescent="0.25">
      <c r="A168" s="49" t="s">
        <v>199</v>
      </c>
      <c r="B168" s="49" t="s">
        <v>200</v>
      </c>
      <c r="C168" s="49" t="s">
        <v>201</v>
      </c>
      <c r="D168" s="49" t="s">
        <v>202</v>
      </c>
      <c r="E168" s="49" t="s">
        <v>203</v>
      </c>
      <c r="F168" s="49" t="s">
        <v>204</v>
      </c>
    </row>
    <row r="169" spans="1:13" ht="33" customHeight="1" x14ac:dyDescent="0.25">
      <c r="A169" s="67">
        <v>1</v>
      </c>
      <c r="B169" s="67">
        <v>1</v>
      </c>
      <c r="C169" s="67" t="s">
        <v>299</v>
      </c>
      <c r="D169" s="112">
        <f>B184</f>
        <v>417</v>
      </c>
      <c r="E169" s="67">
        <v>0</v>
      </c>
      <c r="F169" s="67">
        <v>417</v>
      </c>
    </row>
    <row r="170" spans="1:13" s="35" customFormat="1" ht="15.75" hidden="1" customHeight="1" x14ac:dyDescent="0.25">
      <c r="A170" s="153" t="s">
        <v>263</v>
      </c>
      <c r="B170" s="153"/>
      <c r="C170" s="153"/>
      <c r="D170" s="153"/>
      <c r="E170" s="153"/>
      <c r="F170" s="153"/>
      <c r="G170" s="41"/>
      <c r="H170" s="41"/>
      <c r="I170"/>
      <c r="J170"/>
      <c r="K170"/>
      <c r="L170"/>
      <c r="M170"/>
    </row>
    <row r="171" spans="1:13" s="35" customFormat="1" ht="15.75" hidden="1" customHeight="1" x14ac:dyDescent="0.25">
      <c r="A171" s="48" t="s">
        <v>46</v>
      </c>
      <c r="B171" s="48" t="s">
        <v>47</v>
      </c>
      <c r="C171" s="151" t="s">
        <v>48</v>
      </c>
      <c r="D171" s="151"/>
      <c r="E171" s="152" t="s">
        <v>49</v>
      </c>
      <c r="F171" s="152"/>
      <c r="G171" s="154"/>
      <c r="H171" s="154"/>
      <c r="I171" s="141"/>
      <c r="J171" s="141"/>
      <c r="K171" s="141"/>
      <c r="L171" s="141"/>
    </row>
    <row r="172" spans="1:13" s="35" customFormat="1" ht="15.75" hidden="1" x14ac:dyDescent="0.25">
      <c r="A172" s="131" t="s">
        <v>264</v>
      </c>
      <c r="B172" s="81"/>
      <c r="C172" s="142"/>
      <c r="D172" s="143"/>
      <c r="E172" s="142"/>
      <c r="F172" s="143"/>
      <c r="G172" s="144"/>
      <c r="H172" s="145"/>
      <c r="I172" s="141"/>
      <c r="J172" s="141"/>
      <c r="K172" s="141"/>
      <c r="L172" s="141"/>
    </row>
    <row r="173" spans="1:13" s="35" customFormat="1" ht="15.75" hidden="1" customHeight="1" x14ac:dyDescent="0.25">
      <c r="A173" s="131" t="s">
        <v>265</v>
      </c>
      <c r="B173" s="81"/>
      <c r="C173" s="142"/>
      <c r="D173" s="143"/>
      <c r="E173" s="142"/>
      <c r="F173" s="143"/>
      <c r="G173" s="144"/>
      <c r="H173" s="145"/>
    </row>
    <row r="174" spans="1:13" s="35" customFormat="1" ht="16.5" hidden="1" thickBot="1" x14ac:dyDescent="0.3">
      <c r="A174" s="132" t="s">
        <v>51</v>
      </c>
      <c r="B174" s="82">
        <f>SUM(B172:B173)</f>
        <v>0</v>
      </c>
      <c r="C174" s="279">
        <f>SUM(C172:C173)</f>
        <v>0</v>
      </c>
      <c r="D174" s="280"/>
      <c r="E174" s="281">
        <f>SUM(E172:E173)</f>
        <v>0</v>
      </c>
      <c r="F174" s="282"/>
      <c r="G174" s="149"/>
      <c r="H174" s="150"/>
      <c r="J174" s="36"/>
    </row>
    <row r="175" spans="1:13" s="35" customFormat="1" ht="15.75" hidden="1" customHeight="1" x14ac:dyDescent="0.25">
      <c r="A175" s="153" t="s">
        <v>266</v>
      </c>
      <c r="B175" s="153"/>
      <c r="C175" s="153"/>
      <c r="D175" s="153"/>
      <c r="E175" s="153"/>
      <c r="F175" s="153"/>
      <c r="G175" s="41"/>
      <c r="H175" s="41"/>
      <c r="I175"/>
      <c r="J175"/>
      <c r="K175"/>
      <c r="L175"/>
      <c r="M175"/>
    </row>
    <row r="176" spans="1:13" s="35" customFormat="1" ht="15.75" hidden="1" customHeight="1" x14ac:dyDescent="0.25">
      <c r="A176" s="48" t="s">
        <v>46</v>
      </c>
      <c r="B176" s="48" t="s">
        <v>47</v>
      </c>
      <c r="C176" s="151" t="s">
        <v>48</v>
      </c>
      <c r="D176" s="151"/>
      <c r="E176" s="152" t="s">
        <v>49</v>
      </c>
      <c r="F176" s="152"/>
      <c r="G176" s="154"/>
      <c r="H176" s="154"/>
      <c r="I176" s="141"/>
      <c r="J176" s="141"/>
      <c r="K176" s="141"/>
      <c r="L176" s="141"/>
    </row>
    <row r="177" spans="1:14" s="35" customFormat="1" ht="15.75" hidden="1" x14ac:dyDescent="0.25">
      <c r="A177" s="131" t="s">
        <v>265</v>
      </c>
      <c r="B177" s="81"/>
      <c r="C177" s="142"/>
      <c r="D177" s="143"/>
      <c r="E177" s="142"/>
      <c r="F177" s="143"/>
      <c r="G177" s="144"/>
      <c r="H177" s="145"/>
      <c r="I177" s="141"/>
      <c r="J177" s="141"/>
      <c r="K177" s="141"/>
      <c r="L177" s="141"/>
    </row>
    <row r="178" spans="1:14" s="35" customFormat="1" ht="15.75" hidden="1" customHeight="1" x14ac:dyDescent="0.25">
      <c r="A178" s="131" t="s">
        <v>267</v>
      </c>
      <c r="B178" s="81"/>
      <c r="C178" s="142"/>
      <c r="D178" s="143"/>
      <c r="E178" s="142"/>
      <c r="F178" s="143"/>
      <c r="G178" s="144"/>
      <c r="H178" s="145"/>
    </row>
    <row r="179" spans="1:14" s="35" customFormat="1" ht="16.5" hidden="1" thickBot="1" x14ac:dyDescent="0.3">
      <c r="A179" s="133" t="s">
        <v>51</v>
      </c>
      <c r="B179" s="83">
        <f>SUM(B177:B178)</f>
        <v>0</v>
      </c>
      <c r="C179" s="314">
        <f>SUM(C177:C178)</f>
        <v>0</v>
      </c>
      <c r="D179" s="315"/>
      <c r="E179" s="260">
        <f>SUM(E177:E178)</f>
        <v>0</v>
      </c>
      <c r="F179" s="261"/>
      <c r="G179" s="149"/>
      <c r="H179" s="150"/>
      <c r="J179" s="36"/>
    </row>
    <row r="180" spans="1:14" s="35" customFormat="1" ht="15.75" customHeight="1" x14ac:dyDescent="0.25">
      <c r="A180" s="155" t="s">
        <v>269</v>
      </c>
      <c r="B180" s="155"/>
      <c r="C180" s="155"/>
      <c r="D180" s="155"/>
      <c r="E180" s="155"/>
      <c r="F180" s="155"/>
      <c r="G180" s="41"/>
      <c r="H180" s="41"/>
    </row>
    <row r="181" spans="1:14" s="35" customFormat="1" ht="15.75" customHeight="1" x14ac:dyDescent="0.25">
      <c r="A181" s="48" t="s">
        <v>46</v>
      </c>
      <c r="B181" s="48" t="s">
        <v>47</v>
      </c>
      <c r="C181" s="151" t="s">
        <v>48</v>
      </c>
      <c r="D181" s="151"/>
      <c r="E181" s="152" t="s">
        <v>49</v>
      </c>
      <c r="F181" s="152"/>
      <c r="G181" s="154"/>
      <c r="H181" s="154"/>
    </row>
    <row r="182" spans="1:14" s="35" customFormat="1" ht="16.5" thickBot="1" x14ac:dyDescent="0.3">
      <c r="A182" s="131" t="s">
        <v>320</v>
      </c>
      <c r="B182" s="81">
        <f>COUNT(C217:C221,C224:C225)+COUNT(C227:C244)*19+COUNT(C246:C257,C259:C263)*3+COUNT(C265:C276,C278:C282)</f>
        <v>417</v>
      </c>
      <c r="C182" s="142">
        <f>SUM(C217:C221,C224:C225)+SUM(C227:C244)*19+SUM(C246:C257,C259:C263)*3+SUM(C265:C276,C278:C282)</f>
        <v>134478.09648000001</v>
      </c>
      <c r="D182" s="143"/>
      <c r="E182" s="142">
        <f>SUM(F217:F221,F224:F225)+SUM(F227:F244)*19+SUM(F246:F257,F259:F263)*3+SUM(F265:F276,F278:F282)</f>
        <v>201717.14472000001</v>
      </c>
      <c r="F182" s="143"/>
      <c r="G182" s="144"/>
      <c r="H182" s="144"/>
    </row>
    <row r="183" spans="1:14" s="35" customFormat="1" ht="16.5" hidden="1" thickBot="1" x14ac:dyDescent="0.3">
      <c r="A183" s="133" t="s">
        <v>51</v>
      </c>
      <c r="B183" s="83">
        <f>SUM(B182:B182)</f>
        <v>417</v>
      </c>
      <c r="C183" s="314">
        <f>SUM(C182:C182)</f>
        <v>134478.09648000001</v>
      </c>
      <c r="D183" s="315"/>
      <c r="E183" s="260">
        <f>SUM(E182:E182)</f>
        <v>201717.14472000001</v>
      </c>
      <c r="F183" s="261"/>
      <c r="G183" s="149"/>
      <c r="H183" s="150"/>
    </row>
    <row r="184" spans="1:14" s="35" customFormat="1" ht="16.5" thickBot="1" x14ac:dyDescent="0.3">
      <c r="A184" s="134" t="s">
        <v>268</v>
      </c>
      <c r="B184" s="84">
        <f>SUM(B174,B179,B183)</f>
        <v>417</v>
      </c>
      <c r="C184" s="258">
        <f>SUM(C174,C179,C183)</f>
        <v>134478.09648000001</v>
      </c>
      <c r="D184" s="259"/>
      <c r="E184" s="258">
        <f>SUM(E174,E179,E183)</f>
        <v>201717.14472000001</v>
      </c>
      <c r="F184" s="259"/>
      <c r="G184" s="149"/>
      <c r="H184" s="150"/>
    </row>
    <row r="185" spans="1:14" s="37" customFormat="1" ht="15.75" x14ac:dyDescent="0.25">
      <c r="A185" s="316" t="s">
        <v>52</v>
      </c>
      <c r="B185" s="317"/>
      <c r="C185" s="317"/>
      <c r="D185" s="317"/>
      <c r="E185" s="317"/>
      <c r="F185" s="318"/>
      <c r="G185" s="42"/>
      <c r="H185" s="42"/>
    </row>
    <row r="186" spans="1:14" s="38" customFormat="1" ht="15.75" hidden="1" x14ac:dyDescent="0.25">
      <c r="A186" s="268" t="s">
        <v>60</v>
      </c>
      <c r="B186" s="269"/>
      <c r="C186" s="269"/>
      <c r="D186" s="269"/>
      <c r="E186" s="269"/>
      <c r="F186" s="270"/>
      <c r="G186" s="42"/>
      <c r="H186" s="42"/>
    </row>
    <row r="187" spans="1:14" s="38" customFormat="1" ht="26.45" hidden="1" customHeight="1" x14ac:dyDescent="0.25">
      <c r="A187" s="264" t="s">
        <v>68</v>
      </c>
      <c r="B187" s="264" t="s">
        <v>54</v>
      </c>
      <c r="C187" s="264" t="s">
        <v>55</v>
      </c>
      <c r="D187" s="264" t="s">
        <v>58</v>
      </c>
      <c r="E187" s="266" t="s">
        <v>56</v>
      </c>
      <c r="F187" s="126" t="s">
        <v>59</v>
      </c>
      <c r="G187" s="263"/>
      <c r="H187" s="263"/>
    </row>
    <row r="188" spans="1:14" s="38" customFormat="1" ht="15.75" hidden="1" x14ac:dyDescent="0.25">
      <c r="A188" s="265"/>
      <c r="B188" s="265"/>
      <c r="C188" s="265"/>
      <c r="D188" s="265"/>
      <c r="E188" s="267"/>
      <c r="F188" s="135">
        <v>0.6</v>
      </c>
      <c r="G188" s="263"/>
      <c r="H188" s="263"/>
      <c r="J188" s="60"/>
      <c r="K188" s="60"/>
      <c r="L188" s="60"/>
      <c r="M188" s="60"/>
    </row>
    <row r="189" spans="1:14" s="37" customFormat="1" ht="15.75" hidden="1" x14ac:dyDescent="0.25">
      <c r="A189" s="268" t="s">
        <v>50</v>
      </c>
      <c r="B189" s="269"/>
      <c r="C189" s="269"/>
      <c r="D189" s="269"/>
      <c r="E189" s="269"/>
      <c r="F189" s="270"/>
      <c r="G189" s="42"/>
      <c r="H189" s="42"/>
      <c r="J189" s="59"/>
      <c r="K189" s="59"/>
      <c r="L189" s="59"/>
      <c r="M189" s="59"/>
    </row>
    <row r="190" spans="1:14" s="39" customFormat="1" ht="15.75" hidden="1" customHeight="1" x14ac:dyDescent="0.25">
      <c r="A190" s="160" t="s">
        <v>57</v>
      </c>
      <c r="B190" s="161"/>
      <c r="C190" s="161"/>
      <c r="D190" s="161"/>
      <c r="E190" s="161"/>
      <c r="F190" s="162"/>
      <c r="G190" s="43"/>
      <c r="H190" s="43"/>
      <c r="J190" s="58"/>
      <c r="K190" s="55"/>
      <c r="L190" s="58"/>
      <c r="M190" s="58"/>
    </row>
    <row r="191" spans="1:14" s="39" customFormat="1" ht="15.75" hidden="1" x14ac:dyDescent="0.25">
      <c r="A191" s="85">
        <v>1</v>
      </c>
      <c r="B191" s="85"/>
      <c r="C191" s="85"/>
      <c r="D191" s="86">
        <f>C191*1.2</f>
        <v>0</v>
      </c>
      <c r="E191" s="85">
        <v>0</v>
      </c>
      <c r="F191" s="85">
        <f>(C191+E191)*(($F$188)+1)</f>
        <v>0</v>
      </c>
      <c r="G191" s="159"/>
      <c r="H191" s="159"/>
      <c r="I191" s="40"/>
      <c r="J191" s="56"/>
      <c r="K191" s="58"/>
      <c r="L191" s="262"/>
      <c r="M191" s="262"/>
      <c r="N191" s="40"/>
    </row>
    <row r="192" spans="1:14" hidden="1" x14ac:dyDescent="0.25">
      <c r="A192" s="85">
        <f>A191+1</f>
        <v>2</v>
      </c>
      <c r="B192" s="85"/>
      <c r="C192" s="85"/>
      <c r="D192" s="86">
        <f t="shared" ref="D192:D196" si="1">C192*1.2</f>
        <v>0</v>
      </c>
      <c r="E192" s="85">
        <v>0</v>
      </c>
      <c r="F192" s="85">
        <f t="shared" ref="F192:F196" si="2">(C192+E192)*(($F$188)+1)</f>
        <v>0</v>
      </c>
      <c r="J192" s="57"/>
      <c r="K192" s="57"/>
      <c r="L192" s="57"/>
      <c r="M192" s="57"/>
    </row>
    <row r="193" spans="1:14" hidden="1" x14ac:dyDescent="0.25">
      <c r="A193" s="85">
        <f t="shared" ref="A193:A196" si="3">A192+1</f>
        <v>3</v>
      </c>
      <c r="B193" s="85"/>
      <c r="C193" s="85"/>
      <c r="D193" s="86">
        <f t="shared" si="1"/>
        <v>0</v>
      </c>
      <c r="E193" s="85">
        <v>0</v>
      </c>
      <c r="F193" s="85">
        <f t="shared" si="2"/>
        <v>0</v>
      </c>
    </row>
    <row r="194" spans="1:14" hidden="1" x14ac:dyDescent="0.25">
      <c r="A194" s="85">
        <f t="shared" si="3"/>
        <v>4</v>
      </c>
      <c r="B194" s="85"/>
      <c r="C194" s="85"/>
      <c r="D194" s="86">
        <f t="shared" si="1"/>
        <v>0</v>
      </c>
      <c r="E194" s="85">
        <v>0</v>
      </c>
      <c r="F194" s="85">
        <f t="shared" si="2"/>
        <v>0</v>
      </c>
    </row>
    <row r="195" spans="1:14" hidden="1" x14ac:dyDescent="0.25">
      <c r="A195" s="85">
        <f t="shared" si="3"/>
        <v>5</v>
      </c>
      <c r="B195" s="85"/>
      <c r="C195" s="85"/>
      <c r="D195" s="86">
        <f t="shared" si="1"/>
        <v>0</v>
      </c>
      <c r="E195" s="85">
        <v>0</v>
      </c>
      <c r="F195" s="85">
        <f t="shared" si="2"/>
        <v>0</v>
      </c>
    </row>
    <row r="196" spans="1:14" hidden="1" x14ac:dyDescent="0.25">
      <c r="A196" s="85">
        <f t="shared" si="3"/>
        <v>6</v>
      </c>
      <c r="B196" s="85"/>
      <c r="C196" s="85"/>
      <c r="D196" s="86">
        <f t="shared" si="1"/>
        <v>0</v>
      </c>
      <c r="E196" s="85">
        <v>0</v>
      </c>
      <c r="F196" s="85">
        <f t="shared" si="2"/>
        <v>0</v>
      </c>
    </row>
    <row r="197" spans="1:14" s="39" customFormat="1" ht="15.75" hidden="1" customHeight="1" x14ac:dyDescent="0.25">
      <c r="A197" s="160" t="s">
        <v>240</v>
      </c>
      <c r="B197" s="161"/>
      <c r="C197" s="161"/>
      <c r="D197" s="161"/>
      <c r="E197" s="161"/>
      <c r="F197" s="162"/>
      <c r="G197" s="43"/>
      <c r="H197" s="43"/>
      <c r="J197" s="58"/>
      <c r="K197" s="55"/>
      <c r="L197" s="58"/>
      <c r="M197" s="58"/>
    </row>
    <row r="198" spans="1:14" s="39" customFormat="1" ht="15.75" hidden="1" x14ac:dyDescent="0.25">
      <c r="A198" s="85">
        <v>1</v>
      </c>
      <c r="B198" s="85"/>
      <c r="C198" s="85"/>
      <c r="D198" s="86">
        <f>C198*1.2</f>
        <v>0</v>
      </c>
      <c r="E198" s="85">
        <v>0</v>
      </c>
      <c r="F198" s="85">
        <f>(C198+E198)*(($F$188)+1)</f>
        <v>0</v>
      </c>
      <c r="G198" s="159"/>
      <c r="H198" s="159"/>
      <c r="I198" s="40"/>
      <c r="J198" s="56"/>
      <c r="K198" s="58"/>
      <c r="L198" s="262"/>
      <c r="M198" s="262"/>
      <c r="N198" s="40"/>
    </row>
    <row r="199" spans="1:14" hidden="1" x14ac:dyDescent="0.25">
      <c r="A199" s="85">
        <f>A198+1</f>
        <v>2</v>
      </c>
      <c r="B199" s="85"/>
      <c r="C199" s="85"/>
      <c r="D199" s="86">
        <f t="shared" ref="D199:D203" si="4">C199*1.2</f>
        <v>0</v>
      </c>
      <c r="E199" s="85">
        <v>0</v>
      </c>
      <c r="F199" s="85">
        <f t="shared" ref="F199:F203" si="5">(C199+E199)*(($F$188)+1)</f>
        <v>0</v>
      </c>
      <c r="J199" s="57"/>
      <c r="K199" s="57"/>
      <c r="L199" s="57"/>
      <c r="M199" s="57"/>
    </row>
    <row r="200" spans="1:14" hidden="1" x14ac:dyDescent="0.25">
      <c r="A200" s="85">
        <f t="shared" ref="A200:A203" si="6">A199+1</f>
        <v>3</v>
      </c>
      <c r="B200" s="85"/>
      <c r="C200" s="85"/>
      <c r="D200" s="86">
        <f t="shared" si="4"/>
        <v>0</v>
      </c>
      <c r="E200" s="85">
        <v>0</v>
      </c>
      <c r="F200" s="85">
        <f t="shared" si="5"/>
        <v>0</v>
      </c>
      <c r="J200" s="57"/>
      <c r="K200" s="57"/>
      <c r="L200" s="57"/>
      <c r="M200" s="57"/>
    </row>
    <row r="201" spans="1:14" hidden="1" x14ac:dyDescent="0.25">
      <c r="A201" s="85">
        <f t="shared" si="6"/>
        <v>4</v>
      </c>
      <c r="B201" s="85"/>
      <c r="C201" s="85"/>
      <c r="D201" s="86">
        <f t="shared" si="4"/>
        <v>0</v>
      </c>
      <c r="E201" s="85">
        <v>0</v>
      </c>
      <c r="F201" s="85">
        <f t="shared" si="5"/>
        <v>0</v>
      </c>
      <c r="J201" s="57"/>
      <c r="K201" s="57"/>
      <c r="L201" s="57"/>
      <c r="M201" s="57"/>
    </row>
    <row r="202" spans="1:14" hidden="1" x14ac:dyDescent="0.25">
      <c r="A202" s="85">
        <f t="shared" si="6"/>
        <v>5</v>
      </c>
      <c r="B202" s="85"/>
      <c r="C202" s="85"/>
      <c r="D202" s="86">
        <f t="shared" si="4"/>
        <v>0</v>
      </c>
      <c r="E202" s="85">
        <v>0</v>
      </c>
      <c r="F202" s="85">
        <f t="shared" si="5"/>
        <v>0</v>
      </c>
    </row>
    <row r="203" spans="1:14" hidden="1" x14ac:dyDescent="0.25">
      <c r="A203" s="85">
        <f t="shared" si="6"/>
        <v>6</v>
      </c>
      <c r="B203" s="85"/>
      <c r="C203" s="85"/>
      <c r="D203" s="86">
        <f t="shared" si="4"/>
        <v>0</v>
      </c>
      <c r="E203" s="85">
        <v>0</v>
      </c>
      <c r="F203" s="85">
        <f t="shared" si="5"/>
        <v>0</v>
      </c>
    </row>
    <row r="204" spans="1:14" s="39" customFormat="1" ht="15.75" hidden="1" customHeight="1" x14ac:dyDescent="0.25">
      <c r="A204" s="160" t="s">
        <v>241</v>
      </c>
      <c r="B204" s="161"/>
      <c r="C204" s="161"/>
      <c r="D204" s="161"/>
      <c r="E204" s="161"/>
      <c r="F204" s="162"/>
      <c r="G204" s="43"/>
      <c r="H204" s="43"/>
      <c r="J204" s="58"/>
      <c r="K204" s="55"/>
      <c r="L204" s="58"/>
      <c r="M204" s="58"/>
    </row>
    <row r="205" spans="1:14" s="39" customFormat="1" ht="15.75" hidden="1" x14ac:dyDescent="0.25">
      <c r="A205" s="85">
        <v>1</v>
      </c>
      <c r="B205" s="85"/>
      <c r="C205" s="85"/>
      <c r="D205" s="86">
        <f>C205*1.2</f>
        <v>0</v>
      </c>
      <c r="E205" s="85">
        <v>0</v>
      </c>
      <c r="F205" s="85">
        <f>(C205+E205)*(($F$188)+1)</f>
        <v>0</v>
      </c>
      <c r="G205" s="159"/>
      <c r="H205" s="159"/>
      <c r="I205" s="40"/>
      <c r="J205" s="56"/>
      <c r="K205" s="58"/>
      <c r="L205" s="262"/>
      <c r="M205" s="262"/>
      <c r="N205" s="40"/>
    </row>
    <row r="206" spans="1:14" hidden="1" x14ac:dyDescent="0.25">
      <c r="A206" s="85">
        <f>A205+1</f>
        <v>2</v>
      </c>
      <c r="B206" s="85"/>
      <c r="C206" s="85"/>
      <c r="D206" s="86">
        <f t="shared" ref="D206:D210" si="7">C206*1.2</f>
        <v>0</v>
      </c>
      <c r="E206" s="85">
        <v>0</v>
      </c>
      <c r="F206" s="85">
        <f t="shared" ref="F206:F210" si="8">(C206+E206)*(($F$188)+1)</f>
        <v>0</v>
      </c>
      <c r="J206" s="57"/>
      <c r="K206" s="57"/>
      <c r="L206" s="57"/>
      <c r="M206" s="57"/>
    </row>
    <row r="207" spans="1:14" hidden="1" x14ac:dyDescent="0.25">
      <c r="A207" s="85">
        <f t="shared" ref="A207:A210" si="9">A206+1</f>
        <v>3</v>
      </c>
      <c r="B207" s="85"/>
      <c r="C207" s="85"/>
      <c r="D207" s="86">
        <f t="shared" si="7"/>
        <v>0</v>
      </c>
      <c r="E207" s="85">
        <v>0</v>
      </c>
      <c r="F207" s="85">
        <f t="shared" si="8"/>
        <v>0</v>
      </c>
      <c r="J207" s="57"/>
      <c r="K207" s="57"/>
      <c r="L207" s="57"/>
      <c r="M207" s="57"/>
    </row>
    <row r="208" spans="1:14" hidden="1" x14ac:dyDescent="0.25">
      <c r="A208" s="85">
        <f t="shared" si="9"/>
        <v>4</v>
      </c>
      <c r="B208" s="85"/>
      <c r="C208" s="85"/>
      <c r="D208" s="86">
        <f t="shared" si="7"/>
        <v>0</v>
      </c>
      <c r="E208" s="85">
        <v>0</v>
      </c>
      <c r="F208" s="85">
        <f t="shared" si="8"/>
        <v>0</v>
      </c>
    </row>
    <row r="209" spans="1:14" hidden="1" x14ac:dyDescent="0.25">
      <c r="A209" s="85">
        <f t="shared" si="9"/>
        <v>5</v>
      </c>
      <c r="B209" s="85"/>
      <c r="C209" s="85"/>
      <c r="D209" s="86">
        <f t="shared" si="7"/>
        <v>0</v>
      </c>
      <c r="E209" s="85">
        <v>0</v>
      </c>
      <c r="F209" s="85">
        <f t="shared" si="8"/>
        <v>0</v>
      </c>
    </row>
    <row r="210" spans="1:14" hidden="1" x14ac:dyDescent="0.25">
      <c r="A210" s="85">
        <f t="shared" si="9"/>
        <v>6</v>
      </c>
      <c r="B210" s="85"/>
      <c r="C210" s="85"/>
      <c r="D210" s="86">
        <f t="shared" si="7"/>
        <v>0</v>
      </c>
      <c r="E210" s="85">
        <v>0</v>
      </c>
      <c r="F210" s="85">
        <f t="shared" si="8"/>
        <v>0</v>
      </c>
    </row>
    <row r="211" spans="1:14" s="38" customFormat="1" ht="15.75" hidden="1" x14ac:dyDescent="0.25">
      <c r="A211" s="286"/>
      <c r="B211" s="287"/>
      <c r="C211" s="287"/>
      <c r="D211" s="287"/>
      <c r="E211" s="287"/>
      <c r="F211" s="288"/>
      <c r="G211" s="42"/>
      <c r="H211" s="42"/>
    </row>
    <row r="212" spans="1:14" s="38" customFormat="1" ht="15.75" x14ac:dyDescent="0.25">
      <c r="A212" s="268" t="s">
        <v>53</v>
      </c>
      <c r="B212" s="269"/>
      <c r="C212" s="269"/>
      <c r="D212" s="269"/>
      <c r="E212" s="269"/>
      <c r="F212" s="270"/>
      <c r="G212" s="42"/>
      <c r="H212" s="42"/>
    </row>
    <row r="213" spans="1:14" s="38" customFormat="1" ht="27.6" customHeight="1" x14ac:dyDescent="0.25">
      <c r="A213" s="264" t="s">
        <v>270</v>
      </c>
      <c r="B213" s="264" t="s">
        <v>54</v>
      </c>
      <c r="C213" s="264" t="s">
        <v>55</v>
      </c>
      <c r="D213" s="264" t="s">
        <v>58</v>
      </c>
      <c r="E213" s="266" t="s">
        <v>56</v>
      </c>
      <c r="F213" s="126" t="s">
        <v>282</v>
      </c>
      <c r="G213" s="263"/>
      <c r="H213" s="263"/>
      <c r="I213" s="263"/>
      <c r="J213" s="263"/>
      <c r="K213" s="263"/>
    </row>
    <row r="214" spans="1:14" s="38" customFormat="1" ht="15.75" x14ac:dyDescent="0.25">
      <c r="A214" s="265"/>
      <c r="B214" s="265"/>
      <c r="C214" s="265"/>
      <c r="D214" s="265"/>
      <c r="E214" s="267"/>
      <c r="F214" s="135">
        <v>0.5</v>
      </c>
      <c r="G214" s="263"/>
      <c r="H214" s="263"/>
      <c r="I214" s="60"/>
      <c r="J214" s="60"/>
      <c r="K214" s="57"/>
    </row>
    <row r="215" spans="1:14" s="37" customFormat="1" ht="15.75" x14ac:dyDescent="0.25">
      <c r="A215" s="268" t="s">
        <v>320</v>
      </c>
      <c r="B215" s="269"/>
      <c r="C215" s="269"/>
      <c r="D215" s="269"/>
      <c r="E215" s="269"/>
      <c r="F215" s="270"/>
      <c r="G215" s="158"/>
      <c r="H215" s="158"/>
      <c r="I215" s="158"/>
      <c r="J215" s="158"/>
      <c r="K215" s="158"/>
    </row>
    <row r="216" spans="1:14" s="39" customFormat="1" ht="15.75" customHeight="1" x14ac:dyDescent="0.25">
      <c r="A216" s="160" t="s">
        <v>321</v>
      </c>
      <c r="B216" s="161"/>
      <c r="C216" s="161"/>
      <c r="D216" s="161"/>
      <c r="E216" s="161"/>
      <c r="F216" s="162"/>
      <c r="G216" s="43"/>
      <c r="H216" s="43"/>
      <c r="I216" s="58"/>
      <c r="J216" s="58"/>
      <c r="K216" s="55"/>
    </row>
    <row r="217" spans="1:14" s="39" customFormat="1" ht="15.75" x14ac:dyDescent="0.25">
      <c r="A217" s="85">
        <v>1</v>
      </c>
      <c r="B217" s="85" t="s">
        <v>322</v>
      </c>
      <c r="C217" s="85">
        <f>(29.96)*10.764</f>
        <v>322.48944</v>
      </c>
      <c r="D217" s="86">
        <f>C217*1.2</f>
        <v>386.98732799999999</v>
      </c>
      <c r="E217" s="85">
        <v>0</v>
      </c>
      <c r="F217" s="85">
        <f>C217*(($F$214)+1)+(IF(E217&lt;101,E217,IF(E217&lt;201,E217/2,IF(E217&lt;=301,E217/3,E217/4))))</f>
        <v>483.73415999999997</v>
      </c>
      <c r="G217" s="107">
        <f>(3.05*3.43+1.05*1.83+2.05*1.48+2.85*2.9+1.07*1.53+1.22*1.05+1.33*0.6+1.38*0.58)</f>
        <v>28.198499999999999</v>
      </c>
      <c r="H217" s="107"/>
      <c r="I217" s="55">
        <f>51510000/F217</f>
        <v>106484.10689044578</v>
      </c>
      <c r="J217" s="56"/>
      <c r="K217" s="57"/>
      <c r="L217" s="262"/>
      <c r="M217" s="262"/>
      <c r="N217" s="40"/>
    </row>
    <row r="218" spans="1:14" x14ac:dyDescent="0.25">
      <c r="A218" s="85">
        <f>A217+1</f>
        <v>2</v>
      </c>
      <c r="B218" s="85" t="s">
        <v>322</v>
      </c>
      <c r="C218" s="85">
        <f t="shared" ref="C218:C221" si="10">(29.96)*10.764</f>
        <v>322.48944</v>
      </c>
      <c r="D218" s="86">
        <f t="shared" ref="D218:D221" si="11">C218*1.2</f>
        <v>386.98732799999999</v>
      </c>
      <c r="E218" s="85">
        <v>0</v>
      </c>
      <c r="F218" s="85">
        <f>C218*(($F$214)+1)+(IF(E218&lt;101,E218,IF(E218&lt;201,E218/2,IF(E218&lt;=301,E218/3,E218/4))))</f>
        <v>483.73415999999997</v>
      </c>
      <c r="I218" s="57"/>
      <c r="J218" s="57"/>
      <c r="K218" s="57"/>
      <c r="L218" s="57"/>
      <c r="M218" s="57"/>
    </row>
    <row r="219" spans="1:14" x14ac:dyDescent="0.25">
      <c r="A219" s="85">
        <f t="shared" ref="A219:A225" si="12">A218+1</f>
        <v>3</v>
      </c>
      <c r="B219" s="85" t="s">
        <v>322</v>
      </c>
      <c r="C219" s="85">
        <f t="shared" si="10"/>
        <v>322.48944</v>
      </c>
      <c r="D219" s="86">
        <f t="shared" si="11"/>
        <v>386.98732799999999</v>
      </c>
      <c r="E219" s="85">
        <v>0</v>
      </c>
      <c r="F219" s="85">
        <f>C219*(($F$214)+1)+(IF(E219&lt;101,E219,IF(E219&lt;201,E219/2,IF(E219&lt;=301,E219/3,E219/4))))</f>
        <v>483.73415999999997</v>
      </c>
      <c r="I219" s="57"/>
      <c r="J219" s="57"/>
      <c r="K219" s="57"/>
      <c r="L219" s="57"/>
      <c r="M219" s="57"/>
    </row>
    <row r="220" spans="1:14" ht="15.75" x14ac:dyDescent="0.25">
      <c r="A220" s="85">
        <f t="shared" si="12"/>
        <v>4</v>
      </c>
      <c r="B220" s="85" t="s">
        <v>322</v>
      </c>
      <c r="C220" s="85">
        <f t="shared" si="10"/>
        <v>322.48944</v>
      </c>
      <c r="D220" s="86">
        <f t="shared" si="11"/>
        <v>386.98732799999999</v>
      </c>
      <c r="E220" s="85">
        <v>0</v>
      </c>
      <c r="F220" s="85">
        <f>C220*(($F$214)+1)+(IF(E220&lt;101,E220,IF(E220&lt;201,E220/2,IF(E220&lt;=301,E220/3,E220/4))))</f>
        <v>483.73415999999997</v>
      </c>
      <c r="I220" s="57"/>
      <c r="J220" s="57"/>
      <c r="K220" s="55"/>
      <c r="L220" s="57"/>
      <c r="M220" s="57"/>
    </row>
    <row r="221" spans="1:14" ht="15.75" x14ac:dyDescent="0.25">
      <c r="A221" s="85">
        <f t="shared" si="12"/>
        <v>5</v>
      </c>
      <c r="B221" s="85" t="s">
        <v>322</v>
      </c>
      <c r="C221" s="85">
        <f t="shared" si="10"/>
        <v>322.48944</v>
      </c>
      <c r="D221" s="86">
        <f t="shared" si="11"/>
        <v>386.98732799999999</v>
      </c>
      <c r="E221" s="85">
        <v>0</v>
      </c>
      <c r="F221" s="85">
        <f>C221*(($F$214)+1)+(IF(E221&lt;101,E221,IF(E221&lt;201,E221/2,IF(E221&lt;=301,E221/3,E221/4))))</f>
        <v>483.73415999999997</v>
      </c>
      <c r="I221" s="57"/>
      <c r="J221" s="57"/>
      <c r="K221" s="58"/>
      <c r="L221" s="57"/>
      <c r="M221" s="57"/>
    </row>
    <row r="222" spans="1:14" x14ac:dyDescent="0.25">
      <c r="A222" s="85">
        <f t="shared" si="12"/>
        <v>6</v>
      </c>
      <c r="B222" s="171" t="s">
        <v>323</v>
      </c>
      <c r="C222" s="172"/>
      <c r="D222" s="172"/>
      <c r="E222" s="172"/>
      <c r="F222" s="173"/>
      <c r="I222" s="57"/>
      <c r="J222" s="57"/>
      <c r="K222" s="57"/>
      <c r="L222" s="57"/>
      <c r="M222" s="57"/>
    </row>
    <row r="223" spans="1:14" ht="15.75" x14ac:dyDescent="0.25">
      <c r="A223" s="85">
        <f t="shared" si="12"/>
        <v>7</v>
      </c>
      <c r="B223" s="174"/>
      <c r="C223" s="175"/>
      <c r="D223" s="175"/>
      <c r="E223" s="175"/>
      <c r="F223" s="176"/>
      <c r="I223" s="57"/>
      <c r="J223" s="57"/>
      <c r="K223" s="55"/>
      <c r="L223" s="57"/>
      <c r="M223" s="57"/>
    </row>
    <row r="224" spans="1:14" ht="15.75" x14ac:dyDescent="0.25">
      <c r="A224" s="85">
        <f t="shared" si="12"/>
        <v>8</v>
      </c>
      <c r="B224" s="85" t="s">
        <v>322</v>
      </c>
      <c r="C224" s="85">
        <f t="shared" ref="C224:C225" si="13">(29.96)*10.764</f>
        <v>322.48944</v>
      </c>
      <c r="D224" s="86">
        <f t="shared" ref="D224:D225" si="14">C224*1.2</f>
        <v>386.98732799999999</v>
      </c>
      <c r="E224" s="85">
        <v>0</v>
      </c>
      <c r="F224" s="85">
        <f>C224*(($F$214)+1)+(IF(E224&lt;101,E224,IF(E224&lt;201,E224/2,IF(E224&lt;=301,E224/3,E224/4))))</f>
        <v>483.73415999999997</v>
      </c>
      <c r="I224" s="57"/>
      <c r="J224" s="57"/>
      <c r="K224" s="102"/>
      <c r="L224" s="57"/>
      <c r="M224" s="57"/>
    </row>
    <row r="225" spans="1:14" x14ac:dyDescent="0.25">
      <c r="A225" s="85">
        <f t="shared" si="12"/>
        <v>9</v>
      </c>
      <c r="B225" s="85" t="s">
        <v>322</v>
      </c>
      <c r="C225" s="85">
        <f t="shared" si="13"/>
        <v>322.48944</v>
      </c>
      <c r="D225" s="86">
        <f t="shared" si="14"/>
        <v>386.98732799999999</v>
      </c>
      <c r="E225" s="85">
        <v>0</v>
      </c>
      <c r="F225" s="85">
        <f>C225*(($F$214)+1)+(IF(E225&lt;101,E225,IF(E225&lt;201,E225/2,IF(E225&lt;=301,E225/3,E225/4))))</f>
        <v>483.73415999999997</v>
      </c>
      <c r="I225" s="57"/>
      <c r="J225" s="57"/>
      <c r="K225" s="57"/>
      <c r="L225" s="57"/>
      <c r="M225" s="57"/>
    </row>
    <row r="226" spans="1:14" s="39" customFormat="1" ht="45" customHeight="1" x14ac:dyDescent="0.25">
      <c r="A226" s="160" t="s">
        <v>324</v>
      </c>
      <c r="B226" s="161"/>
      <c r="C226" s="161"/>
      <c r="D226" s="161"/>
      <c r="E226" s="161"/>
      <c r="F226" s="162"/>
      <c r="G226" s="43"/>
      <c r="H226" s="43"/>
      <c r="I226" s="58"/>
      <c r="J226" s="58"/>
      <c r="K226" s="57"/>
      <c r="L226" s="58"/>
      <c r="M226" s="58"/>
    </row>
    <row r="227" spans="1:14" s="39" customFormat="1" ht="15.75" x14ac:dyDescent="0.25">
      <c r="A227" s="85">
        <v>1</v>
      </c>
      <c r="B227" s="85" t="s">
        <v>322</v>
      </c>
      <c r="C227" s="85">
        <f>(29.96)*10.764</f>
        <v>322.48944</v>
      </c>
      <c r="D227" s="86">
        <f>C227*1.2</f>
        <v>386.98732799999999</v>
      </c>
      <c r="E227" s="85">
        <v>0</v>
      </c>
      <c r="F227" s="85">
        <f>C227*(($F$214)+1)+(IF(E227&lt;101,E227,IF(E227&lt;201,E227/2,IF(E227&lt;=301,E227/3,E227/4))))</f>
        <v>483.73415999999997</v>
      </c>
      <c r="G227" s="159"/>
      <c r="H227" s="159"/>
      <c r="I227" s="55"/>
      <c r="J227" s="56"/>
      <c r="K227" s="57"/>
      <c r="L227" s="262"/>
      <c r="M227" s="262"/>
      <c r="N227" s="40"/>
    </row>
    <row r="228" spans="1:14" x14ac:dyDescent="0.25">
      <c r="A228" s="85">
        <f>A227+1</f>
        <v>2</v>
      </c>
      <c r="B228" s="85" t="s">
        <v>322</v>
      </c>
      <c r="C228" s="85">
        <f t="shared" ref="C228:C244" si="15">(29.96)*10.764</f>
        <v>322.48944</v>
      </c>
      <c r="D228" s="86">
        <f t="shared" ref="D228:D232" si="16">C228*1.2</f>
        <v>386.98732799999999</v>
      </c>
      <c r="E228" s="85">
        <v>0</v>
      </c>
      <c r="F228" s="85">
        <f t="shared" ref="F228:F232" si="17">C228*(($F$214)+1)+(IF(E228&lt;101,E228,IF(E228&lt;201,E228/2,IF(E228&lt;=301,E228/3,E228/4))))</f>
        <v>483.73415999999997</v>
      </c>
      <c r="I228" s="57"/>
      <c r="J228" s="57"/>
      <c r="K228" s="57"/>
      <c r="L228" s="57"/>
      <c r="M228" s="57"/>
    </row>
    <row r="229" spans="1:14" x14ac:dyDescent="0.25">
      <c r="A229" s="85">
        <f t="shared" ref="A229:A244" si="18">A228+1</f>
        <v>3</v>
      </c>
      <c r="B229" s="85" t="s">
        <v>322</v>
      </c>
      <c r="C229" s="85">
        <f t="shared" si="15"/>
        <v>322.48944</v>
      </c>
      <c r="D229" s="86">
        <f t="shared" si="16"/>
        <v>386.98732799999999</v>
      </c>
      <c r="E229" s="85">
        <v>0</v>
      </c>
      <c r="F229" s="85">
        <f t="shared" si="17"/>
        <v>483.73415999999997</v>
      </c>
      <c r="I229" s="57"/>
      <c r="J229" s="57"/>
      <c r="K229" s="57"/>
      <c r="L229" s="57"/>
      <c r="M229" s="57"/>
    </row>
    <row r="230" spans="1:14" ht="15.75" x14ac:dyDescent="0.25">
      <c r="A230" s="85">
        <f t="shared" si="18"/>
        <v>4</v>
      </c>
      <c r="B230" s="85" t="s">
        <v>322</v>
      </c>
      <c r="C230" s="85">
        <f t="shared" si="15"/>
        <v>322.48944</v>
      </c>
      <c r="D230" s="86">
        <f t="shared" si="16"/>
        <v>386.98732799999999</v>
      </c>
      <c r="E230" s="85">
        <v>0</v>
      </c>
      <c r="F230" s="85">
        <f t="shared" si="17"/>
        <v>483.73415999999997</v>
      </c>
      <c r="I230" s="57"/>
      <c r="J230" s="57"/>
      <c r="K230" s="55"/>
      <c r="L230" s="57"/>
      <c r="M230" s="57"/>
    </row>
    <row r="231" spans="1:14" ht="15.75" x14ac:dyDescent="0.25">
      <c r="A231" s="85">
        <f t="shared" si="18"/>
        <v>5</v>
      </c>
      <c r="B231" s="85" t="s">
        <v>322</v>
      </c>
      <c r="C231" s="85">
        <f t="shared" si="15"/>
        <v>322.48944</v>
      </c>
      <c r="D231" s="86">
        <f t="shared" si="16"/>
        <v>386.98732799999999</v>
      </c>
      <c r="E231" s="85">
        <v>0</v>
      </c>
      <c r="F231" s="85">
        <f t="shared" si="17"/>
        <v>483.73415999999997</v>
      </c>
      <c r="I231" s="57"/>
      <c r="J231" s="57"/>
      <c r="K231" s="58"/>
      <c r="L231" s="57"/>
      <c r="M231" s="57"/>
    </row>
    <row r="232" spans="1:14" x14ac:dyDescent="0.25">
      <c r="A232" s="85">
        <f t="shared" si="18"/>
        <v>6</v>
      </c>
      <c r="B232" s="85" t="s">
        <v>322</v>
      </c>
      <c r="C232" s="85">
        <f t="shared" si="15"/>
        <v>322.48944</v>
      </c>
      <c r="D232" s="86">
        <f t="shared" si="16"/>
        <v>386.98732799999999</v>
      </c>
      <c r="E232" s="85">
        <v>0</v>
      </c>
      <c r="F232" s="85">
        <f t="shared" si="17"/>
        <v>483.73415999999997</v>
      </c>
      <c r="I232" s="57"/>
      <c r="J232" s="57"/>
      <c r="K232" s="57"/>
      <c r="L232" s="57"/>
      <c r="M232" s="57"/>
    </row>
    <row r="233" spans="1:14" s="103" customFormat="1" ht="15.75" x14ac:dyDescent="0.25">
      <c r="A233" s="85">
        <f t="shared" si="18"/>
        <v>7</v>
      </c>
      <c r="B233" s="85" t="s">
        <v>322</v>
      </c>
      <c r="C233" s="85">
        <f t="shared" si="15"/>
        <v>322.48944</v>
      </c>
      <c r="D233" s="86">
        <f>C233*1.2</f>
        <v>386.98732799999999</v>
      </c>
      <c r="E233" s="85">
        <v>0</v>
      </c>
      <c r="F233" s="85">
        <f>C233*(($F$214)+1)+(IF(E233&lt;101,E233,IF(E233&lt;201,E233/2,IF(E233&lt;=301,E233/3,E233/4))))</f>
        <v>483.73415999999997</v>
      </c>
      <c r="G233" s="159"/>
      <c r="H233" s="159"/>
      <c r="I233" s="55"/>
      <c r="J233" s="56"/>
      <c r="K233" s="57"/>
      <c r="L233" s="262"/>
      <c r="M233" s="262"/>
      <c r="N233" s="40"/>
    </row>
    <row r="234" spans="1:14" x14ac:dyDescent="0.25">
      <c r="A234" s="85">
        <f t="shared" si="18"/>
        <v>8</v>
      </c>
      <c r="B234" s="85" t="s">
        <v>322</v>
      </c>
      <c r="C234" s="85">
        <f t="shared" si="15"/>
        <v>322.48944</v>
      </c>
      <c r="D234" s="86">
        <f t="shared" ref="D234:D238" si="19">C234*1.2</f>
        <v>386.98732799999999</v>
      </c>
      <c r="E234" s="85">
        <v>0</v>
      </c>
      <c r="F234" s="85">
        <f t="shared" ref="F234:F238" si="20">C234*(($F$214)+1)+(IF(E234&lt;101,E234,IF(E234&lt;201,E234/2,IF(E234&lt;=301,E234/3,E234/4))))</f>
        <v>483.73415999999997</v>
      </c>
      <c r="I234" s="57"/>
      <c r="J234" s="57"/>
      <c r="K234" s="57"/>
      <c r="L234" s="57"/>
      <c r="M234" s="57"/>
    </row>
    <row r="235" spans="1:14" x14ac:dyDescent="0.25">
      <c r="A235" s="85">
        <f t="shared" si="18"/>
        <v>9</v>
      </c>
      <c r="B235" s="85" t="s">
        <v>322</v>
      </c>
      <c r="C235" s="85">
        <f t="shared" si="15"/>
        <v>322.48944</v>
      </c>
      <c r="D235" s="86">
        <f t="shared" si="19"/>
        <v>386.98732799999999</v>
      </c>
      <c r="E235" s="85">
        <v>0</v>
      </c>
      <c r="F235" s="85">
        <f t="shared" si="20"/>
        <v>483.73415999999997</v>
      </c>
      <c r="I235" s="57"/>
      <c r="J235" s="57"/>
      <c r="K235" s="57"/>
      <c r="L235" s="57"/>
      <c r="M235" s="57"/>
    </row>
    <row r="236" spans="1:14" ht="15.75" x14ac:dyDescent="0.25">
      <c r="A236" s="85">
        <f t="shared" si="18"/>
        <v>10</v>
      </c>
      <c r="B236" s="85" t="s">
        <v>322</v>
      </c>
      <c r="C236" s="85">
        <f t="shared" si="15"/>
        <v>322.48944</v>
      </c>
      <c r="D236" s="86">
        <f t="shared" si="19"/>
        <v>386.98732799999999</v>
      </c>
      <c r="E236" s="85">
        <v>0</v>
      </c>
      <c r="F236" s="85">
        <f t="shared" si="20"/>
        <v>483.73415999999997</v>
      </c>
      <c r="I236" s="57"/>
      <c r="J236" s="57"/>
      <c r="K236" s="55"/>
      <c r="L236" s="57"/>
      <c r="M236" s="57"/>
    </row>
    <row r="237" spans="1:14" ht="15.75" x14ac:dyDescent="0.25">
      <c r="A237" s="85">
        <f t="shared" si="18"/>
        <v>11</v>
      </c>
      <c r="B237" s="85" t="s">
        <v>322</v>
      </c>
      <c r="C237" s="85">
        <f t="shared" si="15"/>
        <v>322.48944</v>
      </c>
      <c r="D237" s="86">
        <f t="shared" si="19"/>
        <v>386.98732799999999</v>
      </c>
      <c r="E237" s="85">
        <v>0</v>
      </c>
      <c r="F237" s="85">
        <f t="shared" si="20"/>
        <v>483.73415999999997</v>
      </c>
      <c r="I237" s="57"/>
      <c r="J237" s="57"/>
      <c r="K237" s="102"/>
      <c r="L237" s="57"/>
      <c r="M237" s="57"/>
    </row>
    <row r="238" spans="1:14" x14ac:dyDescent="0.25">
      <c r="A238" s="85">
        <f t="shared" si="18"/>
        <v>12</v>
      </c>
      <c r="B238" s="85" t="s">
        <v>322</v>
      </c>
      <c r="C238" s="85">
        <f t="shared" si="15"/>
        <v>322.48944</v>
      </c>
      <c r="D238" s="86">
        <f t="shared" si="19"/>
        <v>386.98732799999999</v>
      </c>
      <c r="E238" s="85">
        <v>0</v>
      </c>
      <c r="F238" s="85">
        <f t="shared" si="20"/>
        <v>483.73415999999997</v>
      </c>
      <c r="I238" s="57"/>
      <c r="J238" s="57"/>
      <c r="K238" s="57"/>
      <c r="L238" s="57"/>
      <c r="M238" s="57"/>
    </row>
    <row r="239" spans="1:14" s="103" customFormat="1" ht="15.75" x14ac:dyDescent="0.25">
      <c r="A239" s="85">
        <v>14</v>
      </c>
      <c r="B239" s="85" t="s">
        <v>322</v>
      </c>
      <c r="C239" s="85">
        <f t="shared" si="15"/>
        <v>322.48944</v>
      </c>
      <c r="D239" s="86">
        <f>C239*1.2</f>
        <v>386.98732799999999</v>
      </c>
      <c r="E239" s="85">
        <v>0</v>
      </c>
      <c r="F239" s="85">
        <f>C239*(($F$214)+1)+(IF(E239&lt;101,E239,IF(E239&lt;201,E239/2,IF(E239&lt;=301,E239/3,E239/4))))</f>
        <v>483.73415999999997</v>
      </c>
      <c r="G239" s="159"/>
      <c r="H239" s="159"/>
      <c r="I239" s="55"/>
      <c r="J239" s="56"/>
      <c r="K239" s="57"/>
      <c r="L239" s="262"/>
      <c r="M239" s="262"/>
      <c r="N239" s="40"/>
    </row>
    <row r="240" spans="1:14" x14ac:dyDescent="0.25">
      <c r="A240" s="85">
        <f t="shared" si="18"/>
        <v>15</v>
      </c>
      <c r="B240" s="85" t="s">
        <v>322</v>
      </c>
      <c r="C240" s="85">
        <f t="shared" si="15"/>
        <v>322.48944</v>
      </c>
      <c r="D240" s="86">
        <f t="shared" ref="D240:D244" si="21">C240*1.2</f>
        <v>386.98732799999999</v>
      </c>
      <c r="E240" s="85">
        <v>0</v>
      </c>
      <c r="F240" s="85">
        <f t="shared" ref="F240:F244" si="22">C240*(($F$214)+1)+(IF(E240&lt;101,E240,IF(E240&lt;201,E240/2,IF(E240&lt;=301,E240/3,E240/4))))</f>
        <v>483.73415999999997</v>
      </c>
      <c r="I240" s="57"/>
      <c r="J240" s="57"/>
      <c r="K240" s="57"/>
      <c r="L240" s="57"/>
      <c r="M240" s="57"/>
    </row>
    <row r="241" spans="1:14" x14ac:dyDescent="0.25">
      <c r="A241" s="85">
        <f t="shared" si="18"/>
        <v>16</v>
      </c>
      <c r="B241" s="85" t="s">
        <v>322</v>
      </c>
      <c r="C241" s="85">
        <f t="shared" si="15"/>
        <v>322.48944</v>
      </c>
      <c r="D241" s="86">
        <f t="shared" si="21"/>
        <v>386.98732799999999</v>
      </c>
      <c r="E241" s="85">
        <v>0</v>
      </c>
      <c r="F241" s="85">
        <f t="shared" si="22"/>
        <v>483.73415999999997</v>
      </c>
      <c r="I241" s="57"/>
      <c r="J241" s="57"/>
      <c r="K241" s="57"/>
      <c r="L241" s="57"/>
      <c r="M241" s="57"/>
    </row>
    <row r="242" spans="1:14" ht="15.75" x14ac:dyDescent="0.25">
      <c r="A242" s="85">
        <f t="shared" si="18"/>
        <v>17</v>
      </c>
      <c r="B242" s="85" t="s">
        <v>322</v>
      </c>
      <c r="C242" s="85">
        <f t="shared" si="15"/>
        <v>322.48944</v>
      </c>
      <c r="D242" s="86">
        <f t="shared" si="21"/>
        <v>386.98732799999999</v>
      </c>
      <c r="E242" s="85">
        <v>0</v>
      </c>
      <c r="F242" s="85">
        <f t="shared" si="22"/>
        <v>483.73415999999997</v>
      </c>
      <c r="I242" s="57"/>
      <c r="J242" s="57"/>
      <c r="K242" s="55"/>
      <c r="L242" s="57"/>
      <c r="M242" s="57"/>
    </row>
    <row r="243" spans="1:14" ht="15.75" x14ac:dyDescent="0.25">
      <c r="A243" s="85">
        <f t="shared" si="18"/>
        <v>18</v>
      </c>
      <c r="B243" s="85" t="s">
        <v>322</v>
      </c>
      <c r="C243" s="85">
        <f t="shared" si="15"/>
        <v>322.48944</v>
      </c>
      <c r="D243" s="86">
        <f t="shared" si="21"/>
        <v>386.98732799999999</v>
      </c>
      <c r="E243" s="85">
        <v>0</v>
      </c>
      <c r="F243" s="85">
        <f t="shared" si="22"/>
        <v>483.73415999999997</v>
      </c>
      <c r="I243" s="57"/>
      <c r="J243" s="57"/>
      <c r="K243" s="102"/>
      <c r="L243" s="57"/>
      <c r="M243" s="57"/>
    </row>
    <row r="244" spans="1:14" x14ac:dyDescent="0.25">
      <c r="A244" s="85">
        <f t="shared" si="18"/>
        <v>19</v>
      </c>
      <c r="B244" s="85" t="s">
        <v>322</v>
      </c>
      <c r="C244" s="85">
        <f t="shared" si="15"/>
        <v>322.48944</v>
      </c>
      <c r="D244" s="86">
        <f t="shared" si="21"/>
        <v>386.98732799999999</v>
      </c>
      <c r="E244" s="85">
        <v>0</v>
      </c>
      <c r="F244" s="85">
        <f t="shared" si="22"/>
        <v>483.73415999999997</v>
      </c>
      <c r="I244" s="57"/>
      <c r="J244" s="57"/>
      <c r="K244" s="57"/>
      <c r="L244" s="57"/>
      <c r="M244" s="57"/>
    </row>
    <row r="245" spans="1:14" s="39" customFormat="1" ht="44.25" customHeight="1" x14ac:dyDescent="0.25">
      <c r="A245" s="160" t="s">
        <v>325</v>
      </c>
      <c r="B245" s="161"/>
      <c r="C245" s="161"/>
      <c r="D245" s="161"/>
      <c r="E245" s="161"/>
      <c r="F245" s="162"/>
      <c r="G245" s="43"/>
      <c r="H245" s="43"/>
      <c r="I245" s="58"/>
      <c r="J245" s="58"/>
      <c r="K245" s="57"/>
      <c r="L245" s="58"/>
      <c r="M245" s="58"/>
    </row>
    <row r="246" spans="1:14" s="103" customFormat="1" ht="15.75" x14ac:dyDescent="0.25">
      <c r="A246" s="85">
        <v>1</v>
      </c>
      <c r="B246" s="85" t="s">
        <v>322</v>
      </c>
      <c r="C246" s="85">
        <f>(29.96)*10.764</f>
        <v>322.48944</v>
      </c>
      <c r="D246" s="86">
        <f>C246*1.2</f>
        <v>386.98732799999999</v>
      </c>
      <c r="E246" s="85">
        <v>0</v>
      </c>
      <c r="F246" s="85">
        <f>C246*(($F$214)+1)+(IF(E246&lt;101,E246,IF(E246&lt;201,E246/2,IF(E246&lt;=301,E246/3,E246/4))))</f>
        <v>483.73415999999997</v>
      </c>
      <c r="G246" s="159"/>
      <c r="H246" s="159"/>
      <c r="I246" s="55"/>
      <c r="J246" s="56"/>
      <c r="K246" s="57"/>
      <c r="L246" s="262"/>
      <c r="M246" s="262"/>
      <c r="N246" s="40"/>
    </row>
    <row r="247" spans="1:14" x14ac:dyDescent="0.25">
      <c r="A247" s="85">
        <f>A246+1</f>
        <v>2</v>
      </c>
      <c r="B247" s="85" t="s">
        <v>322</v>
      </c>
      <c r="C247" s="85">
        <f t="shared" ref="C247:C263" si="23">(29.96)*10.764</f>
        <v>322.48944</v>
      </c>
      <c r="D247" s="86">
        <f t="shared" ref="D247:D251" si="24">C247*1.2</f>
        <v>386.98732799999999</v>
      </c>
      <c r="E247" s="85">
        <v>0</v>
      </c>
      <c r="F247" s="85">
        <f t="shared" ref="F247:F251" si="25">C247*(($F$214)+1)+(IF(E247&lt;101,E247,IF(E247&lt;201,E247/2,IF(E247&lt;=301,E247/3,E247/4))))</f>
        <v>483.73415999999997</v>
      </c>
      <c r="I247" s="57"/>
      <c r="J247" s="57"/>
      <c r="K247" s="57"/>
      <c r="L247" s="57"/>
      <c r="M247" s="57"/>
    </row>
    <row r="248" spans="1:14" x14ac:dyDescent="0.25">
      <c r="A248" s="85">
        <f t="shared" ref="A248:A263" si="26">A247+1</f>
        <v>3</v>
      </c>
      <c r="B248" s="85" t="s">
        <v>322</v>
      </c>
      <c r="C248" s="85">
        <f t="shared" si="23"/>
        <v>322.48944</v>
      </c>
      <c r="D248" s="86">
        <f t="shared" si="24"/>
        <v>386.98732799999999</v>
      </c>
      <c r="E248" s="85">
        <v>0</v>
      </c>
      <c r="F248" s="85">
        <f t="shared" si="25"/>
        <v>483.73415999999997</v>
      </c>
      <c r="I248" s="57"/>
      <c r="J248" s="57"/>
      <c r="K248" s="57"/>
      <c r="L248" s="57"/>
      <c r="M248" s="57"/>
    </row>
    <row r="249" spans="1:14" ht="15.75" x14ac:dyDescent="0.25">
      <c r="A249" s="85">
        <f t="shared" si="26"/>
        <v>4</v>
      </c>
      <c r="B249" s="85" t="s">
        <v>322</v>
      </c>
      <c r="C249" s="85">
        <f t="shared" si="23"/>
        <v>322.48944</v>
      </c>
      <c r="D249" s="86">
        <f t="shared" si="24"/>
        <v>386.98732799999999</v>
      </c>
      <c r="E249" s="85">
        <v>0</v>
      </c>
      <c r="F249" s="85">
        <f t="shared" si="25"/>
        <v>483.73415999999997</v>
      </c>
      <c r="I249" s="57"/>
      <c r="J249" s="57"/>
      <c r="K249" s="55"/>
      <c r="L249" s="57"/>
      <c r="M249" s="57"/>
    </row>
    <row r="250" spans="1:14" ht="15.75" x14ac:dyDescent="0.25">
      <c r="A250" s="85">
        <f t="shared" si="26"/>
        <v>5</v>
      </c>
      <c r="B250" s="85" t="s">
        <v>322</v>
      </c>
      <c r="C250" s="85">
        <f t="shared" si="23"/>
        <v>322.48944</v>
      </c>
      <c r="D250" s="86">
        <f t="shared" si="24"/>
        <v>386.98732799999999</v>
      </c>
      <c r="E250" s="85">
        <v>0</v>
      </c>
      <c r="F250" s="85">
        <f t="shared" si="25"/>
        <v>483.73415999999997</v>
      </c>
      <c r="I250" s="57"/>
      <c r="J250" s="57"/>
      <c r="K250" s="102"/>
      <c r="L250" s="57"/>
      <c r="M250" s="57"/>
    </row>
    <row r="251" spans="1:14" x14ac:dyDescent="0.25">
      <c r="A251" s="85">
        <f t="shared" si="26"/>
        <v>6</v>
      </c>
      <c r="B251" s="85" t="s">
        <v>322</v>
      </c>
      <c r="C251" s="85">
        <f t="shared" si="23"/>
        <v>322.48944</v>
      </c>
      <c r="D251" s="86">
        <f t="shared" si="24"/>
        <v>386.98732799999999</v>
      </c>
      <c r="E251" s="85">
        <v>0</v>
      </c>
      <c r="F251" s="85">
        <f t="shared" si="25"/>
        <v>483.73415999999997</v>
      </c>
      <c r="I251" s="57"/>
      <c r="J251" s="57"/>
      <c r="K251" s="57"/>
      <c r="L251" s="57"/>
      <c r="M251" s="57"/>
    </row>
    <row r="252" spans="1:14" s="103" customFormat="1" ht="15.75" x14ac:dyDescent="0.25">
      <c r="A252" s="85">
        <f t="shared" si="26"/>
        <v>7</v>
      </c>
      <c r="B252" s="85" t="s">
        <v>322</v>
      </c>
      <c r="C252" s="85">
        <f t="shared" si="23"/>
        <v>322.48944</v>
      </c>
      <c r="D252" s="86">
        <f>C252*1.2</f>
        <v>386.98732799999999</v>
      </c>
      <c r="E252" s="85">
        <v>0</v>
      </c>
      <c r="F252" s="85">
        <f>C252*(($F$214)+1)+(IF(E252&lt;101,E252,IF(E252&lt;201,E252/2,IF(E252&lt;=301,E252/3,E252/4))))</f>
        <v>483.73415999999997</v>
      </c>
      <c r="G252" s="159"/>
      <c r="H252" s="159"/>
      <c r="I252" s="55"/>
      <c r="J252" s="56"/>
      <c r="K252" s="57"/>
      <c r="L252" s="262"/>
      <c r="M252" s="262"/>
      <c r="N252" s="40"/>
    </row>
    <row r="253" spans="1:14" x14ac:dyDescent="0.25">
      <c r="A253" s="85">
        <f t="shared" si="26"/>
        <v>8</v>
      </c>
      <c r="B253" s="85" t="s">
        <v>322</v>
      </c>
      <c r="C253" s="85">
        <f t="shared" si="23"/>
        <v>322.48944</v>
      </c>
      <c r="D253" s="86">
        <f t="shared" ref="D253:D259" si="27">C253*1.2</f>
        <v>386.98732799999999</v>
      </c>
      <c r="E253" s="85">
        <v>0</v>
      </c>
      <c r="F253" s="85">
        <f t="shared" ref="F253:F259" si="28">C253*(($F$214)+1)+(IF(E253&lt;101,E253,IF(E253&lt;201,E253/2,IF(E253&lt;=301,E253/3,E253/4))))</f>
        <v>483.73415999999997</v>
      </c>
      <c r="I253" s="57"/>
      <c r="J253" s="57"/>
      <c r="K253" s="57"/>
      <c r="L253" s="57"/>
      <c r="M253" s="57"/>
    </row>
    <row r="254" spans="1:14" x14ac:dyDescent="0.25">
      <c r="A254" s="85">
        <f t="shared" si="26"/>
        <v>9</v>
      </c>
      <c r="B254" s="85" t="s">
        <v>322</v>
      </c>
      <c r="C254" s="85">
        <f t="shared" si="23"/>
        <v>322.48944</v>
      </c>
      <c r="D254" s="86">
        <f t="shared" si="27"/>
        <v>386.98732799999999</v>
      </c>
      <c r="E254" s="85">
        <v>0</v>
      </c>
      <c r="F254" s="85">
        <f t="shared" si="28"/>
        <v>483.73415999999997</v>
      </c>
      <c r="I254" s="57"/>
      <c r="J254" s="57"/>
      <c r="K254" s="57"/>
      <c r="L254" s="57"/>
      <c r="M254" s="57"/>
    </row>
    <row r="255" spans="1:14" ht="15.75" x14ac:dyDescent="0.25">
      <c r="A255" s="85">
        <f t="shared" si="26"/>
        <v>10</v>
      </c>
      <c r="B255" s="85" t="s">
        <v>322</v>
      </c>
      <c r="C255" s="85">
        <f t="shared" si="23"/>
        <v>322.48944</v>
      </c>
      <c r="D255" s="86">
        <f t="shared" si="27"/>
        <v>386.98732799999999</v>
      </c>
      <c r="E255" s="85">
        <v>0</v>
      </c>
      <c r="F255" s="85">
        <f t="shared" si="28"/>
        <v>483.73415999999997</v>
      </c>
      <c r="I255" s="57"/>
      <c r="J255" s="57"/>
      <c r="K255" s="55"/>
      <c r="L255" s="57"/>
      <c r="M255" s="57"/>
    </row>
    <row r="256" spans="1:14" ht="15.75" x14ac:dyDescent="0.25">
      <c r="A256" s="85">
        <f t="shared" si="26"/>
        <v>11</v>
      </c>
      <c r="B256" s="85" t="s">
        <v>322</v>
      </c>
      <c r="C256" s="85">
        <f t="shared" si="23"/>
        <v>322.48944</v>
      </c>
      <c r="D256" s="86">
        <f t="shared" si="27"/>
        <v>386.98732799999999</v>
      </c>
      <c r="E256" s="85">
        <v>0</v>
      </c>
      <c r="F256" s="85">
        <f t="shared" si="28"/>
        <v>483.73415999999997</v>
      </c>
      <c r="I256" s="57"/>
      <c r="J256" s="57"/>
      <c r="K256" s="102"/>
      <c r="L256" s="57"/>
      <c r="M256" s="57"/>
    </row>
    <row r="257" spans="1:14" x14ac:dyDescent="0.25">
      <c r="A257" s="85">
        <f t="shared" si="26"/>
        <v>12</v>
      </c>
      <c r="B257" s="85" t="s">
        <v>322</v>
      </c>
      <c r="C257" s="85">
        <f t="shared" si="23"/>
        <v>322.48944</v>
      </c>
      <c r="D257" s="86">
        <f t="shared" si="27"/>
        <v>386.98732799999999</v>
      </c>
      <c r="E257" s="85">
        <v>0</v>
      </c>
      <c r="F257" s="85">
        <f t="shared" si="28"/>
        <v>483.73415999999997</v>
      </c>
      <c r="I257" s="57"/>
      <c r="J257" s="57"/>
      <c r="K257" s="57"/>
      <c r="L257" s="57"/>
      <c r="M257" s="57"/>
    </row>
    <row r="258" spans="1:14" s="103" customFormat="1" ht="15.75" x14ac:dyDescent="0.25">
      <c r="A258" s="85">
        <v>14</v>
      </c>
      <c r="B258" s="177" t="s">
        <v>326</v>
      </c>
      <c r="C258" s="178"/>
      <c r="D258" s="178"/>
      <c r="E258" s="178"/>
      <c r="F258" s="179"/>
      <c r="G258" s="159"/>
      <c r="H258" s="159"/>
      <c r="I258" s="55"/>
      <c r="J258" s="56"/>
      <c r="K258" s="57"/>
      <c r="L258" s="262"/>
      <c r="M258" s="262"/>
      <c r="N258" s="40"/>
    </row>
    <row r="259" spans="1:14" x14ac:dyDescent="0.25">
      <c r="A259" s="85">
        <f t="shared" si="26"/>
        <v>15</v>
      </c>
      <c r="B259" s="85" t="s">
        <v>322</v>
      </c>
      <c r="C259" s="85">
        <f t="shared" si="23"/>
        <v>322.48944</v>
      </c>
      <c r="D259" s="86">
        <f t="shared" si="27"/>
        <v>386.98732799999999</v>
      </c>
      <c r="E259" s="85">
        <v>0</v>
      </c>
      <c r="F259" s="85">
        <f t="shared" si="28"/>
        <v>483.73415999999997</v>
      </c>
      <c r="I259" s="57"/>
      <c r="J259" s="57"/>
      <c r="K259" s="57"/>
      <c r="L259" s="57"/>
      <c r="M259" s="57"/>
    </row>
    <row r="260" spans="1:14" x14ac:dyDescent="0.25">
      <c r="A260" s="85">
        <f t="shared" si="26"/>
        <v>16</v>
      </c>
      <c r="B260" s="85" t="s">
        <v>322</v>
      </c>
      <c r="C260" s="85">
        <f t="shared" si="23"/>
        <v>322.48944</v>
      </c>
      <c r="D260" s="86">
        <f t="shared" ref="D260:D263" si="29">C260*1.2</f>
        <v>386.98732799999999</v>
      </c>
      <c r="E260" s="85">
        <v>0</v>
      </c>
      <c r="F260" s="85">
        <f>C260*(($F$214)+1)+(IF(E260&lt;101,E260,IF(E260&lt;201,E260/2,IF(E260&lt;=301,E260/3,E260/4))))</f>
        <v>483.73415999999997</v>
      </c>
      <c r="I260" s="57"/>
      <c r="J260" s="57"/>
      <c r="K260" s="57"/>
      <c r="L260" s="57"/>
      <c r="M260" s="57"/>
    </row>
    <row r="261" spans="1:14" ht="15.75" x14ac:dyDescent="0.25">
      <c r="A261" s="85">
        <f t="shared" si="26"/>
        <v>17</v>
      </c>
      <c r="B261" s="85" t="s">
        <v>322</v>
      </c>
      <c r="C261" s="85">
        <f t="shared" si="23"/>
        <v>322.48944</v>
      </c>
      <c r="D261" s="86">
        <f t="shared" si="29"/>
        <v>386.98732799999999</v>
      </c>
      <c r="E261" s="85">
        <v>0</v>
      </c>
      <c r="F261" s="85">
        <f>C261*(($F$214)+1)+(IF(E261&lt;101,E261,IF(E261&lt;201,E261/2,IF(E261&lt;=301,E261/3,E261/4))))</f>
        <v>483.73415999999997</v>
      </c>
      <c r="I261" s="57"/>
      <c r="J261" s="57"/>
      <c r="K261" s="55"/>
      <c r="L261" s="57"/>
      <c r="M261" s="57"/>
    </row>
    <row r="262" spans="1:14" ht="15.75" x14ac:dyDescent="0.25">
      <c r="A262" s="85">
        <f t="shared" si="26"/>
        <v>18</v>
      </c>
      <c r="B262" s="85" t="s">
        <v>322</v>
      </c>
      <c r="C262" s="85">
        <f t="shared" si="23"/>
        <v>322.48944</v>
      </c>
      <c r="D262" s="86">
        <f t="shared" si="29"/>
        <v>386.98732799999999</v>
      </c>
      <c r="E262" s="85">
        <v>0</v>
      </c>
      <c r="F262" s="85">
        <f>C262*(($F$214)+1)+(IF(E262&lt;101,E262,IF(E262&lt;201,E262/2,IF(E262&lt;=301,E262/3,E262/4))))</f>
        <v>483.73415999999997</v>
      </c>
      <c r="I262" s="57"/>
      <c r="J262" s="57"/>
      <c r="K262" s="102"/>
      <c r="L262" s="57"/>
      <c r="M262" s="57"/>
    </row>
    <row r="263" spans="1:14" x14ac:dyDescent="0.25">
      <c r="A263" s="85">
        <f t="shared" si="26"/>
        <v>19</v>
      </c>
      <c r="B263" s="85" t="s">
        <v>322</v>
      </c>
      <c r="C263" s="85">
        <f t="shared" si="23"/>
        <v>322.48944</v>
      </c>
      <c r="D263" s="86">
        <f t="shared" si="29"/>
        <v>386.98732799999999</v>
      </c>
      <c r="E263" s="85">
        <v>0</v>
      </c>
      <c r="F263" s="85">
        <f>C263*(($F$214)+1)+(IF(E263&lt;101,E263,IF(E263&lt;201,E263/2,IF(E263&lt;=301,E263/3,E263/4))))</f>
        <v>483.73415999999997</v>
      </c>
      <c r="I263" s="57"/>
      <c r="J263" s="57"/>
      <c r="K263" s="57"/>
      <c r="L263" s="57"/>
      <c r="M263" s="57"/>
    </row>
    <row r="264" spans="1:14" s="103" customFormat="1" ht="15.75" x14ac:dyDescent="0.25">
      <c r="A264" s="160" t="s">
        <v>327</v>
      </c>
      <c r="B264" s="161"/>
      <c r="C264" s="161"/>
      <c r="D264" s="161"/>
      <c r="E264" s="161"/>
      <c r="F264" s="162"/>
      <c r="G264" s="43"/>
      <c r="H264" s="43"/>
      <c r="I264" s="102"/>
      <c r="J264" s="102"/>
      <c r="K264" s="57"/>
      <c r="L264" s="102"/>
      <c r="M264" s="102"/>
    </row>
    <row r="265" spans="1:14" s="103" customFormat="1" ht="15.75" x14ac:dyDescent="0.25">
      <c r="A265" s="85">
        <v>1</v>
      </c>
      <c r="B265" s="85" t="s">
        <v>322</v>
      </c>
      <c r="C265" s="85">
        <f>(29.96)*10.764</f>
        <v>322.48944</v>
      </c>
      <c r="D265" s="86">
        <f>C265*1.2</f>
        <v>386.98732799999999</v>
      </c>
      <c r="E265" s="85">
        <v>0</v>
      </c>
      <c r="F265" s="85">
        <f>C265*(($F$214)+1)+(IF(E265&lt;101,E265,IF(E265&lt;201,E265/2,IF(E265&lt;=301,E265/3,E265/4))))</f>
        <v>483.73415999999997</v>
      </c>
      <c r="G265" s="159"/>
      <c r="H265" s="159"/>
      <c r="I265" s="55"/>
      <c r="J265" s="56"/>
      <c r="K265" s="57"/>
      <c r="L265" s="262"/>
      <c r="M265" s="262"/>
      <c r="N265" s="40"/>
    </row>
    <row r="266" spans="1:14" x14ac:dyDescent="0.25">
      <c r="A266" s="85">
        <f>A265+1</f>
        <v>2</v>
      </c>
      <c r="B266" s="85" t="s">
        <v>322</v>
      </c>
      <c r="C266" s="85">
        <f t="shared" ref="C266:C282" si="30">(29.96)*10.764</f>
        <v>322.48944</v>
      </c>
      <c r="D266" s="86">
        <f t="shared" ref="D266:D270" si="31">C266*1.2</f>
        <v>386.98732799999999</v>
      </c>
      <c r="E266" s="85">
        <v>0</v>
      </c>
      <c r="F266" s="85">
        <f t="shared" ref="F266:F270" si="32">C266*(($F$214)+1)+(IF(E266&lt;101,E266,IF(E266&lt;201,E266/2,IF(E266&lt;=301,E266/3,E266/4))))</f>
        <v>483.73415999999997</v>
      </c>
      <c r="I266" s="57"/>
      <c r="J266" s="57"/>
      <c r="K266" s="57"/>
      <c r="L266" s="57"/>
      <c r="M266" s="57"/>
    </row>
    <row r="267" spans="1:14" x14ac:dyDescent="0.25">
      <c r="A267" s="85">
        <f t="shared" ref="A267:A282" si="33">A266+1</f>
        <v>3</v>
      </c>
      <c r="B267" s="85" t="s">
        <v>322</v>
      </c>
      <c r="C267" s="85">
        <f t="shared" si="30"/>
        <v>322.48944</v>
      </c>
      <c r="D267" s="86">
        <f t="shared" si="31"/>
        <v>386.98732799999999</v>
      </c>
      <c r="E267" s="85">
        <v>0</v>
      </c>
      <c r="F267" s="85">
        <f t="shared" si="32"/>
        <v>483.73415999999997</v>
      </c>
      <c r="I267" s="57"/>
      <c r="J267" s="57"/>
      <c r="K267" s="57"/>
      <c r="L267" s="57"/>
      <c r="M267" s="57"/>
    </row>
    <row r="268" spans="1:14" ht="15.75" x14ac:dyDescent="0.25">
      <c r="A268" s="85">
        <f t="shared" si="33"/>
        <v>4</v>
      </c>
      <c r="B268" s="85" t="s">
        <v>322</v>
      </c>
      <c r="C268" s="85">
        <f t="shared" si="30"/>
        <v>322.48944</v>
      </c>
      <c r="D268" s="86">
        <f t="shared" si="31"/>
        <v>386.98732799999999</v>
      </c>
      <c r="E268" s="85">
        <v>0</v>
      </c>
      <c r="F268" s="85">
        <f t="shared" si="32"/>
        <v>483.73415999999997</v>
      </c>
      <c r="I268" s="57"/>
      <c r="J268" s="57"/>
      <c r="K268" s="55"/>
      <c r="L268" s="57"/>
      <c r="M268" s="57"/>
    </row>
    <row r="269" spans="1:14" ht="15.75" x14ac:dyDescent="0.25">
      <c r="A269" s="85">
        <f t="shared" si="33"/>
        <v>5</v>
      </c>
      <c r="B269" s="85" t="s">
        <v>322</v>
      </c>
      <c r="C269" s="85">
        <f t="shared" si="30"/>
        <v>322.48944</v>
      </c>
      <c r="D269" s="86">
        <f t="shared" si="31"/>
        <v>386.98732799999999</v>
      </c>
      <c r="E269" s="85">
        <v>0</v>
      </c>
      <c r="F269" s="85">
        <f t="shared" si="32"/>
        <v>483.73415999999997</v>
      </c>
      <c r="I269" s="57"/>
      <c r="J269" s="57"/>
      <c r="K269" s="102"/>
      <c r="L269" s="57"/>
      <c r="M269" s="57"/>
    </row>
    <row r="270" spans="1:14" x14ac:dyDescent="0.25">
      <c r="A270" s="85">
        <f t="shared" si="33"/>
        <v>6</v>
      </c>
      <c r="B270" s="85" t="s">
        <v>322</v>
      </c>
      <c r="C270" s="85">
        <f t="shared" si="30"/>
        <v>322.48944</v>
      </c>
      <c r="D270" s="86">
        <f t="shared" si="31"/>
        <v>386.98732799999999</v>
      </c>
      <c r="E270" s="85">
        <v>0</v>
      </c>
      <c r="F270" s="85">
        <f t="shared" si="32"/>
        <v>483.73415999999997</v>
      </c>
      <c r="I270" s="57"/>
      <c r="J270" s="57"/>
      <c r="K270" s="57"/>
      <c r="L270" s="57"/>
      <c r="M270" s="57"/>
    </row>
    <row r="271" spans="1:14" s="103" customFormat="1" ht="15.75" x14ac:dyDescent="0.25">
      <c r="A271" s="85">
        <f t="shared" si="33"/>
        <v>7</v>
      </c>
      <c r="B271" s="85" t="s">
        <v>322</v>
      </c>
      <c r="C271" s="85">
        <f t="shared" si="30"/>
        <v>322.48944</v>
      </c>
      <c r="D271" s="86">
        <f>C271*1.2</f>
        <v>386.98732799999999</v>
      </c>
      <c r="E271" s="85">
        <v>0</v>
      </c>
      <c r="F271" s="85">
        <f>C271*(($F$214)+1)+(IF(E271&lt;101,E271,IF(E271&lt;201,E271/2,IF(E271&lt;=301,E271/3,E271/4))))</f>
        <v>483.73415999999997</v>
      </c>
      <c r="G271" s="159"/>
      <c r="H271" s="159"/>
      <c r="I271" s="55"/>
      <c r="J271" s="56"/>
      <c r="K271" s="57"/>
      <c r="L271" s="262"/>
      <c r="M271" s="262"/>
      <c r="N271" s="40"/>
    </row>
    <row r="272" spans="1:14" x14ac:dyDescent="0.25">
      <c r="A272" s="85">
        <f t="shared" si="33"/>
        <v>8</v>
      </c>
      <c r="B272" s="85" t="s">
        <v>322</v>
      </c>
      <c r="C272" s="85">
        <f t="shared" si="30"/>
        <v>322.48944</v>
      </c>
      <c r="D272" s="86">
        <f t="shared" ref="D272:D276" si="34">C272*1.2</f>
        <v>386.98732799999999</v>
      </c>
      <c r="E272" s="85">
        <v>0</v>
      </c>
      <c r="F272" s="85">
        <f t="shared" ref="F272:F276" si="35">C272*(($F$214)+1)+(IF(E272&lt;101,E272,IF(E272&lt;201,E272/2,IF(E272&lt;=301,E272/3,E272/4))))</f>
        <v>483.73415999999997</v>
      </c>
      <c r="I272" s="57"/>
      <c r="J272" s="57"/>
      <c r="K272" s="57"/>
      <c r="L272" s="57"/>
      <c r="M272" s="57"/>
    </row>
    <row r="273" spans="1:14" x14ac:dyDescent="0.25">
      <c r="A273" s="85">
        <f t="shared" si="33"/>
        <v>9</v>
      </c>
      <c r="B273" s="85" t="s">
        <v>322</v>
      </c>
      <c r="C273" s="85">
        <f t="shared" si="30"/>
        <v>322.48944</v>
      </c>
      <c r="D273" s="86">
        <f t="shared" si="34"/>
        <v>386.98732799999999</v>
      </c>
      <c r="E273" s="85">
        <v>0</v>
      </c>
      <c r="F273" s="85">
        <f t="shared" si="35"/>
        <v>483.73415999999997</v>
      </c>
      <c r="I273" s="57"/>
      <c r="J273" s="57"/>
      <c r="K273" s="57"/>
      <c r="L273" s="57"/>
      <c r="M273" s="57"/>
    </row>
    <row r="274" spans="1:14" ht="15.75" x14ac:dyDescent="0.25">
      <c r="A274" s="85">
        <f t="shared" si="33"/>
        <v>10</v>
      </c>
      <c r="B274" s="85" t="s">
        <v>322</v>
      </c>
      <c r="C274" s="85">
        <f t="shared" si="30"/>
        <v>322.48944</v>
      </c>
      <c r="D274" s="86">
        <f t="shared" si="34"/>
        <v>386.98732799999999</v>
      </c>
      <c r="E274" s="85">
        <v>0</v>
      </c>
      <c r="F274" s="85">
        <f t="shared" si="35"/>
        <v>483.73415999999997</v>
      </c>
      <c r="I274" s="57"/>
      <c r="J274" s="57"/>
      <c r="K274" s="55"/>
      <c r="L274" s="57"/>
      <c r="M274" s="57"/>
    </row>
    <row r="275" spans="1:14" ht="15.75" x14ac:dyDescent="0.25">
      <c r="A275" s="85">
        <f t="shared" si="33"/>
        <v>11</v>
      </c>
      <c r="B275" s="85" t="s">
        <v>322</v>
      </c>
      <c r="C275" s="85">
        <f t="shared" si="30"/>
        <v>322.48944</v>
      </c>
      <c r="D275" s="86">
        <f t="shared" si="34"/>
        <v>386.98732799999999</v>
      </c>
      <c r="E275" s="85">
        <v>0</v>
      </c>
      <c r="F275" s="85">
        <f t="shared" si="35"/>
        <v>483.73415999999997</v>
      </c>
      <c r="I275" s="57"/>
      <c r="J275" s="57"/>
      <c r="K275" s="102"/>
      <c r="L275" s="57"/>
      <c r="M275" s="57"/>
    </row>
    <row r="276" spans="1:14" x14ac:dyDescent="0.25">
      <c r="A276" s="85">
        <f t="shared" si="33"/>
        <v>12</v>
      </c>
      <c r="B276" s="85" t="s">
        <v>322</v>
      </c>
      <c r="C276" s="85">
        <f t="shared" si="30"/>
        <v>322.48944</v>
      </c>
      <c r="D276" s="86">
        <f t="shared" si="34"/>
        <v>386.98732799999999</v>
      </c>
      <c r="E276" s="85">
        <v>0</v>
      </c>
      <c r="F276" s="85">
        <f t="shared" si="35"/>
        <v>483.73415999999997</v>
      </c>
      <c r="I276" s="57"/>
      <c r="J276" s="57"/>
      <c r="K276" s="57"/>
      <c r="L276" s="57"/>
      <c r="M276" s="57"/>
    </row>
    <row r="277" spans="1:14" s="103" customFormat="1" ht="15.75" x14ac:dyDescent="0.25">
      <c r="A277" s="85">
        <v>14</v>
      </c>
      <c r="B277" s="177" t="s">
        <v>326</v>
      </c>
      <c r="C277" s="178"/>
      <c r="D277" s="178"/>
      <c r="E277" s="178"/>
      <c r="F277" s="179"/>
      <c r="G277" s="159"/>
      <c r="H277" s="159"/>
      <c r="I277" s="55"/>
      <c r="J277" s="56"/>
      <c r="K277" s="57"/>
      <c r="L277" s="262"/>
      <c r="M277" s="262"/>
      <c r="N277" s="40"/>
    </row>
    <row r="278" spans="1:14" x14ac:dyDescent="0.25">
      <c r="A278" s="85">
        <f t="shared" si="33"/>
        <v>15</v>
      </c>
      <c r="B278" s="85" t="s">
        <v>322</v>
      </c>
      <c r="C278" s="85">
        <f t="shared" si="30"/>
        <v>322.48944</v>
      </c>
      <c r="D278" s="86">
        <f t="shared" ref="D278" si="36">C278*1.2</f>
        <v>386.98732799999999</v>
      </c>
      <c r="E278" s="85">
        <v>0</v>
      </c>
      <c r="F278" s="85">
        <f t="shared" ref="F278" si="37">C278*(($F$214)+1)+(IF(E278&lt;101,E278,IF(E278&lt;201,E278/2,IF(E278&lt;=301,E278/3,E278/4))))</f>
        <v>483.73415999999997</v>
      </c>
      <c r="I278" s="57">
        <f>11500*F278</f>
        <v>5562942.8399999999</v>
      </c>
      <c r="J278" s="57"/>
      <c r="K278" s="57"/>
      <c r="L278" s="57"/>
      <c r="M278" s="57"/>
    </row>
    <row r="279" spans="1:14" x14ac:dyDescent="0.25">
      <c r="A279" s="85">
        <f t="shared" si="33"/>
        <v>16</v>
      </c>
      <c r="B279" s="85" t="s">
        <v>322</v>
      </c>
      <c r="C279" s="85">
        <f t="shared" si="30"/>
        <v>322.48944</v>
      </c>
      <c r="D279" s="86">
        <f t="shared" ref="D279:D282" si="38">C279*1.2</f>
        <v>386.98732799999999</v>
      </c>
      <c r="E279" s="85">
        <v>0</v>
      </c>
      <c r="F279" s="85">
        <f t="shared" ref="F279:F282" si="39">C279*(($F$214)+1)+(IF(E279&lt;101,E279,IF(E279&lt;201,E279/2,IF(E279&lt;=301,E279/3,E279/4))))</f>
        <v>483.73415999999997</v>
      </c>
      <c r="I279" s="57">
        <f>5051502/F278</f>
        <v>10442.723333824513</v>
      </c>
      <c r="J279" s="57"/>
      <c r="K279" s="57"/>
      <c r="L279" s="57"/>
      <c r="M279" s="57"/>
    </row>
    <row r="280" spans="1:14" ht="15.75" x14ac:dyDescent="0.25">
      <c r="A280" s="85">
        <f t="shared" si="33"/>
        <v>17</v>
      </c>
      <c r="B280" s="85" t="s">
        <v>322</v>
      </c>
      <c r="C280" s="85">
        <f t="shared" si="30"/>
        <v>322.48944</v>
      </c>
      <c r="D280" s="86">
        <f t="shared" si="38"/>
        <v>386.98732799999999</v>
      </c>
      <c r="E280" s="85">
        <v>0</v>
      </c>
      <c r="F280" s="85">
        <f t="shared" si="39"/>
        <v>483.73415999999997</v>
      </c>
      <c r="I280" s="57"/>
      <c r="J280" s="57"/>
      <c r="K280" s="55"/>
      <c r="L280" s="57"/>
      <c r="M280" s="57"/>
    </row>
    <row r="281" spans="1:14" ht="15.75" x14ac:dyDescent="0.25">
      <c r="A281" s="85">
        <f t="shared" si="33"/>
        <v>18</v>
      </c>
      <c r="B281" s="85" t="s">
        <v>322</v>
      </c>
      <c r="C281" s="85">
        <f t="shared" si="30"/>
        <v>322.48944</v>
      </c>
      <c r="D281" s="86">
        <f t="shared" si="38"/>
        <v>386.98732799999999</v>
      </c>
      <c r="E281" s="85">
        <v>0</v>
      </c>
      <c r="F281" s="85">
        <f t="shared" si="39"/>
        <v>483.73415999999997</v>
      </c>
      <c r="I281" s="57"/>
      <c r="J281" s="57"/>
      <c r="K281" s="102"/>
      <c r="L281" s="57"/>
      <c r="M281" s="57"/>
    </row>
    <row r="282" spans="1:14" x14ac:dyDescent="0.25">
      <c r="A282" s="85">
        <f t="shared" si="33"/>
        <v>19</v>
      </c>
      <c r="B282" s="85" t="s">
        <v>322</v>
      </c>
      <c r="C282" s="85">
        <f t="shared" si="30"/>
        <v>322.48944</v>
      </c>
      <c r="D282" s="86">
        <f t="shared" si="38"/>
        <v>386.98732799999999</v>
      </c>
      <c r="E282" s="85">
        <v>0</v>
      </c>
      <c r="F282" s="85">
        <f t="shared" si="39"/>
        <v>483.73415999999997</v>
      </c>
      <c r="I282" s="57"/>
      <c r="J282" s="57"/>
      <c r="K282" s="57"/>
      <c r="L282" s="57"/>
      <c r="M282" s="57"/>
    </row>
    <row r="283" spans="1:14" x14ac:dyDescent="0.25">
      <c r="A283" s="289" t="s">
        <v>61</v>
      </c>
      <c r="B283" s="290"/>
      <c r="C283" s="290"/>
      <c r="D283" s="290"/>
      <c r="E283" s="290"/>
      <c r="F283" s="291"/>
      <c r="I283" s="57"/>
      <c r="J283" s="57"/>
      <c r="K283" s="54"/>
    </row>
    <row r="284" spans="1:14" s="116" customFormat="1" ht="32.25" customHeight="1" x14ac:dyDescent="0.2">
      <c r="A284" s="95" t="s">
        <v>212</v>
      </c>
      <c r="B284" s="167" t="s">
        <v>271</v>
      </c>
      <c r="C284" s="168"/>
      <c r="D284" s="95" t="s">
        <v>213</v>
      </c>
      <c r="E284" s="167" t="s">
        <v>272</v>
      </c>
      <c r="F284" s="168"/>
      <c r="G284" s="115"/>
      <c r="H284" s="157"/>
      <c r="I284" s="157"/>
      <c r="J284" s="115"/>
      <c r="L284" s="117"/>
    </row>
    <row r="285" spans="1:14" s="116" customFormat="1" ht="12.75" x14ac:dyDescent="0.2">
      <c r="A285" s="95">
        <v>1</v>
      </c>
      <c r="B285" s="169" t="s">
        <v>320</v>
      </c>
      <c r="C285" s="170"/>
      <c r="D285" s="118">
        <v>11500</v>
      </c>
      <c r="E285" s="169" t="s">
        <v>273</v>
      </c>
      <c r="F285" s="170"/>
    </row>
    <row r="286" spans="1:14" s="116" customFormat="1" ht="61.5" customHeight="1" x14ac:dyDescent="0.2">
      <c r="A286" s="95" t="s">
        <v>214</v>
      </c>
      <c r="B286" s="95" t="s">
        <v>215</v>
      </c>
      <c r="C286" s="95" t="s">
        <v>216</v>
      </c>
      <c r="D286" s="95" t="s">
        <v>217</v>
      </c>
      <c r="E286" s="95" t="s">
        <v>218</v>
      </c>
      <c r="F286" s="95" t="s">
        <v>219</v>
      </c>
      <c r="G286" s="119"/>
      <c r="H286" s="119"/>
      <c r="I286" s="119"/>
      <c r="J286" s="119"/>
      <c r="K286" s="120"/>
      <c r="L286" s="119"/>
    </row>
    <row r="287" spans="1:14" s="116" customFormat="1" ht="12.75" x14ac:dyDescent="0.2">
      <c r="A287" s="95" t="s">
        <v>220</v>
      </c>
      <c r="B287" s="118" t="s">
        <v>246</v>
      </c>
      <c r="C287" s="118" t="s">
        <v>246</v>
      </c>
      <c r="D287" s="118"/>
      <c r="E287" s="118"/>
      <c r="F287" s="118"/>
      <c r="G287" s="120"/>
      <c r="H287" s="120">
        <f>27531+86940+110000+5000+36708+16100</f>
        <v>282279</v>
      </c>
      <c r="I287" s="120"/>
      <c r="J287" s="120"/>
      <c r="K287" s="120"/>
      <c r="L287" s="120"/>
    </row>
    <row r="288" spans="1:14" s="116" customFormat="1" ht="12.75" hidden="1" x14ac:dyDescent="0.2">
      <c r="A288" s="95" t="s">
        <v>221</v>
      </c>
      <c r="B288" s="118"/>
      <c r="C288" s="118"/>
      <c r="D288" s="118"/>
      <c r="E288" s="118"/>
      <c r="F288" s="118"/>
      <c r="G288" s="120"/>
      <c r="H288" s="120"/>
      <c r="I288" s="120"/>
      <c r="J288" s="120"/>
      <c r="K288" s="120"/>
      <c r="L288" s="120"/>
    </row>
    <row r="289" spans="1:12" s="116" customFormat="1" ht="12.75" hidden="1" x14ac:dyDescent="0.2">
      <c r="A289" s="95" t="s">
        <v>222</v>
      </c>
      <c r="B289" s="118"/>
      <c r="C289" s="118"/>
      <c r="D289" s="118"/>
      <c r="E289" s="118"/>
      <c r="F289" s="118"/>
    </row>
    <row r="290" spans="1:12" s="116" customFormat="1" ht="12.75" hidden="1" x14ac:dyDescent="0.2">
      <c r="A290" s="95" t="s">
        <v>223</v>
      </c>
      <c r="B290" s="118"/>
      <c r="C290" s="118"/>
      <c r="D290" s="118"/>
      <c r="E290" s="118"/>
      <c r="F290" s="118"/>
    </row>
    <row r="291" spans="1:12" s="116" customFormat="1" ht="60.75" customHeight="1" x14ac:dyDescent="0.2">
      <c r="A291" s="95" t="s">
        <v>224</v>
      </c>
      <c r="B291" s="95" t="s">
        <v>215</v>
      </c>
      <c r="C291" s="95" t="s">
        <v>216</v>
      </c>
      <c r="D291" s="167" t="s">
        <v>225</v>
      </c>
      <c r="E291" s="168"/>
      <c r="F291" s="95" t="s">
        <v>226</v>
      </c>
      <c r="G291" s="121"/>
      <c r="H291" s="121"/>
      <c r="I291" s="121"/>
      <c r="J291" s="121"/>
      <c r="L291" s="121"/>
    </row>
    <row r="292" spans="1:12" s="116" customFormat="1" ht="12.75" x14ac:dyDescent="0.2">
      <c r="A292" s="95" t="s">
        <v>227</v>
      </c>
      <c r="B292" s="118" t="s">
        <v>246</v>
      </c>
      <c r="C292" s="118" t="s">
        <v>246</v>
      </c>
      <c r="D292" s="169"/>
      <c r="E292" s="170"/>
      <c r="F292" s="118"/>
    </row>
    <row r="293" spans="1:12" s="116" customFormat="1" ht="12.75" hidden="1" x14ac:dyDescent="0.2">
      <c r="A293" s="95" t="s">
        <v>228</v>
      </c>
      <c r="B293" s="118"/>
      <c r="C293" s="118"/>
      <c r="D293" s="169"/>
      <c r="E293" s="170"/>
      <c r="F293" s="118"/>
    </row>
    <row r="294" spans="1:12" s="116" customFormat="1" ht="12.75" hidden="1" x14ac:dyDescent="0.2">
      <c r="A294" s="95" t="s">
        <v>229</v>
      </c>
      <c r="B294" s="118"/>
      <c r="C294" s="118"/>
      <c r="D294" s="169"/>
      <c r="E294" s="170"/>
      <c r="F294" s="118"/>
    </row>
    <row r="295" spans="1:12" s="116" customFormat="1" ht="60.75" customHeight="1" x14ac:dyDescent="0.25">
      <c r="A295" s="95" t="s">
        <v>230</v>
      </c>
      <c r="B295" s="95" t="s">
        <v>215</v>
      </c>
      <c r="C295" s="95" t="s">
        <v>216</v>
      </c>
      <c r="D295" s="167" t="s">
        <v>231</v>
      </c>
      <c r="E295" s="168"/>
      <c r="F295" s="95" t="s">
        <v>232</v>
      </c>
      <c r="G295" s="115"/>
      <c r="H295" s="115"/>
      <c r="I295" s="115"/>
      <c r="J295" s="117"/>
      <c r="K295" s="122"/>
      <c r="L295" s="115"/>
    </row>
    <row r="296" spans="1:12" s="116" customFormat="1" x14ac:dyDescent="0.25">
      <c r="A296" s="95" t="s">
        <v>150</v>
      </c>
      <c r="B296" s="118" t="s">
        <v>246</v>
      </c>
      <c r="C296" s="118">
        <v>800000</v>
      </c>
      <c r="D296" s="169"/>
      <c r="E296" s="170"/>
      <c r="F296" s="118"/>
      <c r="G296" s="115"/>
      <c r="K296" s="123"/>
    </row>
    <row r="297" spans="1:12" s="1" customFormat="1" ht="60" x14ac:dyDescent="0.25">
      <c r="A297" s="136" t="s">
        <v>353</v>
      </c>
      <c r="B297" s="137" t="s">
        <v>246</v>
      </c>
      <c r="C297" s="138">
        <v>27531</v>
      </c>
      <c r="D297" s="163"/>
      <c r="E297" s="164"/>
      <c r="F297" s="137"/>
      <c r="G297" s="139"/>
      <c r="K297" s="44"/>
    </row>
    <row r="298" spans="1:12" s="1" customFormat="1" ht="60" x14ac:dyDescent="0.25">
      <c r="A298" s="136" t="s">
        <v>354</v>
      </c>
      <c r="B298" s="137" t="s">
        <v>246</v>
      </c>
      <c r="C298" s="138">
        <v>86940</v>
      </c>
      <c r="D298" s="163"/>
      <c r="E298" s="164"/>
      <c r="F298" s="137"/>
      <c r="G298" s="139"/>
      <c r="K298" s="140"/>
    </row>
    <row r="299" spans="1:12" s="1" customFormat="1" ht="24" x14ac:dyDescent="0.25">
      <c r="A299" s="136" t="s">
        <v>355</v>
      </c>
      <c r="B299" s="137" t="s">
        <v>246</v>
      </c>
      <c r="C299" s="138">
        <v>110000</v>
      </c>
      <c r="D299" s="163"/>
      <c r="E299" s="164"/>
      <c r="F299" s="137"/>
      <c r="G299" s="139"/>
      <c r="K299" s="140"/>
    </row>
    <row r="300" spans="1:12" s="1" customFormat="1" ht="24" x14ac:dyDescent="0.25">
      <c r="A300" s="136" t="s">
        <v>356</v>
      </c>
      <c r="B300" s="137" t="s">
        <v>246</v>
      </c>
      <c r="C300" s="138">
        <v>5000</v>
      </c>
      <c r="D300" s="163"/>
      <c r="E300" s="164"/>
      <c r="F300" s="137"/>
      <c r="G300" s="139"/>
      <c r="K300" s="140"/>
    </row>
    <row r="301" spans="1:12" s="1" customFormat="1" ht="48" x14ac:dyDescent="0.25">
      <c r="A301" s="136" t="s">
        <v>357</v>
      </c>
      <c r="B301" s="137" t="s">
        <v>246</v>
      </c>
      <c r="C301" s="138">
        <v>36708</v>
      </c>
      <c r="D301" s="163"/>
      <c r="E301" s="164"/>
      <c r="F301" s="137"/>
      <c r="G301" s="139"/>
      <c r="K301" s="140"/>
    </row>
    <row r="302" spans="1:12" s="1" customFormat="1" ht="30" customHeight="1" x14ac:dyDescent="0.25">
      <c r="A302" s="136" t="s">
        <v>358</v>
      </c>
      <c r="B302" s="137" t="s">
        <v>246</v>
      </c>
      <c r="C302" s="138">
        <v>16100</v>
      </c>
      <c r="D302" s="163"/>
      <c r="E302" s="164"/>
      <c r="F302" s="137"/>
      <c r="G302" s="139"/>
      <c r="K302" s="140"/>
    </row>
    <row r="303" spans="1:12" s="1" customFormat="1" ht="30" hidden="1" customHeight="1" x14ac:dyDescent="0.25">
      <c r="A303" s="108" t="s">
        <v>233</v>
      </c>
      <c r="B303" s="109"/>
      <c r="C303" s="109"/>
      <c r="D303" s="165"/>
      <c r="E303" s="166"/>
      <c r="F303" s="109"/>
      <c r="G303" s="53"/>
      <c r="K303"/>
    </row>
    <row r="304" spans="1:12" s="1" customFormat="1" ht="30" hidden="1" customHeight="1" x14ac:dyDescent="0.25">
      <c r="A304" s="108" t="s">
        <v>234</v>
      </c>
      <c r="B304" s="109"/>
      <c r="C304" s="109"/>
      <c r="D304" s="165"/>
      <c r="E304" s="166"/>
      <c r="F304" s="109"/>
      <c r="G304" s="53"/>
      <c r="K304"/>
    </row>
    <row r="305" spans="1:11" s="44" customFormat="1" x14ac:dyDescent="0.25">
      <c r="A305" s="273" t="s">
        <v>62</v>
      </c>
      <c r="B305" s="273"/>
      <c r="C305" s="273"/>
      <c r="D305" s="273"/>
      <c r="E305" s="273"/>
      <c r="F305" s="273"/>
      <c r="K305"/>
    </row>
    <row r="306" spans="1:11" s="44" customFormat="1" x14ac:dyDescent="0.25">
      <c r="A306" s="98">
        <v>1</v>
      </c>
      <c r="B306" s="274" t="s">
        <v>360</v>
      </c>
      <c r="C306" s="274"/>
      <c r="D306" s="274"/>
      <c r="E306" s="274"/>
      <c r="F306" s="274"/>
      <c r="I306" s="44" t="s">
        <v>335</v>
      </c>
      <c r="K306"/>
    </row>
    <row r="307" spans="1:11" s="44" customFormat="1" x14ac:dyDescent="0.25">
      <c r="A307" s="98">
        <f t="shared" ref="A307:A313" si="40">A306+1</f>
        <v>2</v>
      </c>
      <c r="B307" s="275" t="s">
        <v>352</v>
      </c>
      <c r="C307" s="275"/>
      <c r="D307" s="275"/>
      <c r="E307" s="275"/>
      <c r="F307" s="275"/>
      <c r="K307"/>
    </row>
    <row r="308" spans="1:11" s="44" customFormat="1" x14ac:dyDescent="0.25">
      <c r="A308" s="98">
        <f t="shared" si="40"/>
        <v>3</v>
      </c>
      <c r="B308" s="276" t="str">
        <f>(IF(F213="Saleable area Loading :","We have considered Saleable area of Flats as per our Calculation.","We considered Saleable area of Flat as per Builder area Sheet."))</f>
        <v>We have considered Saleable area of Flats as per our Calculation.</v>
      </c>
      <c r="C308" s="277"/>
      <c r="D308" s="277"/>
      <c r="E308" s="277"/>
      <c r="F308" s="278"/>
      <c r="K308"/>
    </row>
    <row r="309" spans="1:11" s="44" customFormat="1" x14ac:dyDescent="0.25">
      <c r="A309" s="98">
        <f t="shared" si="40"/>
        <v>4</v>
      </c>
      <c r="B309" s="275" t="s">
        <v>274</v>
      </c>
      <c r="C309" s="275"/>
      <c r="D309" s="275"/>
      <c r="E309" s="275"/>
      <c r="F309" s="275"/>
      <c r="K309"/>
    </row>
    <row r="310" spans="1:11" s="44" customFormat="1" x14ac:dyDescent="0.25">
      <c r="A310" s="98">
        <f t="shared" si="40"/>
        <v>5</v>
      </c>
      <c r="B310" s="274" t="s">
        <v>275</v>
      </c>
      <c r="C310" s="274"/>
      <c r="D310" s="274"/>
      <c r="E310" s="274"/>
      <c r="F310" s="274"/>
      <c r="K310"/>
    </row>
    <row r="311" spans="1:11" s="44" customFormat="1" x14ac:dyDescent="0.25">
      <c r="A311" s="98">
        <f t="shared" si="40"/>
        <v>6</v>
      </c>
      <c r="B311" s="275" t="s">
        <v>359</v>
      </c>
      <c r="C311" s="275"/>
      <c r="D311" s="275"/>
      <c r="E311" s="275"/>
      <c r="F311" s="275"/>
      <c r="G311" s="44" t="s">
        <v>363</v>
      </c>
      <c r="K311"/>
    </row>
    <row r="312" spans="1:11" s="44" customFormat="1" x14ac:dyDescent="0.25">
      <c r="A312" s="98">
        <f t="shared" si="40"/>
        <v>7</v>
      </c>
      <c r="B312" s="274" t="s">
        <v>276</v>
      </c>
      <c r="C312" s="274"/>
      <c r="D312" s="274"/>
      <c r="E312" s="274"/>
      <c r="F312" s="274"/>
      <c r="K312"/>
    </row>
    <row r="313" spans="1:11" s="44" customFormat="1" ht="30" customHeight="1" x14ac:dyDescent="0.25">
      <c r="A313" s="98">
        <f t="shared" si="40"/>
        <v>8</v>
      </c>
      <c r="B313" s="283" t="s">
        <v>277</v>
      </c>
      <c r="C313" s="284"/>
      <c r="D313" s="284"/>
      <c r="E313" s="284"/>
      <c r="F313" s="285"/>
      <c r="K313"/>
    </row>
    <row r="314" spans="1:11" s="44" customFormat="1" x14ac:dyDescent="0.25">
      <c r="A314" s="98">
        <f>A313+1</f>
        <v>9</v>
      </c>
      <c r="B314" s="283" t="s">
        <v>347</v>
      </c>
      <c r="C314" s="284"/>
      <c r="D314" s="284"/>
      <c r="E314" s="284"/>
      <c r="F314" s="285"/>
      <c r="K314"/>
    </row>
    <row r="315" spans="1:11" x14ac:dyDescent="0.25">
      <c r="A315" s="292" t="s">
        <v>63</v>
      </c>
      <c r="B315" s="292"/>
      <c r="C315" s="293" t="str">
        <f>B2</f>
        <v>Lodha Crown Kolshet - Tower 2</v>
      </c>
      <c r="D315" s="293"/>
      <c r="E315" s="293"/>
      <c r="F315" s="293"/>
    </row>
    <row r="361" spans="1:2" x14ac:dyDescent="0.25">
      <c r="A361" s="50" t="s">
        <v>64</v>
      </c>
    </row>
    <row r="363" spans="1:2" x14ac:dyDescent="0.25">
      <c r="B363" s="44"/>
    </row>
    <row r="408" spans="1:1" x14ac:dyDescent="0.25">
      <c r="A408" s="50" t="s">
        <v>65</v>
      </c>
    </row>
    <row r="449" spans="1:6" ht="57" customHeight="1" x14ac:dyDescent="0.25">
      <c r="A449" s="51" t="s">
        <v>66</v>
      </c>
      <c r="B449" s="110" t="s">
        <v>339</v>
      </c>
      <c r="C449" s="271" t="s">
        <v>67</v>
      </c>
      <c r="D449" s="271"/>
      <c r="E449" s="272"/>
      <c r="F449" s="272"/>
    </row>
  </sheetData>
  <dataConsolidate/>
  <mergeCells count="369">
    <mergeCell ref="G46:H46"/>
    <mergeCell ref="A120:B120"/>
    <mergeCell ref="A121:B121"/>
    <mergeCell ref="C120:F120"/>
    <mergeCell ref="L265:M265"/>
    <mergeCell ref="G271:H271"/>
    <mergeCell ref="L271:M271"/>
    <mergeCell ref="G277:H277"/>
    <mergeCell ref="L277:M277"/>
    <mergeCell ref="L233:M233"/>
    <mergeCell ref="G239:H239"/>
    <mergeCell ref="L239:M239"/>
    <mergeCell ref="G246:H246"/>
    <mergeCell ref="L246:M246"/>
    <mergeCell ref="G252:H252"/>
    <mergeCell ref="L252:M252"/>
    <mergeCell ref="G258:H258"/>
    <mergeCell ref="L258:M258"/>
    <mergeCell ref="L217:M217"/>
    <mergeCell ref="G227:H227"/>
    <mergeCell ref="L227:M227"/>
    <mergeCell ref="L191:M191"/>
    <mergeCell ref="G214:H214"/>
    <mergeCell ref="G198:H198"/>
    <mergeCell ref="A109:B109"/>
    <mergeCell ref="C109:F109"/>
    <mergeCell ref="C110:F110"/>
    <mergeCell ref="L198:M198"/>
    <mergeCell ref="G110:H110"/>
    <mergeCell ref="G118:H118"/>
    <mergeCell ref="G119:H119"/>
    <mergeCell ref="G120:H120"/>
    <mergeCell ref="G121:H121"/>
    <mergeCell ref="G187:H187"/>
    <mergeCell ref="C183:D183"/>
    <mergeCell ref="E183:F183"/>
    <mergeCell ref="G183:H183"/>
    <mergeCell ref="A185:F185"/>
    <mergeCell ref="A186:F186"/>
    <mergeCell ref="C121:F121"/>
    <mergeCell ref="A122:F122"/>
    <mergeCell ref="G172:H172"/>
    <mergeCell ref="E173:F173"/>
    <mergeCell ref="G173:H173"/>
    <mergeCell ref="C178:D178"/>
    <mergeCell ref="E178:F178"/>
    <mergeCell ref="G178:H178"/>
    <mergeCell ref="C179:D179"/>
    <mergeCell ref="E103:F103"/>
    <mergeCell ref="B105:C105"/>
    <mergeCell ref="E105:F105"/>
    <mergeCell ref="B97:F97"/>
    <mergeCell ref="A98:F98"/>
    <mergeCell ref="A102:F102"/>
    <mergeCell ref="B101:C101"/>
    <mergeCell ref="E101:F101"/>
    <mergeCell ref="E104:F104"/>
    <mergeCell ref="B100:C100"/>
    <mergeCell ref="E100:F100"/>
    <mergeCell ref="G49:H49"/>
    <mergeCell ref="G50:H50"/>
    <mergeCell ref="A52:B52"/>
    <mergeCell ref="C52:F52"/>
    <mergeCell ref="G52:H52"/>
    <mergeCell ref="C47:F47"/>
    <mergeCell ref="A48:B48"/>
    <mergeCell ref="G109:H109"/>
    <mergeCell ref="G63:H63"/>
    <mergeCell ref="G64:H64"/>
    <mergeCell ref="G65:H65"/>
    <mergeCell ref="G66:H66"/>
    <mergeCell ref="D83:F83"/>
    <mergeCell ref="D84:F84"/>
    <mergeCell ref="D85:F85"/>
    <mergeCell ref="D86:F86"/>
    <mergeCell ref="D88:F88"/>
    <mergeCell ref="D89:F89"/>
    <mergeCell ref="A70:F70"/>
    <mergeCell ref="B80:F80"/>
    <mergeCell ref="A64:B64"/>
    <mergeCell ref="A65:B65"/>
    <mergeCell ref="C63:F63"/>
    <mergeCell ref="C64:F64"/>
    <mergeCell ref="J83:L83"/>
    <mergeCell ref="A66:F66"/>
    <mergeCell ref="A62:F62"/>
    <mergeCell ref="A60:B60"/>
    <mergeCell ref="C60:F60"/>
    <mergeCell ref="G51:H51"/>
    <mergeCell ref="G53:H53"/>
    <mergeCell ref="G54:H54"/>
    <mergeCell ref="G55:H55"/>
    <mergeCell ref="C65:F65"/>
    <mergeCell ref="A51:B51"/>
    <mergeCell ref="C51:F51"/>
    <mergeCell ref="A58:B58"/>
    <mergeCell ref="C58:F58"/>
    <mergeCell ref="A59:B59"/>
    <mergeCell ref="A56:B56"/>
    <mergeCell ref="C56:F56"/>
    <mergeCell ref="E126:F126"/>
    <mergeCell ref="E127:F136"/>
    <mergeCell ref="A63:B63"/>
    <mergeCell ref="C59:F59"/>
    <mergeCell ref="C55:F55"/>
    <mergeCell ref="A53:F53"/>
    <mergeCell ref="A54:B54"/>
    <mergeCell ref="C54:F54"/>
    <mergeCell ref="A55:B55"/>
    <mergeCell ref="B106:C106"/>
    <mergeCell ref="E106:F106"/>
    <mergeCell ref="E107:F107"/>
    <mergeCell ref="B107:C107"/>
    <mergeCell ref="B108:C108"/>
    <mergeCell ref="D90:F90"/>
    <mergeCell ref="D91:F91"/>
    <mergeCell ref="D92:F92"/>
    <mergeCell ref="D93:F93"/>
    <mergeCell ref="D94:F94"/>
    <mergeCell ref="D95:F95"/>
    <mergeCell ref="D96:F96"/>
    <mergeCell ref="E108:F108"/>
    <mergeCell ref="B104:C104"/>
    <mergeCell ref="B103:C103"/>
    <mergeCell ref="A315:B315"/>
    <mergeCell ref="C315:F315"/>
    <mergeCell ref="B284:C284"/>
    <mergeCell ref="E284:F284"/>
    <mergeCell ref="B285:C285"/>
    <mergeCell ref="E285:F285"/>
    <mergeCell ref="A216:F216"/>
    <mergeCell ref="A245:F245"/>
    <mergeCell ref="A215:F215"/>
    <mergeCell ref="B314:F314"/>
    <mergeCell ref="C449:D449"/>
    <mergeCell ref="E449:F449"/>
    <mergeCell ref="A123:B124"/>
    <mergeCell ref="D300:E300"/>
    <mergeCell ref="D301:E301"/>
    <mergeCell ref="A305:F305"/>
    <mergeCell ref="B306:F306"/>
    <mergeCell ref="B307:F307"/>
    <mergeCell ref="B308:F308"/>
    <mergeCell ref="B309:F309"/>
    <mergeCell ref="B310:F310"/>
    <mergeCell ref="D296:E296"/>
    <mergeCell ref="D298:E298"/>
    <mergeCell ref="D299:E299"/>
    <mergeCell ref="C174:D174"/>
    <mergeCell ref="E174:F174"/>
    <mergeCell ref="E172:F172"/>
    <mergeCell ref="B311:F311"/>
    <mergeCell ref="B312:F312"/>
    <mergeCell ref="B313:F313"/>
    <mergeCell ref="A211:F211"/>
    <mergeCell ref="A226:F226"/>
    <mergeCell ref="A283:F283"/>
    <mergeCell ref="B125:F125"/>
    <mergeCell ref="L205:M205"/>
    <mergeCell ref="G191:H191"/>
    <mergeCell ref="G213:K213"/>
    <mergeCell ref="B187:B188"/>
    <mergeCell ref="C187:C188"/>
    <mergeCell ref="D187:D188"/>
    <mergeCell ref="E187:E188"/>
    <mergeCell ref="A189:F189"/>
    <mergeCell ref="A190:F190"/>
    <mergeCell ref="G188:H188"/>
    <mergeCell ref="A187:A188"/>
    <mergeCell ref="A212:F212"/>
    <mergeCell ref="A213:A214"/>
    <mergeCell ref="B213:B214"/>
    <mergeCell ref="C213:C214"/>
    <mergeCell ref="D213:D214"/>
    <mergeCell ref="E213:E214"/>
    <mergeCell ref="A197:F197"/>
    <mergeCell ref="A204:F204"/>
    <mergeCell ref="E154:F154"/>
    <mergeCell ref="E155:F164"/>
    <mergeCell ref="A137:B138"/>
    <mergeCell ref="B139:F139"/>
    <mergeCell ref="E140:F140"/>
    <mergeCell ref="E141:F150"/>
    <mergeCell ref="A151:B152"/>
    <mergeCell ref="B153:F153"/>
    <mergeCell ref="G205:H205"/>
    <mergeCell ref="G181:H181"/>
    <mergeCell ref="C182:D182"/>
    <mergeCell ref="E182:F182"/>
    <mergeCell ref="C173:D173"/>
    <mergeCell ref="E184:F184"/>
    <mergeCell ref="E179:F179"/>
    <mergeCell ref="G179:H179"/>
    <mergeCell ref="C184:D184"/>
    <mergeCell ref="A1:F1"/>
    <mergeCell ref="B2:D2"/>
    <mergeCell ref="A3:F3"/>
    <mergeCell ref="A10:F10"/>
    <mergeCell ref="A4:B4"/>
    <mergeCell ref="A81:F81"/>
    <mergeCell ref="B82:F82"/>
    <mergeCell ref="A41:F41"/>
    <mergeCell ref="C4:F4"/>
    <mergeCell ref="A5:B5"/>
    <mergeCell ref="A6:B6"/>
    <mergeCell ref="C5:F5"/>
    <mergeCell ref="C6:F6"/>
    <mergeCell ref="A7:B7"/>
    <mergeCell ref="A14:F14"/>
    <mergeCell ref="C12:D12"/>
    <mergeCell ref="E12:F12"/>
    <mergeCell ref="C13:D13"/>
    <mergeCell ref="E13:F13"/>
    <mergeCell ref="A36:B36"/>
    <mergeCell ref="A32:B32"/>
    <mergeCell ref="C32:F32"/>
    <mergeCell ref="A33:B33"/>
    <mergeCell ref="C33:F33"/>
    <mergeCell ref="A8:B8"/>
    <mergeCell ref="B23:C23"/>
    <mergeCell ref="C36:F36"/>
    <mergeCell ref="A35:B35"/>
    <mergeCell ref="C35:F35"/>
    <mergeCell ref="A27:B27"/>
    <mergeCell ref="A28:B28"/>
    <mergeCell ref="A29:B29"/>
    <mergeCell ref="A30:B30"/>
    <mergeCell ref="A44:B44"/>
    <mergeCell ref="G35:H35"/>
    <mergeCell ref="C44:F44"/>
    <mergeCell ref="C7:F7"/>
    <mergeCell ref="C8:F8"/>
    <mergeCell ref="A9:B9"/>
    <mergeCell ref="C9:F9"/>
    <mergeCell ref="A15:B15"/>
    <mergeCell ref="A43:B43"/>
    <mergeCell ref="C43:F43"/>
    <mergeCell ref="A42:B42"/>
    <mergeCell ref="C42:F42"/>
    <mergeCell ref="C15:F15"/>
    <mergeCell ref="B25:C25"/>
    <mergeCell ref="E25:F25"/>
    <mergeCell ref="B20:C20"/>
    <mergeCell ref="E20:F20"/>
    <mergeCell ref="E19:F19"/>
    <mergeCell ref="B21:C21"/>
    <mergeCell ref="E21:F21"/>
    <mergeCell ref="B22:C22"/>
    <mergeCell ref="E22:F22"/>
    <mergeCell ref="A34:B34"/>
    <mergeCell ref="C34:F34"/>
    <mergeCell ref="I12:J12"/>
    <mergeCell ref="I13:J13"/>
    <mergeCell ref="G28:H28"/>
    <mergeCell ref="G29:H29"/>
    <mergeCell ref="G30:H30"/>
    <mergeCell ref="G31:H31"/>
    <mergeCell ref="G34:H34"/>
    <mergeCell ref="G32:H33"/>
    <mergeCell ref="A16:F16"/>
    <mergeCell ref="A26:F26"/>
    <mergeCell ref="A31:F31"/>
    <mergeCell ref="B17:F17"/>
    <mergeCell ref="B18:C18"/>
    <mergeCell ref="E18:F18"/>
    <mergeCell ref="B19:C19"/>
    <mergeCell ref="E23:F23"/>
    <mergeCell ref="A119:B119"/>
    <mergeCell ref="C119:F119"/>
    <mergeCell ref="A111:F111"/>
    <mergeCell ref="A112:D112"/>
    <mergeCell ref="E112:F112"/>
    <mergeCell ref="A113:D113"/>
    <mergeCell ref="E113:F113"/>
    <mergeCell ref="A110:B110"/>
    <mergeCell ref="A117:B117"/>
    <mergeCell ref="A118:B118"/>
    <mergeCell ref="C118:F118"/>
    <mergeCell ref="A116:B116"/>
    <mergeCell ref="C116:F116"/>
    <mergeCell ref="G36:H36"/>
    <mergeCell ref="G37:H37"/>
    <mergeCell ref="G38:H38"/>
    <mergeCell ref="G39:H39"/>
    <mergeCell ref="G40:H40"/>
    <mergeCell ref="G41:H41"/>
    <mergeCell ref="G42:H42"/>
    <mergeCell ref="G43:H43"/>
    <mergeCell ref="A39:B39"/>
    <mergeCell ref="C39:F39"/>
    <mergeCell ref="A40:B40"/>
    <mergeCell ref="C40:F40"/>
    <mergeCell ref="A38:B38"/>
    <mergeCell ref="C38:F38"/>
    <mergeCell ref="C45:F45"/>
    <mergeCell ref="A47:B47"/>
    <mergeCell ref="C48:F48"/>
    <mergeCell ref="A49:B49"/>
    <mergeCell ref="C49:F49"/>
    <mergeCell ref="A57:B57"/>
    <mergeCell ref="C57:F57"/>
    <mergeCell ref="A50:B50"/>
    <mergeCell ref="C50:F50"/>
    <mergeCell ref="A46:B46"/>
    <mergeCell ref="C46:F46"/>
    <mergeCell ref="A45:B45"/>
    <mergeCell ref="G44:H44"/>
    <mergeCell ref="G182:H182"/>
    <mergeCell ref="A37:B37"/>
    <mergeCell ref="C37:F37"/>
    <mergeCell ref="G116:H116"/>
    <mergeCell ref="C117:F117"/>
    <mergeCell ref="G117:H117"/>
    <mergeCell ref="B24:F24"/>
    <mergeCell ref="A79:F79"/>
    <mergeCell ref="D87:F87"/>
    <mergeCell ref="A86:A87"/>
    <mergeCell ref="B86:B87"/>
    <mergeCell ref="C86:C87"/>
    <mergeCell ref="G56:H56"/>
    <mergeCell ref="G57:H57"/>
    <mergeCell ref="G58:H58"/>
    <mergeCell ref="G59:H59"/>
    <mergeCell ref="G60:H60"/>
    <mergeCell ref="A61:B61"/>
    <mergeCell ref="C61:F61"/>
    <mergeCell ref="G61:H61"/>
    <mergeCell ref="G45:H45"/>
    <mergeCell ref="G47:H47"/>
    <mergeCell ref="G48:H48"/>
    <mergeCell ref="H284:I284"/>
    <mergeCell ref="G215:K215"/>
    <mergeCell ref="G233:H233"/>
    <mergeCell ref="A264:F264"/>
    <mergeCell ref="G265:H265"/>
    <mergeCell ref="D302:E302"/>
    <mergeCell ref="D303:E303"/>
    <mergeCell ref="D304:E304"/>
    <mergeCell ref="D291:E291"/>
    <mergeCell ref="D295:E295"/>
    <mergeCell ref="D292:E292"/>
    <mergeCell ref="D293:E293"/>
    <mergeCell ref="D294:E294"/>
    <mergeCell ref="D297:E297"/>
    <mergeCell ref="B222:F223"/>
    <mergeCell ref="B277:F277"/>
    <mergeCell ref="B258:F258"/>
    <mergeCell ref="I176:L177"/>
    <mergeCell ref="C177:D177"/>
    <mergeCell ref="E177:F177"/>
    <mergeCell ref="G177:H177"/>
    <mergeCell ref="A165:D166"/>
    <mergeCell ref="E165:F166"/>
    <mergeCell ref="I171:L172"/>
    <mergeCell ref="G184:H184"/>
    <mergeCell ref="C181:D181"/>
    <mergeCell ref="E181:F181"/>
    <mergeCell ref="G174:H174"/>
    <mergeCell ref="C172:D172"/>
    <mergeCell ref="A175:F175"/>
    <mergeCell ref="C176:D176"/>
    <mergeCell ref="E176:F176"/>
    <mergeCell ref="G176:H176"/>
    <mergeCell ref="A180:F180"/>
    <mergeCell ref="A167:F167"/>
    <mergeCell ref="C171:D171"/>
    <mergeCell ref="E171:F171"/>
    <mergeCell ref="G171:H171"/>
    <mergeCell ref="A170:F170"/>
  </mergeCells>
  <dataValidations count="17">
    <dataValidation type="list" allowBlank="1" showInputMessage="1" showErrorMessage="1" sqref="B39:B40 B36:B37 B33:B34">
      <formula1>$C$319:$C$324</formula1>
    </dataValidation>
    <dataValidation type="list" allowBlank="1" showInputMessage="1" showErrorMessage="1" sqref="F40 F36:F37 F34">
      <formula1>$G$315:$G$317</formula1>
    </dataValidation>
    <dataValidation type="list" allowBlank="1" showInputMessage="1" showErrorMessage="1" sqref="F2">
      <formula1>"Airoli,Goregaon"</formula1>
    </dataValidation>
    <dataValidation type="list" allowBlank="1" showInputMessage="1" showErrorMessage="1" sqref="D11">
      <formula1>"Mr. Rushabh Kakade, Mr.  Abhishek Manjrekar,Miss. Bharti,Mr. Ajinkya Oturkar"</formula1>
    </dataValidation>
    <dataValidation type="list" allowBlank="1" showInputMessage="1" showErrorMessage="1" sqref="E13:F13">
      <formula1>"Gaurav Panchal,Sachin Sawant,Shruti Fule,Kunal Kadam,Hitakshi Mhatre,Anjali Kamble,Shruti Tathare,Pooja Kawale,Mansee Mohite"</formula1>
    </dataValidation>
    <dataValidation type="list" allowBlank="1" showInputMessage="1" showErrorMessage="1" sqref="A18">
      <formula1>"Plot No.,Survey No.,CTS No.,Gut No."</formula1>
    </dataValidation>
    <dataValidation type="list" allowBlank="1" showInputMessage="1" showErrorMessage="1" sqref="D18">
      <formula1>"Hissa No., Sector No.,"</formula1>
    </dataValidation>
    <dataValidation type="list" allowBlank="1" showInputMessage="1" showErrorMessage="1" sqref="D19">
      <formula1>"Ward No.,Existing Builidng Name &amp; No.,City"</formula1>
    </dataValidation>
    <dataValidation type="list" allowBlank="1" showInputMessage="1" showErrorMessage="1" sqref="E21:F21">
      <formula1>"Mumbai,Thane,Palghar,Raigad,Pune"</formula1>
    </dataValidation>
    <dataValidation type="list" allowBlank="1" showInputMessage="1" showErrorMessage="1" sqref="C118:F119 B99 C72:F72 B74:F74 C109:F110 B104:C108 E105:F108 E103:F103 B101:C101 B77:F77">
      <formula1>"Yes,No"</formula1>
    </dataValidation>
    <dataValidation type="list" allowBlank="1" showInputMessage="1" showErrorMessage="1" sqref="B88:B96 B84:B86">
      <formula1>"Applicable and Received,Applicable and Not Received,Not Applicable"</formula1>
    </dataValidation>
    <dataValidation type="list" allowBlank="1" showInputMessage="1" showErrorMessage="1" sqref="D99">
      <formula1>"Registered,Not Registered"</formula1>
    </dataValidation>
    <dataValidation type="list" allowBlank="1" showInputMessage="1" showErrorMessage="1" sqref="B103:C103">
      <formula1>"Zone II,Zone III,Zone IV,Zone V"</formula1>
    </dataValidation>
    <dataValidation type="list" allowBlank="1" showInputMessage="1" showErrorMessage="1" sqref="E104:F104">
      <formula1>"Not Appicable,Zone I,Zone II,Zone III,Zone IV"</formula1>
    </dataValidation>
    <dataValidation type="list" allowBlank="1" showInputMessage="1" showErrorMessage="1" sqref="E285:F285">
      <formula1>"Carpet Area,Buildup Area,Saleable Area"</formula1>
    </dataValidation>
    <dataValidation type="list" allowBlank="1" showInputMessage="1" showErrorMessage="1" sqref="B306:F306">
      <formula1>"Construction Work is active at the time of visit. ,Construction Work is not active at the time of visit.,Work not yet Started, All work Completed"</formula1>
    </dataValidation>
    <dataValidation type="list" allowBlank="1" showInputMessage="1" showErrorMessage="1" sqref="B72">
      <formula1>"Yes &amp; 0.15m, No"</formula1>
    </dataValidation>
  </dataValidations>
  <hyperlinks>
    <hyperlink ref="C6" r:id="rId1"/>
    <hyperlink ref="B24" r:id="rId2"/>
  </hyperlinks>
  <pageMargins left="0.39370078740157483" right="0.39370078740157483" top="0.78740157480314965" bottom="0.78740157480314965" header="0.31496062992125984" footer="0.31496062992125984"/>
  <pageSetup scale="99" fitToHeight="0" orientation="portrait" r:id="rId3"/>
  <headerFooter>
    <oddHeader>&amp;C&amp;G</oddHeader>
    <oddFooter>&amp;L&amp;"-,Bold"Ref No: &amp;F&amp;R&amp;"-,Bold"&amp;P</oddFooter>
  </headerFooter>
  <rowBreaks count="3" manualBreakCount="3">
    <brk id="314" max="5" man="1"/>
    <brk id="360" max="16383" man="1"/>
    <brk id="406" max="16383" man="1"/>
  </rowBreaks>
  <colBreaks count="1" manualBreakCount="1">
    <brk id="6" max="1048575" man="1"/>
  </col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K131"/>
  <sheetViews>
    <sheetView topLeftCell="A123" workbookViewId="0">
      <selection activeCell="B133" sqref="B133"/>
    </sheetView>
  </sheetViews>
  <sheetFormatPr defaultRowHeight="15" x14ac:dyDescent="0.25"/>
  <sheetData>
    <row r="104" spans="2:11" ht="15.75" thickBot="1" x14ac:dyDescent="0.3"/>
    <row r="105" spans="2:11" ht="15.75" x14ac:dyDescent="0.25">
      <c r="B105" s="323" t="s">
        <v>4</v>
      </c>
      <c r="C105" s="324"/>
      <c r="D105" s="325" t="s">
        <v>44</v>
      </c>
      <c r="E105" s="326"/>
      <c r="F105" s="326"/>
      <c r="G105" s="326"/>
      <c r="H105" s="326"/>
      <c r="I105" s="327"/>
      <c r="J105" s="13" t="str">
        <f ca="1">(IF(F109&gt;99%,"All work completed. Please provide OC.",IF(F109&gt;89.8%,"Plinth, RCC, Brick, Plaster, Flooring, Painting work Completed. Finishing work is in process.",IF(F109&lt;94%,(IF(D109=0,"Work not yet Started.",IF(E109=25%,"Piling work in process",IF(E109=50%,"Excavation work in process",IF(E109=100%,"Excavation work Completed. ","0")))&amp;(IF(D110=0%,"",IF(D110=K111,"Footing work is process",IF(D110=K112,"Footing work Completed",IF(D110=K113,"1st Basement Completed",IF(D110=K114,"1st &amp; 2nd Basement Completed",IF(D110=K115,"1st to 3rd Basement Completed",IF(D110=K116,"1st to 4th Basement Completed",IF(D110=K117,"Plinth work is process",IF(D110=K118,"Plinth work completed","0")))))))))))&amp;(IF(D111=(D106+E106+F106),", RCC Slab",IF(D111&gt;0,", RCC upto "&amp;D111&amp;" Slab",""))&amp;(IF(D112=F106,", Brickwork",IF(D112&gt;0,", Brickwork upto "&amp;D112&amp;" Floor",""))&amp;(IF(D113=F106,", Internal Plaster",IF(D113&gt;0,", Internal Plaster upto "&amp;D113&amp;" Floor",""))&amp;(IF(D114=F106,", External Plaster",IF(D114&gt;0,", External Plaster upto "&amp;D114&amp;" Floor",""))&amp;(IF(D115=F106,", Flooring",IF(D115&gt;0,", Flooring upto "&amp;D115&amp;" Floor",""))&amp;(IF(D116=F106,", Painting",IF(D116&gt;0,", Painting upto "&amp;D116&amp;" Floor",""))&amp;(IF(D117&gt;0,", Finishing upto "&amp;D117&amp;" Floor","")&amp;(IF(D111&gt;0.5," Completed",""))))))))))))))</f>
        <v>All work completed. Please provide OC.</v>
      </c>
      <c r="K105" s="14"/>
    </row>
    <row r="106" spans="2:11" ht="15.75" x14ac:dyDescent="0.25">
      <c r="B106" s="15" t="s">
        <v>5</v>
      </c>
      <c r="C106" s="16">
        <v>0</v>
      </c>
      <c r="D106" s="32">
        <v>1</v>
      </c>
      <c r="E106" s="33">
        <v>0</v>
      </c>
      <c r="F106" s="33">
        <f ca="1">--TRIM(RIGHT(SUBSTITUTE(LEFT(D105,_xlfn.AGGREGATE(16,6,FIND({0,1,2,3,4,5,6,7,8,9},D105,ROW(INDIRECT("1:"&amp;LEN(D105)))),1))," ",REPT(" ",LEN(D105))),LEN(D105)))</f>
        <v>7</v>
      </c>
      <c r="G106" s="33"/>
      <c r="H106" s="33"/>
      <c r="I106" s="34"/>
      <c r="J106" s="17"/>
      <c r="K106" s="18"/>
    </row>
    <row r="107" spans="2:11" ht="15.75" x14ac:dyDescent="0.25">
      <c r="B107" s="328" t="s">
        <v>9</v>
      </c>
      <c r="C107" s="329"/>
      <c r="D107" s="330" t="str">
        <f>J107</f>
        <v>All work Completed. OC Received.</v>
      </c>
      <c r="E107" s="330"/>
      <c r="F107" s="330"/>
      <c r="G107" s="330"/>
      <c r="H107" s="330"/>
      <c r="I107" s="331"/>
      <c r="J107" s="17" t="s">
        <v>10</v>
      </c>
      <c r="K107" s="18"/>
    </row>
    <row r="108" spans="2:11" ht="31.5" x14ac:dyDescent="0.25">
      <c r="B108" s="332" t="s">
        <v>11</v>
      </c>
      <c r="C108" s="333"/>
      <c r="D108" s="19" t="s">
        <v>13</v>
      </c>
      <c r="E108" s="19" t="s">
        <v>14</v>
      </c>
      <c r="F108" s="333" t="s">
        <v>15</v>
      </c>
      <c r="G108" s="333"/>
      <c r="H108" s="333" t="s">
        <v>41</v>
      </c>
      <c r="I108" s="334"/>
      <c r="J108" s="20" t="s">
        <v>16</v>
      </c>
      <c r="K108" s="21">
        <f ca="1">F106*25%</f>
        <v>1.75</v>
      </c>
    </row>
    <row r="109" spans="2:11" ht="15.75" x14ac:dyDescent="0.25">
      <c r="B109" s="332" t="s">
        <v>17</v>
      </c>
      <c r="C109" s="333"/>
      <c r="D109" s="22">
        <f ca="1">K110</f>
        <v>7</v>
      </c>
      <c r="E109" s="23">
        <f ca="1">((100/F106)*D109)/100</f>
        <v>1</v>
      </c>
      <c r="F109" s="337">
        <f ca="1">(((D110/F106*10)+(40/(D106+E106+F106)*D111)+(7.5/(F106)*D112)+(7.5/(F106)*D113)+(10/F106*D114)+(10/F106*D115)+(5/F106*D116)+(5/F106*D117)+(5/F106*D118))/100)</f>
        <v>1</v>
      </c>
      <c r="G109" s="337"/>
      <c r="H109" s="337">
        <f ca="1">((((D109/F106)*20)+((D110/F106)*25)+(30/(F106+E106+D106)*D111)+(5/F106*D112)+(5/F106*D113)+(5/F106*D114)+(5/F106*D115)+(0/F106*D116)+(0/F106*D117)+(5/F106*D118))/100)</f>
        <v>1</v>
      </c>
      <c r="I109" s="339"/>
      <c r="J109" s="20" t="s">
        <v>18</v>
      </c>
      <c r="K109" s="24">
        <f ca="1">F106*50%</f>
        <v>3.5</v>
      </c>
    </row>
    <row r="110" spans="2:11" ht="15.75" x14ac:dyDescent="0.25">
      <c r="B110" s="332" t="s">
        <v>19</v>
      </c>
      <c r="C110" s="333"/>
      <c r="D110" s="25">
        <f ca="1">K118</f>
        <v>7</v>
      </c>
      <c r="E110" s="23">
        <f ca="1">((100/F106)*D110)/100</f>
        <v>1</v>
      </c>
      <c r="F110" s="337"/>
      <c r="G110" s="337"/>
      <c r="H110" s="337"/>
      <c r="I110" s="339"/>
      <c r="J110" s="20" t="s">
        <v>20</v>
      </c>
      <c r="K110" s="24">
        <f ca="1">F106</f>
        <v>7</v>
      </c>
    </row>
    <row r="111" spans="2:11" ht="15.75" x14ac:dyDescent="0.25">
      <c r="B111" s="341" t="s">
        <v>21</v>
      </c>
      <c r="C111" s="342"/>
      <c r="D111" s="25">
        <v>8</v>
      </c>
      <c r="E111" s="23">
        <f ca="1">((100/(D106+E106+F106))*D111)/100</f>
        <v>1</v>
      </c>
      <c r="F111" s="337"/>
      <c r="G111" s="337"/>
      <c r="H111" s="337"/>
      <c r="I111" s="339"/>
      <c r="J111" s="20" t="s">
        <v>22</v>
      </c>
      <c r="K111" s="26">
        <f ca="1">(IF(C106&gt;1,(F106/(C106+2)),F106/4))</f>
        <v>1.75</v>
      </c>
    </row>
    <row r="112" spans="2:11" ht="15.75" x14ac:dyDescent="0.25">
      <c r="B112" s="332" t="s">
        <v>23</v>
      </c>
      <c r="C112" s="333" t="s">
        <v>42</v>
      </c>
      <c r="D112" s="22">
        <v>7</v>
      </c>
      <c r="E112" s="23">
        <f ca="1">((100/F106)*D112)/100</f>
        <v>1</v>
      </c>
      <c r="F112" s="337"/>
      <c r="G112" s="337"/>
      <c r="H112" s="337"/>
      <c r="I112" s="339"/>
      <c r="J112" s="20" t="s">
        <v>24</v>
      </c>
      <c r="K112" s="26">
        <f ca="1">(IF(C106&gt;1,(F106/(C106+2)+K111),F106/4+K111))</f>
        <v>3.5</v>
      </c>
    </row>
    <row r="113" spans="2:11" ht="15.75" x14ac:dyDescent="0.25">
      <c r="B113" s="332" t="s">
        <v>25</v>
      </c>
      <c r="C113" s="333" t="s">
        <v>42</v>
      </c>
      <c r="D113" s="22">
        <v>7</v>
      </c>
      <c r="E113" s="23">
        <f ca="1">((100/F106)*D113)/100</f>
        <v>1</v>
      </c>
      <c r="F113" s="337"/>
      <c r="G113" s="337"/>
      <c r="H113" s="337"/>
      <c r="I113" s="339"/>
      <c r="J113" s="20" t="s">
        <v>26</v>
      </c>
      <c r="K113" s="26">
        <f>(IF(C106&gt;1,(F106/(C106+2)+K112),0))</f>
        <v>0</v>
      </c>
    </row>
    <row r="114" spans="2:11" ht="15.75" x14ac:dyDescent="0.25">
      <c r="B114" s="332" t="s">
        <v>27</v>
      </c>
      <c r="C114" s="333" t="s">
        <v>43</v>
      </c>
      <c r="D114" s="22">
        <v>7</v>
      </c>
      <c r="E114" s="23">
        <f ca="1">((100/(F106))*D114)/100</f>
        <v>1</v>
      </c>
      <c r="F114" s="337"/>
      <c r="G114" s="337"/>
      <c r="H114" s="337"/>
      <c r="I114" s="339"/>
      <c r="J114" s="20" t="s">
        <v>28</v>
      </c>
      <c r="K114" s="26">
        <f>(IF(C106&gt;2,(F106/(C106+2)+K113),0))</f>
        <v>0</v>
      </c>
    </row>
    <row r="115" spans="2:11" ht="15.75" x14ac:dyDescent="0.25">
      <c r="B115" s="332" t="s">
        <v>29</v>
      </c>
      <c r="C115" s="333" t="s">
        <v>29</v>
      </c>
      <c r="D115" s="22">
        <v>7</v>
      </c>
      <c r="E115" s="23">
        <f ca="1">((100/F106)*D115)/100</f>
        <v>1</v>
      </c>
      <c r="F115" s="337"/>
      <c r="G115" s="337"/>
      <c r="H115" s="337"/>
      <c r="I115" s="339"/>
      <c r="J115" s="20" t="s">
        <v>30</v>
      </c>
      <c r="K115" s="27">
        <f>(IF(C106&gt;3,(F106/(C106+2)+K114),0))</f>
        <v>0</v>
      </c>
    </row>
    <row r="116" spans="2:11" ht="15.75" x14ac:dyDescent="0.25">
      <c r="B116" s="332" t="s">
        <v>31</v>
      </c>
      <c r="C116" s="333"/>
      <c r="D116" s="22">
        <v>7</v>
      </c>
      <c r="E116" s="23">
        <f ca="1">((100/F106)*D116)/100</f>
        <v>1</v>
      </c>
      <c r="F116" s="337"/>
      <c r="G116" s="337"/>
      <c r="H116" s="337"/>
      <c r="I116" s="339"/>
      <c r="J116" s="20" t="s">
        <v>32</v>
      </c>
      <c r="K116" s="26">
        <f>(IF(C106&gt;4,(F106/(C106+2)+K115),0))</f>
        <v>0</v>
      </c>
    </row>
    <row r="117" spans="2:11" ht="15.75" x14ac:dyDescent="0.25">
      <c r="B117" s="332" t="s">
        <v>33</v>
      </c>
      <c r="C117" s="333" t="s">
        <v>33</v>
      </c>
      <c r="D117" s="22">
        <v>7</v>
      </c>
      <c r="E117" s="23">
        <f ca="1">((100/(F106))*D117)/100</f>
        <v>1</v>
      </c>
      <c r="F117" s="337"/>
      <c r="G117" s="337"/>
      <c r="H117" s="337"/>
      <c r="I117" s="339"/>
      <c r="J117" s="20" t="s">
        <v>34</v>
      </c>
      <c r="K117" s="26">
        <f ca="1">(IF(C106=1,(F106/(C106+3)+K112),IF(C106=0,(F106/4+K112),IF(C106&gt;1,0))))</f>
        <v>5.25</v>
      </c>
    </row>
    <row r="118" spans="2:11" ht="16.5" thickBot="1" x14ac:dyDescent="0.3">
      <c r="B118" s="335" t="s">
        <v>35</v>
      </c>
      <c r="C118" s="336"/>
      <c r="D118" s="28">
        <v>7</v>
      </c>
      <c r="E118" s="29">
        <f ca="1">((100/(F106))*D118)/100</f>
        <v>1</v>
      </c>
      <c r="F118" s="338"/>
      <c r="G118" s="338"/>
      <c r="H118" s="338"/>
      <c r="I118" s="340"/>
      <c r="J118" s="30" t="s">
        <v>36</v>
      </c>
      <c r="K118" s="31">
        <f ca="1">(IF(C106&gt;1.5,(F106/(C106+2)+K112+MAX(0,K113-K112)+MAX(0,K114-K113)+MAX(0,K115-K114)+MAX(0,K116-K115)+MAX(0,K117-K116)),IF(C106=1,(F106/(C106+3)+K117),IF(C106=0,F106/4+K117))))</f>
        <v>7</v>
      </c>
    </row>
    <row r="124" spans="2:11" x14ac:dyDescent="0.25">
      <c r="B124" t="str">
        <f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","0")))&amp;(IF(C126=0%,"",IF(C126=H127,"Footing work is process",IF(C126=H128,"Footing work Completed",IF(C126=H129,"1st Basement Completed",IF(C126=H130,"1st &amp; 2nd Basement Completed",IF(C126=H131,"1st to 3rd Basement Completed",IF(C126=H132,"1st to 4th Basement Completed",IF(C126=H133,"Plinth work is process",IF(C126=H134,"Plinth work completed","0")))))))))))&amp;(IF(C127=(D122+E122+F122),", RCC Slab",IF(C127&gt;0,", RCC upto "&amp;C127&amp;" Slab",""))&amp;(IF(C128=F122,", Brickwork",IF(C128&gt;0,", Brickwork upto "&amp;C128&amp;" Floor",""))&amp;(IF(C129=F122,", Internal Plaster",IF(C129&gt;0,", Internal Plaster upto "&amp;C129&amp;" Floor",""))&amp;(IF(C130=F122,", External Plaster",IF(C130&gt;0,", External Plaster upto "&amp;C130&amp;" Floor",""))&amp;(IF(C131=F122,", Flooring",IF(C131&gt;0,", Flooring upto "&amp;C131&amp;" Floor",""))&amp;(IF(C132=F122,", Painting",IF(C132&gt;0,", Painting upto "&amp;C132&amp;" Floor",""))&amp;(IF(C133&gt;0,", Finishing upto "&amp;C133&amp;" Floor","")&amp;(IF(C127&gt;0.5," Completed",""))))))))))))))</f>
        <v>Work not yet Started., RCC Slab, Brickwork, Internal Plaster, External Plaster, Flooring, Painting</v>
      </c>
    </row>
    <row r="131" spans="2:2" x14ac:dyDescent="0.25">
      <c r="B131" t="str">
        <f>(IF(E128&gt;99%,"All work completed. Please provide OC.",IF(E128&gt;89.8%,"Plinth, RCC, Brick, Plaster, Flooring, Painting work Completed. Finishing work is in process.",IF(E128&lt;94%,(IF(C128=0,"Work not yet Started.",IF(D128=25%,"Piling work in process",IF(D128=50%,"Excavation work in process",IF(D128=100%,"Excavation work Completed. ","0")))&amp;(IF(C129=0%,"",IF(C129=H130,"Footing work is process",IF(C129=H131,"Footing work Completed",IF(C129=H132,"1st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Work not yet Started., RCC Slab, Brickwork, Internal Plaster, External Plaster, Flooring, Painting</v>
      </c>
    </row>
  </sheetData>
  <mergeCells count="19">
    <mergeCell ref="B117:C117"/>
    <mergeCell ref="B118:C118"/>
    <mergeCell ref="B109:C109"/>
    <mergeCell ref="F109:G118"/>
    <mergeCell ref="H109:I118"/>
    <mergeCell ref="B110:C110"/>
    <mergeCell ref="B111:C111"/>
    <mergeCell ref="B112:C112"/>
    <mergeCell ref="B113:C113"/>
    <mergeCell ref="B114:C114"/>
    <mergeCell ref="B115:C115"/>
    <mergeCell ref="B116:C116"/>
    <mergeCell ref="B105:C105"/>
    <mergeCell ref="D105:I105"/>
    <mergeCell ref="B107:C107"/>
    <mergeCell ref="D107:I107"/>
    <mergeCell ref="B108:C108"/>
    <mergeCell ref="F108:G108"/>
    <mergeCell ref="H108:I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VSJC</cp:lastModifiedBy>
  <cp:lastPrinted>2025-03-27T12:39:15Z</cp:lastPrinted>
  <dcterms:created xsi:type="dcterms:W3CDTF">2023-05-19T08:34:56Z</dcterms:created>
  <dcterms:modified xsi:type="dcterms:W3CDTF">2025-08-07T06:00:21Z</dcterms:modified>
</cp:coreProperties>
</file>