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105" yWindow="-105" windowWidth="21840" windowHeight="12450" tabRatio="538"/>
  </bookViews>
  <sheets>
    <sheet name="Report" sheetId="3" r:id="rId1"/>
  </sheets>
  <definedNames>
    <definedName name="_xlnm.Print_Area" localSheetId="0">Report!$A$1:$I$371</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 i="3" l="1"/>
  <c r="K224" i="3" l="1"/>
  <c r="F232" i="3"/>
  <c r="F231" i="3"/>
  <c r="F210" i="3"/>
  <c r="H51" i="3"/>
  <c r="I232" i="3" l="1"/>
  <c r="I231" i="3"/>
  <c r="F230" i="3"/>
  <c r="I230" i="3" s="1"/>
  <c r="F229" i="3"/>
  <c r="I229" i="3" s="1"/>
  <c r="F228" i="3"/>
  <c r="I228" i="3" s="1"/>
  <c r="F227" i="3"/>
  <c r="I227" i="3" s="1"/>
  <c r="F226" i="3"/>
  <c r="I226" i="3" s="1"/>
  <c r="F225" i="3"/>
  <c r="I225" i="3" s="1"/>
  <c r="F224" i="3"/>
  <c r="I224" i="3" s="1"/>
  <c r="J225" i="3" s="1"/>
  <c r="F223" i="3"/>
  <c r="I223" i="3" s="1"/>
  <c r="F222" i="3"/>
  <c r="I222" i="3" s="1"/>
  <c r="F220" i="3"/>
  <c r="F219" i="3"/>
  <c r="I219" i="3" s="1"/>
  <c r="F218" i="3"/>
  <c r="F217" i="3"/>
  <c r="F216" i="3"/>
  <c r="F215" i="3"/>
  <c r="F214" i="3"/>
  <c r="F213" i="3"/>
  <c r="F212" i="3"/>
  <c r="F211" i="3"/>
  <c r="F110" i="3" s="1"/>
  <c r="K212" i="3"/>
  <c r="A222" i="3"/>
  <c r="A210" i="3"/>
  <c r="J224" i="3" l="1"/>
  <c r="H111" i="3"/>
  <c r="F111" i="3"/>
  <c r="I220" i="3"/>
  <c r="I218" i="3"/>
  <c r="I214" i="3" l="1"/>
  <c r="I216" i="3"/>
  <c r="I213" i="3"/>
  <c r="I211" i="3"/>
  <c r="C66" i="3"/>
  <c r="I212" i="3" l="1"/>
  <c r="I210" i="3"/>
  <c r="I215" i="3"/>
  <c r="I217" i="3"/>
  <c r="J21" i="3"/>
  <c r="H110" i="3" l="1"/>
  <c r="M86" i="3"/>
  <c r="K84" i="3"/>
  <c r="K83" i="3"/>
  <c r="K82" i="3"/>
  <c r="K81" i="3"/>
  <c r="C82" i="3"/>
  <c r="C83" i="3" s="1"/>
  <c r="I76" i="3"/>
  <c r="E88" i="3" l="1"/>
  <c r="E80" i="3"/>
  <c r="K76" i="3"/>
  <c r="E86" i="3"/>
  <c r="E84" i="3"/>
  <c r="E81" i="3"/>
  <c r="K78" i="3"/>
  <c r="C78" i="3" s="1"/>
  <c r="E82" i="3"/>
  <c r="E89" i="3"/>
  <c r="E87" i="3"/>
  <c r="E85" i="3"/>
  <c r="E83" i="3"/>
  <c r="K79" i="3"/>
  <c r="K80" i="3" s="1"/>
  <c r="K85" i="3" s="1"/>
  <c r="K77" i="3"/>
  <c r="K86" i="3" l="1"/>
  <c r="E78" i="3"/>
  <c r="C79" i="3" l="1"/>
  <c r="F78" i="3" s="1"/>
  <c r="J74" i="3" s="1"/>
  <c r="H78" i="3" s="1"/>
  <c r="E79" i="3" l="1"/>
  <c r="C65" i="3"/>
  <c r="C67" i="3" s="1"/>
  <c r="M70" i="3"/>
  <c r="K68" i="3"/>
  <c r="K67" i="3"/>
  <c r="K66" i="3"/>
  <c r="K65" i="3"/>
  <c r="I60" i="3"/>
  <c r="K61" i="3" l="1"/>
  <c r="E70" i="3"/>
  <c r="E68" i="3"/>
  <c r="E66" i="3"/>
  <c r="E64" i="3"/>
  <c r="K60" i="3"/>
  <c r="K62" i="3"/>
  <c r="C62" i="3" s="1"/>
  <c r="F62" i="3" s="1"/>
  <c r="E73" i="3"/>
  <c r="E71" i="3"/>
  <c r="E69" i="3"/>
  <c r="E67" i="3"/>
  <c r="E65" i="3"/>
  <c r="E63" i="3"/>
  <c r="E72" i="3"/>
  <c r="K63" i="3"/>
  <c r="K64" i="3" s="1"/>
  <c r="K69" i="3" s="1"/>
  <c r="K70" i="3" s="1"/>
  <c r="E62" i="3" l="1"/>
  <c r="J58" i="3" s="1"/>
  <c r="H62" i="3" s="1"/>
  <c r="H189" i="3" l="1"/>
  <c r="E236" i="3" l="1"/>
  <c r="H205" i="3"/>
  <c r="H204" i="3"/>
  <c r="H203" i="3"/>
  <c r="H201" i="3"/>
  <c r="H200" i="3"/>
  <c r="H199" i="3"/>
  <c r="H198" i="3"/>
  <c r="H196" i="3"/>
  <c r="H195" i="3"/>
  <c r="H194" i="3"/>
  <c r="H193" i="3"/>
  <c r="H192" i="3"/>
  <c r="H191" i="3"/>
  <c r="H190" i="3"/>
  <c r="F205" i="3"/>
  <c r="F204" i="3"/>
  <c r="F203" i="3"/>
  <c r="F201" i="3"/>
  <c r="F200" i="3"/>
  <c r="F199" i="3"/>
  <c r="F198" i="3"/>
  <c r="F196" i="3"/>
  <c r="F195" i="3"/>
  <c r="F194" i="3"/>
  <c r="F193" i="3"/>
  <c r="F192" i="3"/>
  <c r="F191" i="3"/>
  <c r="F190" i="3"/>
  <c r="F189" i="3"/>
  <c r="I189" i="3" s="1"/>
  <c r="I192" i="3" l="1"/>
  <c r="I191" i="3"/>
  <c r="I200" i="3"/>
  <c r="I190" i="3"/>
  <c r="I199" i="3"/>
  <c r="I195" i="3"/>
  <c r="I201" i="3"/>
  <c r="I196" i="3"/>
  <c r="I193" i="3"/>
  <c r="I203" i="3"/>
  <c r="I194" i="3"/>
  <c r="I204" i="3"/>
  <c r="I205" i="3"/>
  <c r="I198" i="3"/>
  <c r="K187" i="3"/>
  <c r="K160" i="3"/>
  <c r="F142" i="3"/>
  <c r="I142" i="3" s="1"/>
  <c r="F141" i="3"/>
  <c r="I141" i="3" s="1"/>
  <c r="F140" i="3"/>
  <c r="I140" i="3" s="1"/>
  <c r="F139" i="3"/>
  <c r="F133" i="3"/>
  <c r="I133" i="3" s="1"/>
  <c r="F132" i="3"/>
  <c r="I132" i="3" s="1"/>
  <c r="F130" i="3"/>
  <c r="I130" i="3" s="1"/>
  <c r="F131" i="3"/>
  <c r="I131" i="3" s="1"/>
  <c r="F129" i="3"/>
  <c r="I129" i="3" s="1"/>
  <c r="F128" i="3"/>
  <c r="I128" i="3" s="1"/>
  <c r="F126" i="3"/>
  <c r="I126" i="3" s="1"/>
  <c r="F125" i="3"/>
  <c r="I125" i="3" s="1"/>
  <c r="F124" i="3"/>
  <c r="I124" i="3" s="1"/>
  <c r="F123" i="3"/>
  <c r="I123" i="3" s="1"/>
  <c r="F122" i="3"/>
  <c r="I122" i="3" s="1"/>
  <c r="F121" i="3"/>
  <c r="I121" i="3" s="1"/>
  <c r="F120" i="3"/>
  <c r="I120" i="3" s="1"/>
  <c r="F119" i="3"/>
  <c r="K20" i="3"/>
  <c r="F108" i="3" l="1"/>
  <c r="H108" i="3"/>
  <c r="I139" i="3"/>
  <c r="I119" i="3"/>
  <c r="M154" i="3"/>
  <c r="M155" i="3" s="1"/>
  <c r="C154" i="3"/>
  <c r="C155" i="3" s="1"/>
  <c r="C156" i="3" s="1"/>
  <c r="M145" i="3"/>
  <c r="M146" i="3" s="1"/>
  <c r="C145" i="3"/>
  <c r="C146" i="3" s="1"/>
  <c r="C147" i="3" s="1"/>
  <c r="M136" i="3"/>
  <c r="M137" i="3" s="1"/>
  <c r="C136" i="3"/>
  <c r="C137" i="3" s="1"/>
  <c r="C138" i="3" s="1"/>
  <c r="C199" i="3"/>
  <c r="C200" i="3" s="1"/>
  <c r="C201" i="3" s="1"/>
  <c r="C202" i="3" s="1"/>
  <c r="C203" i="3" s="1"/>
  <c r="C204" i="3" s="1"/>
  <c r="C205" i="3" s="1"/>
  <c r="A198" i="3"/>
  <c r="C190" i="3"/>
  <c r="C191" i="3" s="1"/>
  <c r="C192" i="3" s="1"/>
  <c r="C193" i="3" s="1"/>
  <c r="C194" i="3" s="1"/>
  <c r="C195" i="3" s="1"/>
  <c r="C196" i="3" s="1"/>
  <c r="A189" i="3"/>
  <c r="F187" i="3"/>
  <c r="I187" i="3" s="1"/>
  <c r="F186" i="3"/>
  <c r="I186" i="3" s="1"/>
  <c r="F183" i="3"/>
  <c r="I183" i="3" s="1"/>
  <c r="M181" i="3"/>
  <c r="M182" i="3" s="1"/>
  <c r="F182" i="3"/>
  <c r="I182" i="3" s="1"/>
  <c r="F181" i="3"/>
  <c r="I181" i="3" s="1"/>
  <c r="C181" i="3"/>
  <c r="C182" i="3" s="1"/>
  <c r="C183" i="3" s="1"/>
  <c r="C184" i="3" s="1"/>
  <c r="C185" i="3" s="1"/>
  <c r="C186" i="3" s="1"/>
  <c r="C187" i="3" s="1"/>
  <c r="F180" i="3"/>
  <c r="I180" i="3" s="1"/>
  <c r="A180" i="3"/>
  <c r="O140" i="3" l="1"/>
  <c r="O139" i="3"/>
  <c r="F150" i="3"/>
  <c r="I150" i="3" s="1"/>
  <c r="M163" i="3" l="1"/>
  <c r="M164" i="3" s="1"/>
  <c r="H104" i="3"/>
  <c r="H103" i="3"/>
  <c r="H105" i="3" s="1"/>
  <c r="F177" i="3"/>
  <c r="I177" i="3" s="1"/>
  <c r="F173" i="3"/>
  <c r="I173" i="3" s="1"/>
  <c r="F168" i="3"/>
  <c r="I168" i="3" s="1"/>
  <c r="F164" i="3"/>
  <c r="I164" i="3" s="1"/>
  <c r="F159" i="3"/>
  <c r="I159" i="3" s="1"/>
  <c r="F178" i="3"/>
  <c r="I178" i="3" s="1"/>
  <c r="F174" i="3"/>
  <c r="I174" i="3" s="1"/>
  <c r="F172" i="3"/>
  <c r="I172" i="3" s="1"/>
  <c r="F171" i="3"/>
  <c r="I171" i="3" s="1"/>
  <c r="F169" i="3"/>
  <c r="I169" i="3" s="1"/>
  <c r="F167" i="3"/>
  <c r="I167" i="3" s="1"/>
  <c r="F166" i="3"/>
  <c r="I166" i="3" s="1"/>
  <c r="F165" i="3"/>
  <c r="I165" i="3" s="1"/>
  <c r="F163" i="3"/>
  <c r="I163" i="3" s="1"/>
  <c r="F162" i="3"/>
  <c r="I162" i="3" s="1"/>
  <c r="F160" i="3"/>
  <c r="I160" i="3" s="1"/>
  <c r="F158" i="3"/>
  <c r="I158" i="3" s="1"/>
  <c r="F157" i="3"/>
  <c r="I157" i="3" s="1"/>
  <c r="F151" i="3"/>
  <c r="I151" i="3" s="1"/>
  <c r="F149" i="3"/>
  <c r="I149" i="3" s="1"/>
  <c r="F148" i="3"/>
  <c r="M117" i="3"/>
  <c r="C172" i="3"/>
  <c r="C173" i="3" s="1"/>
  <c r="C174" i="3" s="1"/>
  <c r="C175" i="3" s="1"/>
  <c r="C176" i="3" s="1"/>
  <c r="C177" i="3" s="1"/>
  <c r="C178" i="3" s="1"/>
  <c r="A171" i="3"/>
  <c r="C163" i="3"/>
  <c r="C164" i="3" s="1"/>
  <c r="C165" i="3" s="1"/>
  <c r="C166" i="3" s="1"/>
  <c r="C167" i="3" s="1"/>
  <c r="C168" i="3" s="1"/>
  <c r="C169" i="3" s="1"/>
  <c r="A162" i="3"/>
  <c r="C158" i="3"/>
  <c r="C159" i="3" s="1"/>
  <c r="C160" i="3" s="1"/>
  <c r="A153" i="3"/>
  <c r="C149" i="3"/>
  <c r="C150" i="3" s="1"/>
  <c r="C151" i="3" s="1"/>
  <c r="A144" i="3"/>
  <c r="K139" i="3"/>
  <c r="K138" i="3"/>
  <c r="C140" i="3"/>
  <c r="C141" i="3" s="1"/>
  <c r="C142" i="3" s="1"/>
  <c r="A135" i="3"/>
  <c r="H109" i="3" l="1"/>
  <c r="H112" i="3" s="1"/>
  <c r="F109" i="3"/>
  <c r="F112" i="3" s="1"/>
  <c r="I148" i="3"/>
  <c r="J139" i="3"/>
  <c r="M139" i="3"/>
  <c r="C129" i="3"/>
  <c r="C130" i="3" s="1"/>
  <c r="C131" i="3" s="1"/>
  <c r="C132" i="3" s="1"/>
  <c r="C133" i="3" s="1"/>
  <c r="A128" i="3"/>
  <c r="C120" i="3"/>
  <c r="C121" i="3" s="1"/>
  <c r="C122" i="3" s="1"/>
  <c r="C123" i="3" s="1"/>
  <c r="C124" i="3" s="1"/>
  <c r="C125" i="3" s="1"/>
  <c r="C126" i="3" s="1"/>
  <c r="A119" i="3"/>
  <c r="I5" i="3" l="1"/>
  <c r="E237" i="3" l="1"/>
  <c r="W206" i="3"/>
  <c r="V206" i="3"/>
  <c r="U206" i="3" l="1"/>
  <c r="V207" i="3"/>
  <c r="W207" i="3"/>
  <c r="W208" i="3" s="1"/>
  <c r="W209" i="3" s="1"/>
  <c r="W210" i="3" s="1"/>
  <c r="W211" i="3" s="1"/>
  <c r="W212" i="3" s="1"/>
  <c r="W213" i="3" s="1"/>
  <c r="W214" i="3" s="1"/>
  <c r="U207" i="3" l="1"/>
  <c r="V208" i="3"/>
  <c r="U208" i="3" s="1"/>
  <c r="V209" i="3" l="1"/>
  <c r="U209" i="3" s="1"/>
  <c r="V210" i="3" l="1"/>
  <c r="U210" i="3" s="1"/>
  <c r="V211" i="3" l="1"/>
  <c r="U211" i="3" s="1"/>
  <c r="V212" i="3" l="1"/>
  <c r="U212" i="3" s="1"/>
  <c r="V213" i="3" l="1"/>
  <c r="U213" i="3" s="1"/>
  <c r="V214" i="3" l="1"/>
  <c r="U214" i="3" l="1"/>
  <c r="E238" i="3" l="1"/>
</calcChain>
</file>

<file path=xl/comments1.xml><?xml version="1.0" encoding="utf-8"?>
<comments xmlns="http://schemas.openxmlformats.org/spreadsheetml/2006/main">
  <authors>
    <author>SACHIN</author>
  </authors>
  <commentList>
    <comment ref="H7" authorId="0">
      <text>
        <r>
          <rPr>
            <b/>
            <sz val="20"/>
            <color indexed="81"/>
            <rFont val="Tahoma"/>
            <family val="2"/>
          </rPr>
          <t>Rushil Sanghvi or Fahad</t>
        </r>
        <r>
          <rPr>
            <sz val="20"/>
            <color indexed="81"/>
            <rFont val="Tahoma"/>
            <family val="2"/>
          </rPr>
          <t xml:space="preserve">
</t>
        </r>
      </text>
    </comment>
    <comment ref="E10" authorId="0">
      <text>
        <r>
          <rPr>
            <b/>
            <sz val="18"/>
            <color indexed="81"/>
            <rFont val="Tahoma"/>
            <family val="2"/>
          </rPr>
          <t>Initiation  Address</t>
        </r>
      </text>
    </comment>
    <comment ref="E11" authorId="0">
      <text>
        <r>
          <rPr>
            <b/>
            <sz val="18"/>
            <color indexed="81"/>
            <rFont val="Tahoma"/>
            <family val="2"/>
          </rPr>
          <t>Plan Address</t>
        </r>
      </text>
    </comment>
    <comment ref="E12" authorId="0">
      <text>
        <r>
          <rPr>
            <b/>
            <sz val="16"/>
            <color indexed="81"/>
            <rFont val="Tahoma"/>
            <family val="2"/>
          </rPr>
          <t>Map Address</t>
        </r>
      </text>
    </comment>
    <comment ref="H18" authorId="0">
      <text>
        <r>
          <rPr>
            <b/>
            <sz val="18"/>
            <color indexed="81"/>
            <rFont val="Tahoma"/>
            <family val="2"/>
          </rPr>
          <t>From Rera</t>
        </r>
      </text>
    </comment>
    <comment ref="H21" authorId="0">
      <text>
        <r>
          <rPr>
            <b/>
            <sz val="16"/>
            <color indexed="81"/>
            <rFont val="Tahoma"/>
            <family val="2"/>
          </rPr>
          <t>From RERA</t>
        </r>
      </text>
    </comment>
    <comment ref="H103" authorId="0">
      <text>
        <r>
          <rPr>
            <b/>
            <sz val="16"/>
            <color indexed="81"/>
            <rFont val="Tahoma"/>
            <family val="2"/>
          </rPr>
          <t>Ready Recknor</t>
        </r>
      </text>
    </comment>
  </commentList>
</comments>
</file>

<file path=xl/sharedStrings.xml><?xml version="1.0" encoding="utf-8"?>
<sst xmlns="http://schemas.openxmlformats.org/spreadsheetml/2006/main" count="546" uniqueCount="293">
  <si>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</si>
  <si>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</si>
  <si>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</si>
  <si>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</si>
  <si>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</si>
  <si>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</si>
  <si>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</si>
  <si>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</si>
  <si>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</si>
  <si>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</si>
  <si>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</si>
  <si>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</si>
  <si>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</si>
  <si>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</si>
  <si>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</si>
  <si>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</si>
  <si>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</si>
  <si>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</si>
  <si>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</si>
  <si>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</si>
  <si>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</si>
  <si>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</si>
  <si>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</si>
  <si>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</si>
  <si>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</si>
  <si>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</si>
  <si>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</si>
  <si>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</si>
  <si>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</si>
  <si>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</si>
  <si>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</si>
  <si>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</si>
  <si>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</si>
  <si>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</si>
  <si>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</si>
  <si>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</si>
  <si>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</si>
  <si>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</si>
  <si>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</si>
  <si>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</si>
  <si>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</si>
  <si>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</si>
  <si>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</si>
  <si>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</si>
  <si>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</si>
  <si>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</si>
  <si>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</si>
  <si>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</si>
  <si>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</si>
  <si>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</si>
  <si>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</si>
  <si>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</si>
  <si>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</si>
  <si>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</si>
  <si>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</si>
  <si>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</si>
  <si>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</si>
  <si>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</si>
  <si>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</si>
  <si>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</si>
  <si>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</si>
  <si>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</si>
  <si>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</si>
  <si>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</si>
  <si>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</si>
  <si>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</si>
  <si>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</si>
  <si>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</si>
  <si>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</si>
  <si>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</si>
  <si>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</si>
  <si>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</si>
  <si>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</si>
  <si>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</si>
  <si>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</si>
  <si>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</si>
  <si>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</si>
  <si>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</si>
  <si>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</si>
  <si>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</si>
  <si>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</si>
  <si>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</si>
  <si>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</si>
  <si>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</si>
  <si>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</si>
  <si>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</si>
  <si>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</si>
  <si>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</si>
  <si>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</si>
  <si>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</si>
  <si>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</si>
  <si>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</si>
  <si>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</si>
  <si>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</si>
  <si>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</si>
  <si>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</si>
  <si>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</si>
  <si>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</si>
  <si>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</si>
  <si>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</si>
  <si>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</si>
  <si>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</si>
  <si>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</si>
  <si>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Floor</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</si>
  <si>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</si>
  <si>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</si>
  <si>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</si>
  <si>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</si>
  <si>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</si>
  <si>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</si>
  <si>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</si>
  <si>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</si>
  <si>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</si>
  <si>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</si>
  <si>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</si>
  <si>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</si>
  <si>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</si>
  <si>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</si>
  <si>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</si>
  <si>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</si>
  <si>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</si>
  <si>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</si>
  <si>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</si>
  <si>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</si>
  <si>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</si>
  <si>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</si>
  <si>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</si>
  <si>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</si>
  <si>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</si>
  <si>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</si>
  <si>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</si>
  <si>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</si>
  <si>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</si>
  <si>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</si>
  <si>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</si>
  <si>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</si>
  <si>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</si>
  <si>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</si>
  <si>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</si>
  <si>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</si>
  <si>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</si>
  <si>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</si>
  <si>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</si>
  <si>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</si>
  <si>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</si>
  <si>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</si>
  <si>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</si>
  <si>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</si>
  <si>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</si>
  <si>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</si>
  <si>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</si>
  <si>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</si>
  <si>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</si>
  <si>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</si>
  <si>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</si>
  <si>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</si>
  <si>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</si>
  <si>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</si>
  <si>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</si>
  <si>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</si>
  <si>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</si>
  <si>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</si>
  <si>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</si>
  <si>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</si>
  <si>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</si>
  <si>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</si>
  <si>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</si>
  <si>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</si>
  <si>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</si>
  <si>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</si>
  <si>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Tower 2</t>
  </si>
  <si>
    <t>No. of Floors Planned/Proposed</t>
  </si>
  <si>
    <t>Project Address</t>
  </si>
  <si>
    <t>Width of the Road</t>
  </si>
  <si>
    <t>Details of Flats in Building</t>
  </si>
  <si>
    <t>Total Carpet Area</t>
  </si>
  <si>
    <t>No. of Unit</t>
  </si>
  <si>
    <t>Building &amp; Wing</t>
  </si>
  <si>
    <t>Sale / Rehab</t>
  </si>
  <si>
    <t>Flats/ Shops/ Offices</t>
  </si>
  <si>
    <t>Rate of Flat Per Sq. Ft. 
(on Carpet area)</t>
  </si>
  <si>
    <t>Floor Rise Per Sq. Ft.
(on Carpet area)</t>
  </si>
  <si>
    <t>Date &amp; Time of Site Visit</t>
  </si>
  <si>
    <t>Residential + Commercial</t>
  </si>
  <si>
    <t>On Carpet area</t>
  </si>
  <si>
    <t xml:space="preserve">
Date:</t>
  </si>
  <si>
    <t>Location Link</t>
  </si>
  <si>
    <t>Opp Penninsula corporate park, Lower Parel</t>
  </si>
  <si>
    <t>Upper</t>
  </si>
  <si>
    <t>18ft</t>
  </si>
  <si>
    <t xml:space="preserve">Municipal Corporation Of Greater Mumbai (MCGM)
</t>
  </si>
  <si>
    <t>HDFC Bank
IFSC Code - HDFC0000501</t>
  </si>
  <si>
    <t>MTNL Telephone Exchange building</t>
  </si>
  <si>
    <t>Open Plot</t>
  </si>
  <si>
    <t>Subhash Nagar Road</t>
  </si>
  <si>
    <t>About 0.55KM from GS Shetty International School</t>
  </si>
  <si>
    <t>About 1.5K form Fortis Hospital Mulund</t>
  </si>
  <si>
    <t>1 KM from Sadhana Castings</t>
  </si>
  <si>
    <t>1. Approx. 0.6KM from Ramesh Super Market
2. Approx. 2.8KM from Mulund Market.</t>
  </si>
  <si>
    <t>0.4KM from Nahur Railway Station
1.5KM from Bhandup Railway Station</t>
  </si>
  <si>
    <t>Basement Floor For Parking</t>
  </si>
  <si>
    <t>Shop</t>
  </si>
  <si>
    <t>1st Podium Floor Part Commercial &amp; Meter Room, LV Room &amp; Panel Room</t>
  </si>
  <si>
    <t>2BHK</t>
  </si>
  <si>
    <t>1BHK</t>
  </si>
  <si>
    <t>Refuge Area</t>
  </si>
  <si>
    <t>B + G + P1 to P4 + P5 + 6th to 39th Floor</t>
  </si>
  <si>
    <t>Fire NOC Details</t>
  </si>
  <si>
    <t>3rd &amp; 4th Podium Floor For Part Residential &amp; Part Parking</t>
  </si>
  <si>
    <t>5th Podium Floor For Part Residential &amp; Part Parking</t>
  </si>
  <si>
    <t>13.40 M. Wide D.P Road</t>
  </si>
  <si>
    <t>Layout Plan</t>
  </si>
  <si>
    <t>Latitude, Longitude</t>
  </si>
  <si>
    <t>6th, 7th, 9th to 14th, 16th to 21st &amp; 23rd to 28th Floor For Residential</t>
  </si>
  <si>
    <t>8th, 15th &amp; 22nd Floor (Part Refuge Area)</t>
  </si>
  <si>
    <t>29th Floor (Part Refuge Area)</t>
  </si>
  <si>
    <t>36th Floor (Part Refuge Area)</t>
  </si>
  <si>
    <t>Deck Area Added</t>
  </si>
  <si>
    <t>30th to 35th &amp; 37th to 39th Floor</t>
  </si>
  <si>
    <t>Parking</t>
  </si>
  <si>
    <t>Parking &amp; Meter Room</t>
  </si>
  <si>
    <t>2nd Podium Floor For Residential, Parking &amp; Meter Room</t>
  </si>
  <si>
    <t xml:space="preserve">Parking </t>
  </si>
  <si>
    <t>19.152163,72.944139</t>
  </si>
  <si>
    <t>Tower A = 15565.92
Tower B = 15363.75</t>
  </si>
  <si>
    <t>Wing B</t>
  </si>
  <si>
    <t>P-9962 / 2022 / (358 / 11) / S WARD / BHANDUP - W/337/1/NEW
Date: 21/11/2023</t>
  </si>
  <si>
    <t>Ashford Crosstown, CTS No.358/11 to 25, near Skyline Sparkle, LBS Road, S Ward, Bhandup, Bhandup West, Kurla, Mumbai - 400078.</t>
  </si>
  <si>
    <t>Wing B = B + G + P1 to P4 + P5 + 6th to 39th Floor</t>
  </si>
  <si>
    <t>P-9962 / 2022 / (358 / 11) / S WARD / BHANDUP - W/337/
1/NEW
Date: 21/11/2023</t>
  </si>
  <si>
    <t>Ground Floor For Part Commercial &amp; Meter Room &amp; Parking</t>
  </si>
  <si>
    <t>https://maps.app.goo.gl/ffXEVeuGpu9YhCbu7</t>
  </si>
  <si>
    <t>13.40 M. Wide Proposed Road</t>
  </si>
  <si>
    <t>15.25 M. Wide Proposed Road</t>
  </si>
  <si>
    <t>Other Plot</t>
  </si>
  <si>
    <t>WMI Real Estate Developers LLP</t>
  </si>
  <si>
    <t xml:space="preserve">Tower Name </t>
  </si>
  <si>
    <t>21000/- to 22500/-</t>
  </si>
  <si>
    <t>Deck Area</t>
  </si>
  <si>
    <t>Gross Carpet Area</t>
  </si>
  <si>
    <t>Carpet area</t>
  </si>
  <si>
    <t>External Plaster</t>
  </si>
  <si>
    <t>External Plumbing, Elevation and Waterproofing</t>
  </si>
  <si>
    <t>Wooden Work</t>
  </si>
  <si>
    <t>Electrical &amp; Sanitary fittings</t>
  </si>
  <si>
    <t>Ashford Regal Phase II &amp; III</t>
  </si>
  <si>
    <t>Wing B &amp; F</t>
  </si>
  <si>
    <t>RM Ashford Regal Rd, Nahur West, Industrial Area, Bhandup West, Mumbai, Maharashtra 400078</t>
  </si>
  <si>
    <t>Wing B = P51800047384
Wing F = P51800048460</t>
  </si>
  <si>
    <t>Wing B = 27/10/2022
Wing F = 03/01/2023</t>
  </si>
  <si>
    <t>Wing B = 31/12/2027
Wing F = 31/12/2025</t>
  </si>
  <si>
    <t>Wing F</t>
  </si>
  <si>
    <t>B + Gr + 1st to 4th Floor</t>
  </si>
  <si>
    <t>LOI/IOD Details
(Wing F)</t>
  </si>
  <si>
    <t>Basement Floor For Domestic Tank, Pump Room &amp; Fire Water Tank</t>
  </si>
  <si>
    <t>Taken from Axis Sheet</t>
  </si>
  <si>
    <t>Wing B = Flats = 279 &amp; Shop = 8 &amp; Office = 
Wing F = Office = 44 &amp; Shop = 11</t>
  </si>
  <si>
    <t>Railway Track (East)</t>
  </si>
  <si>
    <t>RM Ashford Regal Road</t>
  </si>
  <si>
    <t>Raycon IT Park Road</t>
  </si>
  <si>
    <t>M Ashford Regal Rd, Nahur West, Industrial Area, Bhandup West, Mumbai, Maharashtra 400078</t>
  </si>
  <si>
    <t xml:space="preserve">Wing F = B+ Gr + 1st to 4th Floor </t>
  </si>
  <si>
    <t>Mumbai-RO Thane</t>
  </si>
  <si>
    <t>Ashford Regal Phase III</t>
  </si>
  <si>
    <t>Ashford Regal Phase II</t>
  </si>
  <si>
    <t>Wing B = 27/10/2022
Wing F = Jul 24</t>
  </si>
  <si>
    <t>Wing B = Oct 2022
Wing F = Jul 24</t>
  </si>
  <si>
    <t>LOI/IOD Details
(Wing B)</t>
  </si>
  <si>
    <t>Environmental Clearance Details
Valid upto:</t>
  </si>
  <si>
    <t xml:space="preserve">SIA/MH/INFRA2/417596/2023
Date: 06/06/2023
C.T.S. NO.358/11 to 25 
Total Proposed Built up Area = 180106.83 sq.m
Wing B = Basement + Ground Floor + 1st to 39th Floors 
Wing F = B + Gr + 1st to 4th Floors
</t>
  </si>
  <si>
    <t>P-9962/2022(358/11)/S WARD/
BHANDUP-W-CFO/1/NEW
Date: 31/07/2022
Valid Up to :- Wing B = Basement + Ground Floor + 1st to 39th Floors (Height upto 119.75 mtrs)
Wing F = B + Gr + 1st to 4th Floors
(Height) =16.95 Mtrs</t>
  </si>
  <si>
    <t>Ashford Regal, CTS No.358/11 to 25, near Skyline Sparkle, LBS Road, S Ward, Bhandup, Bhandup West, Kurla, Mumbai - 400078.</t>
  </si>
  <si>
    <t>Ashford Regal, CTS No.358/11 to 25, near Skyline Sparkle, LBS Road, S Ward,
Bhandup, Bhandup West, Kurla, Mumbai - 400078.</t>
  </si>
  <si>
    <t>Approved Layout &amp; Floor Plans, CC, RERA Certificate &amp; EC</t>
  </si>
  <si>
    <t xml:space="preserve">Wing B - Flats = 279
           </t>
  </si>
  <si>
    <t>Office</t>
  </si>
  <si>
    <t>P-9962/2022/(358/11) S Ward/ Bhandup - W/337/1/NEW
Date : 24/03/2025</t>
  </si>
  <si>
    <t>Flat</t>
  </si>
  <si>
    <t>1st to 4th Floor For Commercial</t>
  </si>
  <si>
    <t>Ground Floor For Commercial &amp; Meter Room &amp; Panel Room</t>
  </si>
  <si>
    <t>Total</t>
  </si>
  <si>
    <t>Rate of Office Per Sq. Ft. 
(on Carpet area)</t>
  </si>
  <si>
    <t>Wing B - Shops = 14
Wing F - Shop =11, Office = 44</t>
  </si>
  <si>
    <t>26000/-  to 27000/-</t>
  </si>
  <si>
    <r>
      <t>P-9962/2022/(358/11)/SWard/BHANDUP-W/FCC/3/Amend
Date: : 28/03/2025
Valid Up to: 27/09/2025
C.C. re-endorsement up to ‘Top of Plinth’ for wings, ‘C’, ‘D’, ‘E’</t>
    </r>
    <r>
      <rPr>
        <b/>
        <sz val="16"/>
        <rFont val="Times New Roman"/>
        <family val="1"/>
      </rPr>
      <t xml:space="preserve"> ‘F’</t>
    </r>
    <r>
      <rPr>
        <sz val="16"/>
        <rFont val="Times New Roman"/>
        <family val="1"/>
      </rPr>
      <t xml:space="preserve"> and ‘G’ and to Full C.C. re-endorsement up to top of 39th upper floor + LMR &amp; OHT for wing ‘A’ &amp; </t>
    </r>
    <r>
      <rPr>
        <b/>
        <sz val="16"/>
        <rFont val="Times New Roman"/>
        <family val="1"/>
      </rPr>
      <t xml:space="preserve">‘B’ </t>
    </r>
    <r>
      <rPr>
        <sz val="16"/>
        <rFont val="Times New Roman"/>
        <family val="1"/>
      </rPr>
      <t>and Full C.C. re-endorsement up to top of 21st upper floor + OHT/LMR for EWS Wing as per last approved amended plans dated 24.03.2025. (SWM NOC and Janta Insurance Policy shall be renewed time to time.)</t>
    </r>
  </si>
  <si>
    <t>Suraj Khare</t>
  </si>
  <si>
    <t>05/08/2025.</t>
  </si>
  <si>
    <t>05/08/2025 @01:17 PM</t>
  </si>
  <si>
    <t>Mr. Rakesh Kumar 9892049887</t>
  </si>
  <si>
    <r>
      <t xml:space="preserve">P-9962/2022/(358/11)/S Ward/BHANDUP-W/FCC/2/Amend
Date: 16/12/2024
Valid Up to: 27/09/2025
Full C.C. up to top of 39th upper floor + LMR &amp; OHT for </t>
    </r>
    <r>
      <rPr>
        <b/>
        <sz val="16"/>
        <rFont val="Times New Roman"/>
        <family val="1"/>
      </rPr>
      <t>Wing ‘B</t>
    </r>
    <r>
      <rPr>
        <sz val="16"/>
        <rFont val="Times New Roman"/>
        <family val="1"/>
      </rPr>
      <t xml:space="preserve">’ and C.C. re-endorsement up to ‘Top of Plinth’ for wings, ‘C’, ‘D’, ‘E’ </t>
    </r>
    <r>
      <rPr>
        <b/>
        <sz val="16"/>
        <rFont val="Times New Roman"/>
        <family val="1"/>
      </rPr>
      <t>‘F’</t>
    </r>
    <r>
      <rPr>
        <sz val="16"/>
        <rFont val="Times New Roman"/>
        <family val="1"/>
      </rPr>
      <t xml:space="preserve"> and ‘G’ and Full C.C. re-endorsement up to top of 39th upper floor + LMR &amp; OHT for Wing ‘A’ and full C.C. reendorsement up to top of 21st upper floor + OHT/LMR for EWS Wing as per last approved amended plans dated 10.10.2024.</t>
    </r>
  </si>
  <si>
    <t>P-9962/2022/(358/11)/S Ward/BHANDUP-W/FCC/4/Amend
Date: : 09/05/2025
Valid Up to: 27/09/2025
Further C.C. is granted up to top of 26th upper floor level for wing ‘C’ and Full C.C. is granted up to top of 4th upper floor + LMR &amp; OHT for wing ‘F’ as per last approved amended plans dated 24.03 .2025, subject to timely renewal of B.G., SWM NOC, Workmen’s compensation policy and taking all sorts of precautions during construction along with precautionary measures for air pollution.</t>
  </si>
  <si>
    <t xml:space="preserve">1. Construction Work is in process at the time of Visit. (Internal Visit was not allowed.)
2. We considered  Saleable area as per our calculation.
3. We considered Carpet area as per Approved Plan.
4. We considered Gross carpet area = Net carpet + Deck Area.
5. We have considered proposed No. of Floor for Stage Calculation.
6. We have considered rate by verifying it from market inquire.
7. Car parking is subjected to authentic documentation.
8. We have updated the revised construction table on dated 21/11/2024, which is shared with us by the Godrej officials.
9. We have updated CC from MCGM site on 05/02/2025 &amp; 06/08/2025.
10. We have added Wing F on 30/03/2025
11. We have referred latest approved plan for Wing F &amp;  EC from MCGM site on 30/03/2025
</t>
  </si>
  <si>
    <t>Mr. Nainesh Tambe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</si>
</sst>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20"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u/>
      <sz val="11"/>
      <color theme="10"/>
      <name val="Calibri"/>
      <family val="2"/>
    </font>
    <font>
      <sz val="16"/>
      <color rgb="FFFF0000"/>
      <name val="Times New Roman"/>
      <family val="1"/>
    </font>
    <font>
      <u/>
      <sz val="14"/>
      <color theme="10"/>
      <name val="Calibri"/>
      <family val="2"/>
    </font>
    <font>
      <sz val="14"/>
      <name val="Times New Roman"/>
      <family val="1"/>
    </font>
    <font>
      <sz val="12"/>
      <color rgb="FF000000"/>
      <name val="Calibri"/>
      <family val="2"/>
    </font>
    <font>
      <b/>
      <sz val="16"/>
      <color theme="1"/>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4" fillId="0" borderId="0" applyNumberFormat="0" applyFill="0" applyBorder="0" applyAlignment="0" applyProtection="0"/>
  </cellStyleXfs>
  <cellXfs count="189">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0" fontId="8" fillId="0" borderId="18" xfId="0" applyFont="1" applyBorder="1" applyProtection="1">
      <protection hidden="1"/>
    </xf>
    <xf numFmtId="0" fontId="7" fillId="0" borderId="0" xfId="1" applyFont="1" applyAlignment="1">
      <alignment horizontal="center" vertical="center"/>
    </xf>
    <xf numFmtId="0" fontId="8" fillId="0" borderId="17" xfId="0" applyFont="1" applyBorder="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4" fillId="4" borderId="1" xfId="0" applyFont="1" applyFill="1" applyBorder="1" applyAlignment="1">
      <alignment horizontal="center" vertical="center" wrapText="1"/>
    </xf>
    <xf numFmtId="0" fontId="15" fillId="0" borderId="0" xfId="0" applyFont="1" applyAlignment="1">
      <alignment vertical="top" wrapText="1"/>
    </xf>
    <xf numFmtId="164" fontId="15" fillId="0" borderId="0" xfId="0" applyNumberFormat="1" applyFont="1" applyAlignment="1">
      <alignment vertical="top"/>
    </xf>
    <xf numFmtId="1" fontId="5" fillId="0" borderId="1" xfId="1" applyNumberFormat="1" applyFont="1" applyBorder="1" applyAlignment="1">
      <alignment horizontal="center" vertical="top" wrapText="1"/>
    </xf>
    <xf numFmtId="0" fontId="4" fillId="4" borderId="1" xfId="0" applyFont="1" applyFill="1" applyBorder="1" applyAlignment="1">
      <alignment vertical="top"/>
    </xf>
    <xf numFmtId="1" fontId="2"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18" fillId="0" borderId="0" xfId="0" applyFont="1"/>
    <xf numFmtId="14" fontId="4" fillId="4" borderId="1" xfId="0" applyNumberFormat="1" applyFont="1" applyFill="1" applyBorder="1" applyAlignment="1">
      <alignment horizontal="left" vertical="top" wrapText="1"/>
    </xf>
    <xf numFmtId="1" fontId="6" fillId="4" borderId="11" xfId="1" applyNumberFormat="1" applyFont="1" applyFill="1" applyBorder="1" applyAlignment="1">
      <alignment vertical="center" wrapText="1"/>
    </xf>
    <xf numFmtId="1" fontId="6" fillId="4" borderId="13" xfId="1" applyNumberFormat="1" applyFont="1" applyFill="1" applyBorder="1" applyAlignment="1">
      <alignment vertical="center" wrapText="1"/>
    </xf>
    <xf numFmtId="1" fontId="6" fillId="4" borderId="15" xfId="1" applyNumberFormat="1" applyFont="1" applyFill="1" applyBorder="1" applyAlignment="1">
      <alignment vertical="center" wrapText="1"/>
    </xf>
    <xf numFmtId="1" fontId="3" fillId="0" borderId="1" xfId="0" applyNumberFormat="1" applyFont="1" applyBorder="1" applyAlignment="1">
      <alignment horizontal="center"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15" fillId="4" borderId="1" xfId="0" applyFont="1" applyFill="1" applyBorder="1" applyAlignment="1">
      <alignment horizontal="left" vertical="top" wrapText="1"/>
    </xf>
    <xf numFmtId="0" fontId="15" fillId="0" borderId="1" xfId="0" applyFont="1" applyBorder="1" applyAlignment="1">
      <alignment horizontal="center" vertical="top" wrapText="1"/>
    </xf>
    <xf numFmtId="0" fontId="15" fillId="0" borderId="1" xfId="0" applyFont="1" applyBorder="1" applyAlignment="1">
      <alignment vertical="top" wrapText="1"/>
    </xf>
    <xf numFmtId="0" fontId="15" fillId="3" borderId="1" xfId="0" applyFont="1" applyFill="1" applyBorder="1" applyAlignment="1">
      <alignment horizontal="left" vertical="top" wrapText="1"/>
    </xf>
    <xf numFmtId="1" fontId="5" fillId="4" borderId="14" xfId="1" applyNumberFormat="1" applyFont="1" applyFill="1" applyBorder="1" applyAlignment="1">
      <alignment horizontal="center" vertical="center" wrapText="1"/>
    </xf>
    <xf numFmtId="1" fontId="5" fillId="4" borderId="9" xfId="1" applyNumberFormat="1" applyFont="1" applyFill="1" applyBorder="1" applyAlignment="1">
      <alignment horizontal="center" vertical="center" wrapText="1"/>
    </xf>
    <xf numFmtId="0" fontId="4" fillId="0" borderId="1" xfId="0" applyFont="1" applyBorder="1" applyAlignment="1">
      <alignment horizontal="left" vertical="top" wrapText="1"/>
    </xf>
    <xf numFmtId="14" fontId="3" fillId="0" borderId="0" xfId="0" applyNumberFormat="1" applyFont="1" applyAlignment="1">
      <alignment vertical="top"/>
    </xf>
    <xf numFmtId="17" fontId="15" fillId="4" borderId="2" xfId="0" applyNumberFormat="1" applyFont="1" applyFill="1" applyBorder="1" applyAlignment="1">
      <alignment horizontal="left" vertical="top" wrapText="1"/>
    </xf>
    <xf numFmtId="0" fontId="15" fillId="4" borderId="5"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1" xfId="0" applyFont="1" applyFill="1" applyBorder="1" applyAlignment="1">
      <alignment horizontal="left" vertical="top" wrapText="1"/>
    </xf>
    <xf numFmtId="1" fontId="5" fillId="0" borderId="2" xfId="1" applyNumberFormat="1" applyFont="1" applyBorder="1" applyAlignment="1">
      <alignment horizontal="center" vertical="top" wrapText="1"/>
    </xf>
    <xf numFmtId="1" fontId="5" fillId="0" borderId="5"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15" fillId="0" borderId="1" xfId="0" applyFont="1" applyBorder="1" applyAlignment="1">
      <alignment horizontal="left" vertical="top" wrapText="1"/>
    </xf>
    <xf numFmtId="0" fontId="15" fillId="4" borderId="2" xfId="0" applyFont="1" applyFill="1" applyBorder="1" applyAlignment="1">
      <alignment horizontal="left" vertical="top" wrapText="1"/>
    </xf>
    <xf numFmtId="0" fontId="15" fillId="4" borderId="1" xfId="0"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19" fillId="4" borderId="2" xfId="1" applyNumberFormat="1" applyFont="1" applyFill="1" applyBorder="1" applyAlignment="1">
      <alignment horizontal="center" vertical="center" wrapText="1"/>
    </xf>
    <xf numFmtId="1" fontId="19" fillId="4" borderId="3" xfId="1" applyNumberFormat="1" applyFont="1" applyFill="1" applyBorder="1" applyAlignment="1">
      <alignment horizontal="center" vertical="center" wrapText="1"/>
    </xf>
    <xf numFmtId="1" fontId="19" fillId="4" borderId="5"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0" xfId="1" applyNumberFormat="1" applyFont="1" applyFill="1" applyAlignment="1">
      <alignment horizontal="center" vertical="center" wrapText="1"/>
    </xf>
    <xf numFmtId="1" fontId="6" fillId="4" borderId="9" xfId="1" applyNumberFormat="1" applyFont="1" applyFill="1" applyBorder="1" applyAlignment="1">
      <alignment horizontal="center" vertical="center" wrapText="1"/>
    </xf>
    <xf numFmtId="0" fontId="4" fillId="0" borderId="1" xfId="0" applyFont="1" applyBorder="1" applyAlignment="1">
      <alignment horizontal="left" vertical="top" wrapText="1"/>
    </xf>
    <xf numFmtId="14" fontId="4" fillId="4" borderId="1"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5" xfId="0" applyFont="1" applyBorder="1" applyAlignment="1">
      <alignment horizontal="center" vertical="top" wrapText="1"/>
    </xf>
    <xf numFmtId="17" fontId="4" fillId="4" borderId="2" xfId="0" applyNumberFormat="1"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0" fontId="16" fillId="4" borderId="2" xfId="2" applyFont="1" applyFill="1" applyBorder="1" applyAlignment="1">
      <alignment horizontal="left" vertical="top" wrapText="1"/>
    </xf>
    <xf numFmtId="0" fontId="17" fillId="4" borderId="3" xfId="0" applyFont="1" applyFill="1" applyBorder="1" applyAlignment="1">
      <alignment horizontal="lef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0" borderId="1" xfId="0" applyFont="1" applyBorder="1" applyAlignment="1">
      <alignment horizontal="center" vertical="top" wrapText="1"/>
    </xf>
    <xf numFmtId="1" fontId="5" fillId="2" borderId="2" xfId="1" applyNumberFormat="1" applyFont="1" applyFill="1" applyBorder="1" applyAlignment="1">
      <alignment horizontal="center" vertical="center" wrapText="1"/>
    </xf>
    <xf numFmtId="1" fontId="5" fillId="2" borderId="3" xfId="1" applyNumberFormat="1" applyFont="1" applyFill="1" applyBorder="1" applyAlignment="1">
      <alignment horizontal="center" vertical="center" wrapText="1"/>
    </xf>
    <xf numFmtId="1" fontId="5" fillId="2" borderId="15" xfId="1" applyNumberFormat="1" applyFont="1" applyFill="1" applyBorder="1" applyAlignment="1">
      <alignment horizontal="center" vertical="center" wrapText="1"/>
    </xf>
    <xf numFmtId="0" fontId="4" fillId="4" borderId="1" xfId="0" applyFont="1" applyFill="1" applyBorder="1" applyAlignment="1">
      <alignment horizontal="left" vertical="top"/>
    </xf>
    <xf numFmtId="0" fontId="15" fillId="3" borderId="1" xfId="0" applyFont="1" applyFill="1" applyBorder="1" applyAlignment="1">
      <alignment horizontal="left" vertical="top" wrapText="1"/>
    </xf>
    <xf numFmtId="0" fontId="4" fillId="0" borderId="1" xfId="0" applyFont="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1" xfId="0"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center" wrapText="1"/>
    </xf>
    <xf numFmtId="22" fontId="4" fillId="4" borderId="7" xfId="0" applyNumberFormat="1" applyFont="1" applyFill="1" applyBorder="1" applyAlignment="1">
      <alignment horizontal="left" vertical="top" wrapText="1"/>
    </xf>
    <xf numFmtId="22" fontId="4" fillId="4" borderId="14" xfId="0" applyNumberFormat="1" applyFont="1" applyFill="1" applyBorder="1" applyAlignment="1">
      <alignment horizontal="left" vertical="top" wrapText="1"/>
    </xf>
    <xf numFmtId="14" fontId="4" fillId="4" borderId="7" xfId="0" applyNumberFormat="1" applyFont="1" applyFill="1" applyBorder="1" applyAlignment="1">
      <alignment horizontal="left" vertical="top" wrapText="1"/>
    </xf>
    <xf numFmtId="2" fontId="4" fillId="4" borderId="7" xfId="0" applyNumberFormat="1" applyFont="1" applyFill="1" applyBorder="1" applyAlignment="1">
      <alignment horizontal="left" vertical="top" wrapText="1"/>
    </xf>
    <xf numFmtId="2" fontId="4" fillId="4" borderId="4" xfId="0" applyNumberFormat="1" applyFont="1" applyFill="1" applyBorder="1" applyAlignment="1">
      <alignment horizontal="left" vertical="top" wrapText="1"/>
    </xf>
    <xf numFmtId="2" fontId="4" fillId="4" borderId="11" xfId="0" applyNumberFormat="1" applyFont="1" applyFill="1" applyBorder="1" applyAlignment="1">
      <alignment horizontal="left" vertical="top" wrapText="1"/>
    </xf>
    <xf numFmtId="0" fontId="4" fillId="4" borderId="1" xfId="0" applyFont="1" applyFill="1" applyBorder="1" applyAlignment="1">
      <alignment vertical="top" wrapText="1"/>
    </xf>
    <xf numFmtId="0" fontId="2" fillId="2" borderId="8" xfId="0" applyFont="1" applyFill="1" applyBorder="1" applyAlignment="1">
      <alignment horizontal="center" vertical="top"/>
    </xf>
    <xf numFmtId="22" fontId="4" fillId="4" borderId="0" xfId="0" applyNumberFormat="1" applyFont="1" applyFill="1" applyAlignment="1">
      <alignment horizontal="left" vertical="top" wrapText="1"/>
    </xf>
    <xf numFmtId="1" fontId="6" fillId="4" borderId="3" xfId="1" applyNumberFormat="1" applyFont="1" applyFill="1" applyBorder="1" applyAlignment="1">
      <alignment horizontal="center" vertical="center"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10</xdr:col>
      <xdr:colOff>827632</xdr:colOff>
      <xdr:row>62</xdr:row>
      <xdr:rowOff>192901</xdr:rowOff>
    </xdr:from>
    <xdr:to>
      <xdr:col>18</xdr:col>
      <xdr:colOff>103765</xdr:colOff>
      <xdr:row>71</xdr:row>
      <xdr:rowOff>51709</xdr:rowOff>
    </xdr:to>
    <xdr:pic>
      <xdr:nvPicPr>
        <xdr:cNvPr id="6" name="Picture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482275" y="31176365"/>
          <a:ext cx="5652440" cy="2920414"/>
        </a:xfrm>
        <a:prstGeom prst="rect">
          <a:avLst/>
        </a:prstGeom>
        <a:ln>
          <a:solidFill>
            <a:sysClr val="windowText" lastClr="000000"/>
          </a:solidFill>
        </a:ln>
      </xdr:spPr>
    </xdr:pic>
    <xdr:clientData/>
  </xdr:twoCellAnchor>
  <xdr:twoCellAnchor>
    <xdr:from>
      <xdr:col>9</xdr:col>
      <xdr:colOff>1350733</xdr:colOff>
      <xdr:row>338</xdr:row>
      <xdr:rowOff>146907</xdr:rowOff>
    </xdr:from>
    <xdr:to>
      <xdr:col>15</xdr:col>
      <xdr:colOff>161846</xdr:colOff>
      <xdr:row>352</xdr:row>
      <xdr:rowOff>182978</xdr:rowOff>
    </xdr:to>
    <xdr:grpSp>
      <xdr:nvGrpSpPr>
        <xdr:cNvPr id="17" name="Group 16">
          <a:extLst>
            <a:ext uri="{FF2B5EF4-FFF2-40B4-BE49-F238E27FC236}">
              <a16:creationId xmlns="" xmlns:a16="http://schemas.microsoft.com/office/drawing/2014/main" id="{00000000-0008-0000-0000-000011000000}"/>
            </a:ext>
          </a:extLst>
        </xdr:cNvPr>
        <xdr:cNvGrpSpPr/>
      </xdr:nvGrpSpPr>
      <xdr:grpSpPr>
        <a:xfrm>
          <a:off x="11746590" y="107439228"/>
          <a:ext cx="5601077" cy="3655571"/>
          <a:chOff x="11746590" y="94961478"/>
          <a:chExt cx="5152042" cy="3655571"/>
        </a:xfrm>
      </xdr:grpSpPr>
      <xdr:pic>
        <xdr:nvPicPr>
          <xdr:cNvPr id="34" name="Picture 33">
            <a:extLst>
              <a:ext uri="{FF2B5EF4-FFF2-40B4-BE49-F238E27FC236}">
                <a16:creationId xmlns="" xmlns:a16="http://schemas.microsoft.com/office/drawing/2014/main" id="{00000000-0008-0000-0000-00002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1746590" y="94961478"/>
            <a:ext cx="5152042" cy="3655571"/>
          </a:xfrm>
          <a:prstGeom prst="rect">
            <a:avLst/>
          </a:prstGeom>
          <a:noFill/>
          <a:ln>
            <a:solidFill>
              <a:schemeClr val="tx1"/>
            </a:solidFill>
          </a:ln>
        </xdr:spPr>
      </xdr:pic>
      <xdr:grpSp>
        <xdr:nvGrpSpPr>
          <xdr:cNvPr id="16" name="Group 15">
            <a:extLst>
              <a:ext uri="{FF2B5EF4-FFF2-40B4-BE49-F238E27FC236}">
                <a16:creationId xmlns="" xmlns:a16="http://schemas.microsoft.com/office/drawing/2014/main" id="{00000000-0008-0000-0000-000010000000}"/>
              </a:ext>
            </a:extLst>
          </xdr:cNvPr>
          <xdr:cNvGrpSpPr/>
        </xdr:nvGrpSpPr>
        <xdr:grpSpPr>
          <a:xfrm>
            <a:off x="13541501" y="95765986"/>
            <a:ext cx="2213029" cy="2703523"/>
            <a:chOff x="13609537" y="95575486"/>
            <a:chExt cx="2213029" cy="2703523"/>
          </a:xfrm>
        </xdr:grpSpPr>
        <xdr:cxnSp macro="">
          <xdr:nvCxnSpPr>
            <xdr:cNvPr id="35" name="Straight Connector 34">
              <a:extLst>
                <a:ext uri="{FF2B5EF4-FFF2-40B4-BE49-F238E27FC236}">
                  <a16:creationId xmlns="" xmlns:a16="http://schemas.microsoft.com/office/drawing/2014/main" id="{00000000-0008-0000-0000-000023000000}"/>
                </a:ext>
              </a:extLst>
            </xdr:cNvPr>
            <xdr:cNvCxnSpPr/>
          </xdr:nvCxnSpPr>
          <xdr:spPr>
            <a:xfrm>
              <a:off x="13609537" y="95710642"/>
              <a:ext cx="37508" cy="2548240"/>
            </a:xfrm>
            <a:prstGeom prst="line">
              <a:avLst/>
            </a:prstGeom>
            <a:ln w="762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 xmlns:a16="http://schemas.microsoft.com/office/drawing/2014/main" id="{00000000-0008-0000-0000-000024000000}"/>
                </a:ext>
              </a:extLst>
            </xdr:cNvPr>
            <xdr:cNvCxnSpPr/>
          </xdr:nvCxnSpPr>
          <xdr:spPr>
            <a:xfrm flipV="1">
              <a:off x="13609537" y="95615084"/>
              <a:ext cx="2213027" cy="127412"/>
            </a:xfrm>
            <a:prstGeom prst="line">
              <a:avLst/>
            </a:prstGeom>
            <a:ln w="762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 xmlns:a16="http://schemas.microsoft.com/office/drawing/2014/main" id="{00000000-0008-0000-0000-000025000000}"/>
                </a:ext>
              </a:extLst>
            </xdr:cNvPr>
            <xdr:cNvCxnSpPr/>
          </xdr:nvCxnSpPr>
          <xdr:spPr>
            <a:xfrm flipH="1">
              <a:off x="13647047" y="95575486"/>
              <a:ext cx="2175519" cy="2703523"/>
            </a:xfrm>
            <a:prstGeom prst="line">
              <a:avLst/>
            </a:prstGeom>
            <a:ln w="76200">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9</xdr:col>
      <xdr:colOff>1118258</xdr:colOff>
      <xdr:row>103</xdr:row>
      <xdr:rowOff>27215</xdr:rowOff>
    </xdr:from>
    <xdr:to>
      <xdr:col>14</xdr:col>
      <xdr:colOff>345372</xdr:colOff>
      <xdr:row>110</xdr:row>
      <xdr:rowOff>185271</xdr:rowOff>
    </xdr:to>
    <xdr:pic>
      <xdr:nvPicPr>
        <xdr:cNvPr id="11" name="Picture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11543803" y="43357306"/>
          <a:ext cx="5395851" cy="2236237"/>
        </a:xfrm>
        <a:prstGeom prst="rect">
          <a:avLst/>
        </a:prstGeom>
      </xdr:spPr>
    </xdr:pic>
    <xdr:clientData/>
  </xdr:twoCellAnchor>
  <xdr:twoCellAnchor>
    <xdr:from>
      <xdr:col>0</xdr:col>
      <xdr:colOff>643246</xdr:colOff>
      <xdr:row>291</xdr:row>
      <xdr:rowOff>232558</xdr:rowOff>
    </xdr:from>
    <xdr:to>
      <xdr:col>8</xdr:col>
      <xdr:colOff>571500</xdr:colOff>
      <xdr:row>329</xdr:row>
      <xdr:rowOff>95251</xdr:rowOff>
    </xdr:to>
    <xdr:grpSp>
      <xdr:nvGrpSpPr>
        <xdr:cNvPr id="15" name="Group 14">
          <a:extLst>
            <a:ext uri="{FF2B5EF4-FFF2-40B4-BE49-F238E27FC236}">
              <a16:creationId xmlns="" xmlns:a16="http://schemas.microsoft.com/office/drawing/2014/main" id="{00000000-0008-0000-0000-00000F000000}"/>
            </a:ext>
          </a:extLst>
        </xdr:cNvPr>
        <xdr:cNvGrpSpPr/>
      </xdr:nvGrpSpPr>
      <xdr:grpSpPr>
        <a:xfrm>
          <a:off x="643246" y="93999379"/>
          <a:ext cx="8691254" cy="11061372"/>
          <a:chOff x="969818" y="77983771"/>
          <a:chExt cx="8865882" cy="10752992"/>
        </a:xfrm>
      </xdr:grpSpPr>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969818" y="77983771"/>
            <a:ext cx="8865882" cy="10752992"/>
          </a:xfrm>
          <a:prstGeom prst="rect">
            <a:avLst/>
          </a:prstGeom>
          <a:ln>
            <a:solidFill>
              <a:sysClr val="windowText" lastClr="000000"/>
            </a:solidFill>
          </a:ln>
        </xdr:spPr>
      </xdr:pic>
      <xdr:sp macro="" textlink="">
        <xdr:nvSpPr>
          <xdr:cNvPr id="4" name="Rectangle 3">
            <a:extLst>
              <a:ext uri="{FF2B5EF4-FFF2-40B4-BE49-F238E27FC236}">
                <a16:creationId xmlns="" xmlns:a16="http://schemas.microsoft.com/office/drawing/2014/main" id="{00000000-0008-0000-0000-000004000000}"/>
              </a:ext>
            </a:extLst>
          </xdr:cNvPr>
          <xdr:cNvSpPr/>
        </xdr:nvSpPr>
        <xdr:spPr>
          <a:xfrm>
            <a:off x="1939636" y="82608964"/>
            <a:ext cx="1211036" cy="1476994"/>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solidFill>
                <a:srgbClr val="FF0000"/>
              </a:solidFill>
            </a:endParaRPr>
          </a:p>
        </xdr:txBody>
      </xdr:sp>
      <xdr:sp macro="" textlink="">
        <xdr:nvSpPr>
          <xdr:cNvPr id="7" name="Rectangle 6">
            <a:extLst>
              <a:ext uri="{FF2B5EF4-FFF2-40B4-BE49-F238E27FC236}">
                <a16:creationId xmlns="" xmlns:a16="http://schemas.microsoft.com/office/drawing/2014/main" id="{00000000-0008-0000-0000-000007000000}"/>
              </a:ext>
            </a:extLst>
          </xdr:cNvPr>
          <xdr:cNvSpPr/>
        </xdr:nvSpPr>
        <xdr:spPr>
          <a:xfrm>
            <a:off x="1860176" y="81057749"/>
            <a:ext cx="1345507" cy="146957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4" name="Parallelogram 13">
            <a:extLst>
              <a:ext uri="{FF2B5EF4-FFF2-40B4-BE49-F238E27FC236}">
                <a16:creationId xmlns="" xmlns:a16="http://schemas.microsoft.com/office/drawing/2014/main" id="{00000000-0008-0000-0000-00000E000000}"/>
              </a:ext>
            </a:extLst>
          </xdr:cNvPr>
          <xdr:cNvSpPr/>
        </xdr:nvSpPr>
        <xdr:spPr>
          <a:xfrm>
            <a:off x="1918606" y="79016679"/>
            <a:ext cx="966107" cy="1973035"/>
          </a:xfrm>
          <a:prstGeom prst="parallelogram">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IN" sz="1100">
              <a:solidFill>
                <a:schemeClr val="lt1"/>
              </a:solidFill>
              <a:latin typeface="+mn-lt"/>
              <a:ea typeface="+mn-ea"/>
              <a:cs typeface="+mn-cs"/>
            </a:endParaRPr>
          </a:p>
        </xdr:txBody>
      </xdr:sp>
    </xdr:grpSp>
    <xdr:clientData/>
  </xdr:twoCellAnchor>
  <xdr:oneCellAnchor>
    <xdr:from>
      <xdr:col>0</xdr:col>
      <xdr:colOff>537401</xdr:colOff>
      <xdr:row>305</xdr:row>
      <xdr:rowOff>204428</xdr:rowOff>
    </xdr:from>
    <xdr:ext cx="1018484" cy="387222"/>
    <xdr:sp macro="" textlink="">
      <xdr:nvSpPr>
        <xdr:cNvPr id="29" name="TextBox 28">
          <a:extLst>
            <a:ext uri="{FF2B5EF4-FFF2-40B4-BE49-F238E27FC236}">
              <a16:creationId xmlns="" xmlns:a16="http://schemas.microsoft.com/office/drawing/2014/main" id="{00000000-0008-0000-0000-00001D000000}"/>
            </a:ext>
          </a:extLst>
        </xdr:cNvPr>
        <xdr:cNvSpPr txBox="1"/>
      </xdr:nvSpPr>
      <xdr:spPr>
        <a:xfrm>
          <a:off x="537401" y="81738428"/>
          <a:ext cx="1018484" cy="387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000" b="1">
              <a:solidFill>
                <a:srgbClr val="FF0000"/>
              </a:solidFill>
              <a:latin typeface="Times New Roman" panose="02020603050405020304" pitchFamily="18" charset="0"/>
              <a:cs typeface="Times New Roman" panose="02020603050405020304" pitchFamily="18" charset="0"/>
            </a:rPr>
            <a:t>Wing</a:t>
          </a:r>
          <a:r>
            <a:rPr lang="en-IN" sz="2000" b="1" baseline="0">
              <a:solidFill>
                <a:srgbClr val="FF0000"/>
              </a:solidFill>
              <a:latin typeface="Times New Roman" panose="02020603050405020304" pitchFamily="18" charset="0"/>
              <a:cs typeface="Times New Roman" panose="02020603050405020304" pitchFamily="18" charset="0"/>
            </a:rPr>
            <a:t> B</a:t>
          </a:r>
          <a:endParaRPr lang="en-IN" sz="2000" b="1">
            <a:solidFill>
              <a:srgbClr val="FF0000"/>
            </a:solidFill>
            <a:latin typeface="Times New Roman" panose="02020603050405020304" pitchFamily="18" charset="0"/>
            <a:cs typeface="Times New Roman" panose="02020603050405020304" pitchFamily="18" charset="0"/>
          </a:endParaRPr>
        </a:p>
      </xdr:txBody>
    </xdr:sp>
    <xdr:clientData/>
  </xdr:oneCellAnchor>
  <xdr:oneCellAnchor>
    <xdr:from>
      <xdr:col>0</xdr:col>
      <xdr:colOff>676194</xdr:colOff>
      <xdr:row>298</xdr:row>
      <xdr:rowOff>247969</xdr:rowOff>
    </xdr:from>
    <xdr:ext cx="1004057" cy="387222"/>
    <xdr:sp macro="" textlink="">
      <xdr:nvSpPr>
        <xdr:cNvPr id="40" name="TextBox 39">
          <a:extLst>
            <a:ext uri="{FF2B5EF4-FFF2-40B4-BE49-F238E27FC236}">
              <a16:creationId xmlns="" xmlns:a16="http://schemas.microsoft.com/office/drawing/2014/main" id="{00000000-0008-0000-0000-000028000000}"/>
            </a:ext>
          </a:extLst>
        </xdr:cNvPr>
        <xdr:cNvSpPr txBox="1"/>
      </xdr:nvSpPr>
      <xdr:spPr>
        <a:xfrm>
          <a:off x="676194" y="79972219"/>
          <a:ext cx="1004057" cy="387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000" b="1">
              <a:solidFill>
                <a:srgbClr val="FF0000"/>
              </a:solidFill>
              <a:latin typeface="Times New Roman" panose="02020603050405020304" pitchFamily="18" charset="0"/>
              <a:cs typeface="Times New Roman" panose="02020603050405020304" pitchFamily="18" charset="0"/>
            </a:rPr>
            <a:t>Wing</a:t>
          </a:r>
          <a:r>
            <a:rPr lang="en-IN" sz="2000" b="1" baseline="0">
              <a:solidFill>
                <a:srgbClr val="FF0000"/>
              </a:solidFill>
              <a:latin typeface="Times New Roman" panose="02020603050405020304" pitchFamily="18" charset="0"/>
              <a:cs typeface="Times New Roman" panose="02020603050405020304" pitchFamily="18" charset="0"/>
            </a:rPr>
            <a:t> F</a:t>
          </a:r>
          <a:endParaRPr lang="en-IN" sz="2000" b="1">
            <a:solidFill>
              <a:srgbClr val="FF0000"/>
            </a:solidFill>
            <a:latin typeface="Times New Roman" panose="02020603050405020304" pitchFamily="18" charset="0"/>
            <a:cs typeface="Times New Roman" panose="02020603050405020304" pitchFamily="18" charset="0"/>
          </a:endParaRPr>
        </a:p>
      </xdr:txBody>
    </xdr:sp>
    <xdr:clientData/>
  </xdr:oneCellAnchor>
  <xdr:oneCellAnchor>
    <xdr:from>
      <xdr:col>0</xdr:col>
      <xdr:colOff>548287</xdr:colOff>
      <xdr:row>310</xdr:row>
      <xdr:rowOff>256135</xdr:rowOff>
    </xdr:from>
    <xdr:ext cx="1032655" cy="387222"/>
    <xdr:sp macro="" textlink="">
      <xdr:nvSpPr>
        <xdr:cNvPr id="8" name="TextBox 7">
          <a:extLst>
            <a:ext uri="{FF2B5EF4-FFF2-40B4-BE49-F238E27FC236}">
              <a16:creationId xmlns="" xmlns:a16="http://schemas.microsoft.com/office/drawing/2014/main" id="{00000000-0008-0000-0000-000008000000}"/>
            </a:ext>
          </a:extLst>
        </xdr:cNvPr>
        <xdr:cNvSpPr txBox="1"/>
      </xdr:nvSpPr>
      <xdr:spPr>
        <a:xfrm>
          <a:off x="548287" y="83082814"/>
          <a:ext cx="1032655" cy="387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000" b="1">
              <a:solidFill>
                <a:srgbClr val="FF0000"/>
              </a:solidFill>
              <a:latin typeface="Times New Roman" panose="02020603050405020304" pitchFamily="18" charset="0"/>
              <a:cs typeface="Times New Roman" panose="02020603050405020304" pitchFamily="18" charset="0"/>
            </a:rPr>
            <a:t>Wing</a:t>
          </a:r>
          <a:r>
            <a:rPr lang="en-IN" sz="2000" b="1" baseline="0">
              <a:solidFill>
                <a:srgbClr val="FF0000"/>
              </a:solidFill>
              <a:latin typeface="Times New Roman" panose="02020603050405020304" pitchFamily="18" charset="0"/>
              <a:cs typeface="Times New Roman" panose="02020603050405020304" pitchFamily="18" charset="0"/>
            </a:rPr>
            <a:t> A</a:t>
          </a:r>
          <a:endParaRPr lang="en-IN" sz="2000" b="1">
            <a:solidFill>
              <a:srgbClr val="FF0000"/>
            </a:solidFill>
            <a:latin typeface="Times New Roman" panose="02020603050405020304" pitchFamily="18" charset="0"/>
            <a:cs typeface="Times New Roman" panose="02020603050405020304" pitchFamily="18" charset="0"/>
          </a:endParaRPr>
        </a:p>
      </xdr:txBody>
    </xdr:sp>
    <xdr:clientData/>
  </xdr:oneCellAnchor>
  <xdr:twoCellAnchor>
    <xdr:from>
      <xdr:col>2</xdr:col>
      <xdr:colOff>170330</xdr:colOff>
      <xdr:row>332</xdr:row>
      <xdr:rowOff>215153</xdr:rowOff>
    </xdr:from>
    <xdr:to>
      <xdr:col>7</xdr:col>
      <xdr:colOff>555812</xdr:colOff>
      <xdr:row>358</xdr:row>
      <xdr:rowOff>277907</xdr:rowOff>
    </xdr:to>
    <xdr:grpSp>
      <xdr:nvGrpSpPr>
        <xdr:cNvPr id="39" name="Group 38">
          <a:extLst>
            <a:ext uri="{FF2B5EF4-FFF2-40B4-BE49-F238E27FC236}">
              <a16:creationId xmlns="" xmlns:a16="http://schemas.microsoft.com/office/drawing/2014/main" id="{E2614175-7128-48C1-27F3-8A4871ECB46A}"/>
            </a:ext>
          </a:extLst>
        </xdr:cNvPr>
        <xdr:cNvGrpSpPr/>
      </xdr:nvGrpSpPr>
      <xdr:grpSpPr>
        <a:xfrm>
          <a:off x="2333866" y="105956260"/>
          <a:ext cx="5352089" cy="6784683"/>
          <a:chOff x="1714500" y="105214270"/>
          <a:chExt cx="6727767" cy="9946180"/>
        </a:xfrm>
      </xdr:grpSpPr>
      <xdr:pic>
        <xdr:nvPicPr>
          <xdr:cNvPr id="32" name="Picture 31">
            <a:extLst>
              <a:ext uri="{FF2B5EF4-FFF2-40B4-BE49-F238E27FC236}">
                <a16:creationId xmlns=""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714500" y="105214270"/>
            <a:ext cx="6727767" cy="4371763"/>
          </a:xfrm>
          <a:prstGeom prst="rect">
            <a:avLst/>
          </a:prstGeom>
          <a:ln>
            <a:solidFill>
              <a:schemeClr val="tx1"/>
            </a:solidFill>
          </a:ln>
        </xdr:spPr>
      </xdr:pic>
      <xdr:grpSp>
        <xdr:nvGrpSpPr>
          <xdr:cNvPr id="13" name="Group 12">
            <a:extLst>
              <a:ext uri="{FF2B5EF4-FFF2-40B4-BE49-F238E27FC236}">
                <a16:creationId xmlns="" xmlns:a16="http://schemas.microsoft.com/office/drawing/2014/main" id="{00000000-0008-0000-0000-00000D000000}"/>
              </a:ext>
            </a:extLst>
          </xdr:cNvPr>
          <xdr:cNvGrpSpPr/>
        </xdr:nvGrpSpPr>
        <xdr:grpSpPr>
          <a:xfrm>
            <a:off x="2781139" y="109954360"/>
            <a:ext cx="4753359" cy="5206090"/>
            <a:chOff x="2830286" y="101903894"/>
            <a:chExt cx="4619048" cy="3866667"/>
          </a:xfrm>
        </xdr:grpSpPr>
        <xdr:pic>
          <xdr:nvPicPr>
            <xdr:cNvPr id="18" name="Picture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6"/>
            <a:stretch>
              <a:fillRect/>
            </a:stretch>
          </xdr:blipFill>
          <xdr:spPr>
            <a:xfrm>
              <a:off x="2830286" y="101903894"/>
              <a:ext cx="4619048" cy="3866667"/>
            </a:xfrm>
            <a:prstGeom prst="rect">
              <a:avLst/>
            </a:prstGeom>
            <a:ln>
              <a:solidFill>
                <a:sysClr val="windowText" lastClr="000000"/>
              </a:solidFill>
            </a:ln>
          </xdr:spPr>
        </xdr:pic>
        <xdr:sp macro="" textlink="">
          <xdr:nvSpPr>
            <xdr:cNvPr id="1024" name="Right Triangle 1023">
              <a:extLst>
                <a:ext uri="{FF2B5EF4-FFF2-40B4-BE49-F238E27FC236}">
                  <a16:creationId xmlns="" xmlns:a16="http://schemas.microsoft.com/office/drawing/2014/main" id="{00000000-0008-0000-0000-000000040000}"/>
                </a:ext>
              </a:extLst>
            </xdr:cNvPr>
            <xdr:cNvSpPr/>
          </xdr:nvSpPr>
          <xdr:spPr>
            <a:xfrm rot="5400000">
              <a:off x="3667126" y="102182840"/>
              <a:ext cx="2149926" cy="2571751"/>
            </a:xfrm>
            <a:prstGeom prst="rtTriangle">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025" name="Rectangle 1024">
              <a:extLst>
                <a:ext uri="{FF2B5EF4-FFF2-40B4-BE49-F238E27FC236}">
                  <a16:creationId xmlns="" xmlns:a16="http://schemas.microsoft.com/office/drawing/2014/main" id="{00000000-0008-0000-0000-000001040000}"/>
                </a:ext>
              </a:extLst>
            </xdr:cNvPr>
            <xdr:cNvSpPr/>
          </xdr:nvSpPr>
          <xdr:spPr>
            <a:xfrm>
              <a:off x="3510643" y="102420964"/>
              <a:ext cx="653143" cy="1292679"/>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xnSp macro="">
          <xdr:nvCxnSpPr>
            <xdr:cNvPr id="1027" name="Straight Connector 1026">
              <a:extLst>
                <a:ext uri="{FF2B5EF4-FFF2-40B4-BE49-F238E27FC236}">
                  <a16:creationId xmlns="" xmlns:a16="http://schemas.microsoft.com/office/drawing/2014/main" id="{00000000-0008-0000-0000-000003040000}"/>
                </a:ext>
              </a:extLst>
            </xdr:cNvPr>
            <xdr:cNvCxnSpPr/>
          </xdr:nvCxnSpPr>
          <xdr:spPr>
            <a:xfrm flipV="1">
              <a:off x="4095750" y="101917500"/>
              <a:ext cx="2694214" cy="3810002"/>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9" name="Straight Connector 68">
              <a:extLst>
                <a:ext uri="{FF2B5EF4-FFF2-40B4-BE49-F238E27FC236}">
                  <a16:creationId xmlns="" xmlns:a16="http://schemas.microsoft.com/office/drawing/2014/main" id="{00000000-0008-0000-0000-000045000000}"/>
                </a:ext>
              </a:extLst>
            </xdr:cNvPr>
            <xdr:cNvCxnSpPr/>
          </xdr:nvCxnSpPr>
          <xdr:spPr>
            <a:xfrm flipV="1">
              <a:off x="4694464" y="101971930"/>
              <a:ext cx="2680607" cy="3782785"/>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031" name="TextBox 1030">
              <a:extLst>
                <a:ext uri="{FF2B5EF4-FFF2-40B4-BE49-F238E27FC236}">
                  <a16:creationId xmlns="" xmlns:a16="http://schemas.microsoft.com/office/drawing/2014/main" id="{00000000-0008-0000-0000-000007040000}"/>
                </a:ext>
              </a:extLst>
            </xdr:cNvPr>
            <xdr:cNvSpPr txBox="1"/>
          </xdr:nvSpPr>
          <xdr:spPr>
            <a:xfrm rot="18130477">
              <a:off x="5018015" y="103413708"/>
              <a:ext cx="1817814" cy="449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FF0000"/>
                  </a:solidFill>
                  <a:latin typeface="Times New Roman" panose="02020603050405020304" pitchFamily="18" charset="0"/>
                  <a:cs typeface="Times New Roman" panose="02020603050405020304" pitchFamily="18" charset="0"/>
                </a:rPr>
                <a:t>Railway Track </a:t>
              </a:r>
            </a:p>
          </xdr:txBody>
        </xdr:sp>
      </xdr:grpSp>
    </xdr:grpSp>
    <xdr:clientData/>
  </xdr:twoCellAnchor>
  <xdr:twoCellAnchor editAs="oneCell">
    <xdr:from>
      <xdr:col>9</xdr:col>
      <xdr:colOff>557893</xdr:colOff>
      <xdr:row>50</xdr:row>
      <xdr:rowOff>149678</xdr:rowOff>
    </xdr:from>
    <xdr:to>
      <xdr:col>16</xdr:col>
      <xdr:colOff>99824</xdr:colOff>
      <xdr:row>51</xdr:row>
      <xdr:rowOff>1257049</xdr:rowOff>
    </xdr:to>
    <xdr:pic>
      <xdr:nvPicPr>
        <xdr:cNvPr id="1034" name="Picture 1033">
          <a:extLst>
            <a:ext uri="{FF2B5EF4-FFF2-40B4-BE49-F238E27FC236}">
              <a16:creationId xmlns="" xmlns:a16="http://schemas.microsoft.com/office/drawing/2014/main" id="{00000000-0008-0000-0000-00000A040000}"/>
            </a:ext>
          </a:extLst>
        </xdr:cNvPr>
        <xdr:cNvPicPr>
          <a:picLocks noChangeAspect="1"/>
        </xdr:cNvPicPr>
      </xdr:nvPicPr>
      <xdr:blipFill>
        <a:blip xmlns:r="http://schemas.openxmlformats.org/officeDocument/2006/relationships" r:embed="rId7"/>
        <a:stretch>
          <a:fillRect/>
        </a:stretch>
      </xdr:blipFill>
      <xdr:spPr>
        <a:xfrm>
          <a:off x="10953750" y="23853321"/>
          <a:ext cx="6952381" cy="2019048"/>
        </a:xfrm>
        <a:prstGeom prst="rect">
          <a:avLst/>
        </a:prstGeom>
      </xdr:spPr>
    </xdr:pic>
    <xdr:clientData/>
  </xdr:twoCellAnchor>
  <xdr:oneCellAnchor>
    <xdr:from>
      <xdr:col>11</xdr:col>
      <xdr:colOff>405811</xdr:colOff>
      <xdr:row>75</xdr:row>
      <xdr:rowOff>16009</xdr:rowOff>
    </xdr:from>
    <xdr:ext cx="5652440" cy="2920414"/>
    <xdr:pic>
      <xdr:nvPicPr>
        <xdr:cNvPr id="41" name="Picture 40">
          <a:extLst>
            <a:ext uri="{FF2B5EF4-FFF2-40B4-BE49-F238E27FC236}">
              <a16:creationId xmlns="" xmlns:a16="http://schemas.microsoft.com/office/drawing/2014/main" id="{00000000-0008-0000-0000-000029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149025" y="35204080"/>
          <a:ext cx="5652440" cy="2920414"/>
        </a:xfrm>
        <a:prstGeom prst="rect">
          <a:avLst/>
        </a:prstGeom>
        <a:ln>
          <a:solidFill>
            <a:sysClr val="windowText" lastClr="000000"/>
          </a:solidFill>
        </a:ln>
      </xdr:spPr>
    </xdr:pic>
    <xdr:clientData/>
  </xdr:oneCellAnchor>
  <xdr:twoCellAnchor editAs="oneCell">
    <xdr:from>
      <xdr:col>10</xdr:col>
      <xdr:colOff>935183</xdr:colOff>
      <xdr:row>45</xdr:row>
      <xdr:rowOff>363680</xdr:rowOff>
    </xdr:from>
    <xdr:to>
      <xdr:col>24</xdr:col>
      <xdr:colOff>44369</xdr:colOff>
      <xdr:row>49</xdr:row>
      <xdr:rowOff>721548</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8"/>
        <a:stretch>
          <a:fillRect/>
        </a:stretch>
      </xdr:blipFill>
      <xdr:spPr>
        <a:xfrm>
          <a:off x="13612092" y="21024271"/>
          <a:ext cx="7272977" cy="1801091"/>
        </a:xfrm>
        <a:prstGeom prst="rect">
          <a:avLst/>
        </a:prstGeom>
      </xdr:spPr>
    </xdr:pic>
    <xdr:clientData/>
  </xdr:twoCellAnchor>
  <xdr:twoCellAnchor editAs="oneCell">
    <xdr:from>
      <xdr:col>11</xdr:col>
      <xdr:colOff>358588</xdr:colOff>
      <xdr:row>140</xdr:row>
      <xdr:rowOff>134471</xdr:rowOff>
    </xdr:from>
    <xdr:to>
      <xdr:col>24</xdr:col>
      <xdr:colOff>259282</xdr:colOff>
      <xdr:row>153</xdr:row>
      <xdr:rowOff>177814</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9"/>
        <a:stretch>
          <a:fillRect/>
        </a:stretch>
      </xdr:blipFill>
      <xdr:spPr>
        <a:xfrm>
          <a:off x="14108206" y="54214059"/>
          <a:ext cx="6953676" cy="3393902"/>
        </a:xfrm>
        <a:prstGeom prst="rect">
          <a:avLst/>
        </a:prstGeom>
      </xdr:spPr>
    </xdr:pic>
    <xdr:clientData/>
  </xdr:twoCellAnchor>
  <xdr:twoCellAnchor editAs="oneCell">
    <xdr:from>
      <xdr:col>12</xdr:col>
      <xdr:colOff>23811</xdr:colOff>
      <xdr:row>212</xdr:row>
      <xdr:rowOff>119986</xdr:rowOff>
    </xdr:from>
    <xdr:to>
      <xdr:col>44</xdr:col>
      <xdr:colOff>409387</xdr:colOff>
      <xdr:row>230</xdr:row>
      <xdr:rowOff>142875</xdr:rowOff>
    </xdr:to>
    <xdr:pic>
      <xdr:nvPicPr>
        <xdr:cNvPr id="19" name="Picture 18">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10"/>
        <a:stretch>
          <a:fillRect/>
        </a:stretch>
      </xdr:blipFill>
      <xdr:spPr>
        <a:xfrm>
          <a:off x="14382749" y="73271986"/>
          <a:ext cx="18768826" cy="4737763"/>
        </a:xfrm>
        <a:prstGeom prst="rect">
          <a:avLst/>
        </a:prstGeom>
      </xdr:spPr>
    </xdr:pic>
    <xdr:clientData/>
  </xdr:twoCellAnchor>
  <xdr:twoCellAnchor editAs="oneCell">
    <xdr:from>
      <xdr:col>10</xdr:col>
      <xdr:colOff>0</xdr:colOff>
      <xdr:row>226</xdr:row>
      <xdr:rowOff>0</xdr:rowOff>
    </xdr:from>
    <xdr:to>
      <xdr:col>17</xdr:col>
      <xdr:colOff>580174</xdr:colOff>
      <xdr:row>233</xdr:row>
      <xdr:rowOff>258331</xdr:rowOff>
    </xdr:to>
    <xdr:pic>
      <xdr:nvPicPr>
        <xdr:cNvPr id="20" name="Picture 19">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11"/>
        <a:stretch>
          <a:fillRect/>
        </a:stretch>
      </xdr:blipFill>
      <xdr:spPr>
        <a:xfrm>
          <a:off x="12676909" y="76459773"/>
          <a:ext cx="6315956" cy="2076740"/>
        </a:xfrm>
        <a:prstGeom prst="rect">
          <a:avLst/>
        </a:prstGeom>
      </xdr:spPr>
    </xdr:pic>
    <xdr:clientData/>
  </xdr:twoCellAnchor>
  <xdr:twoCellAnchor>
    <xdr:from>
      <xdr:col>9</xdr:col>
      <xdr:colOff>935690</xdr:colOff>
      <xdr:row>239</xdr:row>
      <xdr:rowOff>44184</xdr:rowOff>
    </xdr:from>
    <xdr:to>
      <xdr:col>18</xdr:col>
      <xdr:colOff>166326</xdr:colOff>
      <xdr:row>284</xdr:row>
      <xdr:rowOff>17290</xdr:rowOff>
    </xdr:to>
    <xdr:grpSp>
      <xdr:nvGrpSpPr>
        <xdr:cNvPr id="21" name="Group 20">
          <a:extLst>
            <a:ext uri="{FF2B5EF4-FFF2-40B4-BE49-F238E27FC236}">
              <a16:creationId xmlns="" xmlns:a16="http://schemas.microsoft.com/office/drawing/2014/main" id="{52D4A1FC-B303-18C2-66A3-4A35D7FEFE8B}"/>
            </a:ext>
          </a:extLst>
        </xdr:cNvPr>
        <xdr:cNvGrpSpPr/>
      </xdr:nvGrpSpPr>
      <xdr:grpSpPr>
        <a:xfrm>
          <a:off x="11331547" y="84503720"/>
          <a:ext cx="7857565" cy="7470641"/>
          <a:chOff x="138092" y="384635"/>
          <a:chExt cx="5945209" cy="5220000"/>
        </a:xfrm>
      </xdr:grpSpPr>
      <xdr:pic>
        <xdr:nvPicPr>
          <xdr:cNvPr id="22" name="Picture 21">
            <a:extLst>
              <a:ext uri="{FF2B5EF4-FFF2-40B4-BE49-F238E27FC236}">
                <a16:creationId xmlns="" xmlns:a16="http://schemas.microsoft.com/office/drawing/2014/main" id="{6050A78D-3C23-BB59-0548-D78AC5A7E81D}"/>
              </a:ext>
            </a:extLst>
          </xdr:cNvPr>
          <xdr:cNvPicPr>
            <a:picLocks noChangeAspect="1"/>
          </xdr:cNvPicPr>
        </xdr:nvPicPr>
        <xdr:blipFill>
          <a:blip xmlns:r="http://schemas.openxmlformats.org/officeDocument/2006/relationships" r:embed="rId12"/>
          <a:stretch>
            <a:fillRect/>
          </a:stretch>
        </xdr:blipFill>
        <xdr:spPr>
          <a:xfrm>
            <a:off x="138092" y="384635"/>
            <a:ext cx="3915000" cy="5220000"/>
          </a:xfrm>
          <a:prstGeom prst="rect">
            <a:avLst/>
          </a:prstGeom>
          <a:ln>
            <a:solidFill>
              <a:schemeClr val="tx1"/>
            </a:solidFill>
          </a:ln>
        </xdr:spPr>
      </xdr:pic>
      <xdr:pic>
        <xdr:nvPicPr>
          <xdr:cNvPr id="23" name="Picture 22">
            <a:extLst>
              <a:ext uri="{FF2B5EF4-FFF2-40B4-BE49-F238E27FC236}">
                <a16:creationId xmlns="" xmlns:a16="http://schemas.microsoft.com/office/drawing/2014/main" id="{EEB0DA2A-6EF0-A2E2-76CC-513CAA485110}"/>
              </a:ext>
            </a:extLst>
          </xdr:cNvPr>
          <xdr:cNvPicPr>
            <a:picLocks noChangeAspect="1" noChangeArrowheads="1"/>
          </xdr:cNvPicPr>
        </xdr:nvPicPr>
        <xdr:blipFill>
          <a:blip xmlns:r="http://schemas.openxmlformats.org/officeDocument/2006/relationships" r:embed="rId13" cstate="hqprint">
            <a:extLst>
              <a:ext uri="{28A0092B-C50C-407E-A947-70E740481C1C}">
                <a14:useLocalDpi xmlns:a14="http://schemas.microsoft.com/office/drawing/2010/main"/>
              </a:ext>
            </a:extLst>
          </a:blip>
          <a:srcRect/>
          <a:stretch>
            <a:fillRect/>
          </a:stretch>
        </xdr:blipFill>
        <xdr:spPr bwMode="auto">
          <a:xfrm>
            <a:off x="4193301" y="3084635"/>
            <a:ext cx="1890000"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a:extLst>
              <a:ext uri="{FF2B5EF4-FFF2-40B4-BE49-F238E27FC236}">
                <a16:creationId xmlns="" xmlns:a16="http://schemas.microsoft.com/office/drawing/2014/main" id="{85799ED1-E895-E18E-977C-11935DFC2D22}"/>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4193301" y="384635"/>
            <a:ext cx="1890000" cy="2520000"/>
          </a:xfrm>
          <a:prstGeom prst="rect">
            <a:avLst/>
          </a:prstGeom>
          <a:ln>
            <a:solidFill>
              <a:schemeClr val="tx1"/>
            </a:solidFill>
          </a:ln>
        </xdr:spPr>
      </xdr:pic>
    </xdr:grpSp>
    <xdr:clientData/>
  </xdr:twoCellAnchor>
  <xdr:oneCellAnchor>
    <xdr:from>
      <xdr:col>12</xdr:col>
      <xdr:colOff>79401</xdr:colOff>
      <xdr:row>240</xdr:row>
      <xdr:rowOff>202186</xdr:rowOff>
    </xdr:from>
    <xdr:ext cx="940963" cy="405432"/>
    <xdr:sp macro="" textlink="">
      <xdr:nvSpPr>
        <xdr:cNvPr id="31" name="TextBox 30">
          <a:extLst>
            <a:ext uri="{FF2B5EF4-FFF2-40B4-BE49-F238E27FC236}">
              <a16:creationId xmlns="" xmlns:a16="http://schemas.microsoft.com/office/drawing/2014/main" id="{F72E3F7F-4D58-B79B-8284-1905A7E91AF5}"/>
            </a:ext>
          </a:extLst>
        </xdr:cNvPr>
        <xdr:cNvSpPr txBox="1"/>
      </xdr:nvSpPr>
      <xdr:spPr>
        <a:xfrm>
          <a:off x="14883972" y="84267115"/>
          <a:ext cx="94096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000" b="1">
              <a:solidFill>
                <a:srgbClr val="FF0000"/>
              </a:solidFill>
            </a:rPr>
            <a:t>Wing B</a:t>
          </a:r>
        </a:p>
      </xdr:txBody>
    </xdr:sp>
    <xdr:clientData/>
  </xdr:oneCellAnchor>
  <xdr:twoCellAnchor>
    <xdr:from>
      <xdr:col>12</xdr:col>
      <xdr:colOff>70437</xdr:colOff>
      <xdr:row>242</xdr:row>
      <xdr:rowOff>202186</xdr:rowOff>
    </xdr:from>
    <xdr:to>
      <xdr:col>12</xdr:col>
      <xdr:colOff>553410</xdr:colOff>
      <xdr:row>245</xdr:row>
      <xdr:rowOff>121504</xdr:rowOff>
    </xdr:to>
    <xdr:cxnSp macro="">
      <xdr:nvCxnSpPr>
        <xdr:cNvPr id="38" name="Straight Arrow Connector 37">
          <a:extLst>
            <a:ext uri="{FF2B5EF4-FFF2-40B4-BE49-F238E27FC236}">
              <a16:creationId xmlns="" xmlns:a16="http://schemas.microsoft.com/office/drawing/2014/main" id="{5256714A-0BAD-BC45-8F38-9647960431C4}"/>
            </a:ext>
          </a:extLst>
        </xdr:cNvPr>
        <xdr:cNvCxnSpPr/>
      </xdr:nvCxnSpPr>
      <xdr:spPr>
        <a:xfrm flipH="1">
          <a:off x="14875008" y="84784186"/>
          <a:ext cx="482973" cy="6949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449037</xdr:colOff>
      <xdr:row>238</xdr:row>
      <xdr:rowOff>103412</xdr:rowOff>
    </xdr:from>
    <xdr:to>
      <xdr:col>8</xdr:col>
      <xdr:colOff>604190</xdr:colOff>
      <xdr:row>287</xdr:row>
      <xdr:rowOff>111578</xdr:rowOff>
    </xdr:to>
    <xdr:grpSp>
      <xdr:nvGrpSpPr>
        <xdr:cNvPr id="54" name="Group 53"/>
        <xdr:cNvGrpSpPr/>
      </xdr:nvGrpSpPr>
      <xdr:grpSpPr>
        <a:xfrm>
          <a:off x="449037" y="84304412"/>
          <a:ext cx="8918153" cy="8539845"/>
          <a:chOff x="449037" y="83651269"/>
          <a:chExt cx="8918153" cy="8539845"/>
        </a:xfrm>
      </xdr:grpSpPr>
      <xdr:pic>
        <xdr:nvPicPr>
          <xdr:cNvPr id="56" name="Picture 55" descr="https://vsjcllp.vsjadon.com/upload/insp-242608-93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996542" y="89605755"/>
            <a:ext cx="1932147" cy="256903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42608-880.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889906" y="89622084"/>
            <a:ext cx="1932147" cy="256903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8" name="Picture 57" descr="https://vsjcllp.vsjadon.com/upload/insp-242608-871.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4988377" y="83651269"/>
            <a:ext cx="4378813" cy="585651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9" name="Picture 58" descr="https://vsjcllp.vsjadon.com/upload/insp-242608-849.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2936422" y="89613919"/>
            <a:ext cx="1932147" cy="256903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0" name="Picture 59" descr="https://vsjcllp.vsjadon.com/upload/insp-242608-847.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449037" y="83656713"/>
            <a:ext cx="4404639" cy="585651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1" name="Picture 60" descr="https://vsjcllp.vsjadon.com/upload/insp-242608-1525.jpg"/>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a:ext>
            </a:extLst>
          </a:blip>
          <a:srcRect b="5826"/>
          <a:stretch/>
        </xdr:blipFill>
        <xdr:spPr bwMode="auto">
          <a:xfrm>
            <a:off x="7037614" y="89605756"/>
            <a:ext cx="2040816" cy="255542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62" name="TextBox 61">
            <a:extLst>
              <a:ext uri="{FF2B5EF4-FFF2-40B4-BE49-F238E27FC236}">
                <a16:creationId xmlns="" xmlns:a16="http://schemas.microsoft.com/office/drawing/2014/main" id="{F72E3F7F-4D58-B79B-8284-1905A7E91AF5}"/>
              </a:ext>
            </a:extLst>
          </xdr:cNvPr>
          <xdr:cNvSpPr txBox="1"/>
        </xdr:nvSpPr>
        <xdr:spPr>
          <a:xfrm>
            <a:off x="5138055" y="83732912"/>
            <a:ext cx="1061124"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400" b="1">
                <a:solidFill>
                  <a:sysClr val="windowText" lastClr="000000"/>
                </a:solidFill>
              </a:rPr>
              <a:t>Wing F</a:t>
            </a:r>
          </a:p>
        </xdr:txBody>
      </xdr:sp>
      <xdr:sp macro="" textlink="">
        <xdr:nvSpPr>
          <xdr:cNvPr id="63" name="TextBox 62">
            <a:extLst>
              <a:ext uri="{FF2B5EF4-FFF2-40B4-BE49-F238E27FC236}">
                <a16:creationId xmlns="" xmlns:a16="http://schemas.microsoft.com/office/drawing/2014/main" id="{F72E3F7F-4D58-B79B-8284-1905A7E91AF5}"/>
              </a:ext>
            </a:extLst>
          </xdr:cNvPr>
          <xdr:cNvSpPr txBox="1"/>
        </xdr:nvSpPr>
        <xdr:spPr>
          <a:xfrm>
            <a:off x="1183824" y="83751962"/>
            <a:ext cx="1092415" cy="468013"/>
          </a:xfrm>
          <a:prstGeom prst="rect">
            <a:avLst/>
          </a:prstGeom>
          <a:solidFill>
            <a:schemeClr val="accent3">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400" b="1">
                <a:solidFill>
                  <a:sysClr val="windowText" lastClr="000000"/>
                </a:solidFill>
              </a:rPr>
              <a:t>Wing B</a:t>
            </a:r>
          </a:p>
        </xdr:txBody>
      </xdr:sp>
      <xdr:cxnSp macro="">
        <xdr:nvCxnSpPr>
          <xdr:cNvPr id="48" name="Straight Arrow Connector 47"/>
          <xdr:cNvCxnSpPr/>
        </xdr:nvCxnSpPr>
        <xdr:spPr>
          <a:xfrm>
            <a:off x="1877786" y="84160179"/>
            <a:ext cx="530678" cy="408214"/>
          </a:xfrm>
          <a:prstGeom prst="straightConnector1">
            <a:avLst/>
          </a:prstGeom>
          <a:ln w="381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ffXEVeuGpu9YhCbu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371"/>
  <sheetViews>
    <sheetView tabSelected="1" view="pageBreakPreview" zoomScale="70" zoomScaleNormal="85" zoomScaleSheetLayoutView="70" zoomScalePageLayoutView="85" workbookViewId="0">
      <selection activeCell="J286" sqref="J286"/>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11" width="16.28515625" style="1" bestFit="1" customWidth="1"/>
    <col min="12" max="12" width="16" style="1" bestFit="1" customWidth="1"/>
    <col min="13" max="13" width="20.140625" style="1" customWidth="1"/>
    <col min="14" max="14" width="6.28515625" style="1" customWidth="1"/>
    <col min="15" max="20" width="9.140625" style="1"/>
    <col min="21" max="23" width="0" style="1" hidden="1" customWidth="1"/>
    <col min="24" max="26" width="9.140625" style="1"/>
    <col min="27" max="27" width="7.85546875" style="1" customWidth="1"/>
    <col min="28" max="16384" width="9.140625" style="1"/>
  </cols>
  <sheetData>
    <row r="1" spans="1:12" ht="20.25" x14ac:dyDescent="0.25">
      <c r="A1" s="131" t="s">
        <v>41</v>
      </c>
      <c r="B1" s="132"/>
      <c r="C1" s="132"/>
      <c r="D1" s="132"/>
      <c r="E1" s="132"/>
      <c r="F1" s="132"/>
      <c r="G1" s="132"/>
      <c r="H1" s="132"/>
      <c r="I1" s="133"/>
    </row>
    <row r="2" spans="1:12" ht="40.5" customHeight="1" x14ac:dyDescent="0.25">
      <c r="A2" s="158" t="s">
        <v>11</v>
      </c>
      <c r="B2" s="158"/>
      <c r="C2" s="158"/>
      <c r="D2" s="4" t="s">
        <v>4</v>
      </c>
      <c r="E2" s="159" t="s">
        <v>93</v>
      </c>
      <c r="F2" s="159"/>
      <c r="G2" s="123" t="s">
        <v>15</v>
      </c>
      <c r="H2" s="123"/>
      <c r="I2" s="57" t="s">
        <v>286</v>
      </c>
    </row>
    <row r="3" spans="1:12" ht="40.5" customHeight="1" x14ac:dyDescent="0.25">
      <c r="A3" s="94" t="s">
        <v>42</v>
      </c>
      <c r="B3" s="95"/>
      <c r="C3" s="96"/>
      <c r="D3" s="19" t="s">
        <v>4</v>
      </c>
      <c r="E3" s="129" t="s">
        <v>245</v>
      </c>
      <c r="F3" s="130"/>
      <c r="G3" s="142" t="s">
        <v>182</v>
      </c>
      <c r="H3" s="144"/>
      <c r="I3" s="177" t="s">
        <v>287</v>
      </c>
      <c r="J3" s="185"/>
    </row>
    <row r="4" spans="1:12" ht="34.5" customHeight="1" x14ac:dyDescent="0.25">
      <c r="A4" s="94" t="s">
        <v>236</v>
      </c>
      <c r="B4" s="95"/>
      <c r="C4" s="96"/>
      <c r="D4" s="19" t="s">
        <v>4</v>
      </c>
      <c r="E4" s="74" t="s">
        <v>246</v>
      </c>
      <c r="F4" s="75"/>
      <c r="G4" s="148"/>
      <c r="H4" s="150"/>
      <c r="I4" s="178"/>
      <c r="J4" s="185"/>
    </row>
    <row r="5" spans="1:12" ht="43.5" customHeight="1" x14ac:dyDescent="0.25">
      <c r="A5" s="94" t="s">
        <v>39</v>
      </c>
      <c r="B5" s="95"/>
      <c r="C5" s="96"/>
      <c r="D5" s="25" t="s">
        <v>4</v>
      </c>
      <c r="E5" s="74" t="s">
        <v>288</v>
      </c>
      <c r="F5" s="76"/>
      <c r="G5" s="123" t="s">
        <v>36</v>
      </c>
      <c r="H5" s="123"/>
      <c r="I5" s="17" t="str">
        <f ca="1">TEXT(TODAY(),"DD/MM/YYYY")</f>
        <v>06/08/2025</v>
      </c>
      <c r="L5" s="71">
        <v>45793</v>
      </c>
    </row>
    <row r="6" spans="1:12" ht="20.25" x14ac:dyDescent="0.25">
      <c r="A6" s="80" t="s">
        <v>43</v>
      </c>
      <c r="B6" s="80"/>
      <c r="C6" s="80"/>
      <c r="D6" s="80"/>
      <c r="E6" s="80"/>
      <c r="F6" s="80"/>
      <c r="G6" s="80"/>
      <c r="H6" s="80"/>
      <c r="I6" s="184"/>
      <c r="L6" s="71">
        <v>45875</v>
      </c>
    </row>
    <row r="7" spans="1:12" ht="39.75" customHeight="1" x14ac:dyDescent="0.25">
      <c r="A7" s="160" t="s">
        <v>32</v>
      </c>
      <c r="B7" s="160"/>
      <c r="C7" s="160"/>
      <c r="D7" s="2" t="s">
        <v>4</v>
      </c>
      <c r="E7" s="20" t="s">
        <v>262</v>
      </c>
      <c r="F7" s="19" t="s">
        <v>38</v>
      </c>
      <c r="G7" s="2" t="s">
        <v>4</v>
      </c>
      <c r="H7" s="83" t="s">
        <v>285</v>
      </c>
      <c r="I7" s="83"/>
      <c r="L7" s="1">
        <f>L6-L5</f>
        <v>82</v>
      </c>
    </row>
    <row r="8" spans="1:12" ht="45" customHeight="1" x14ac:dyDescent="0.25">
      <c r="A8" s="160" t="s">
        <v>45</v>
      </c>
      <c r="B8" s="160"/>
      <c r="C8" s="160"/>
      <c r="D8" s="2" t="s">
        <v>4</v>
      </c>
      <c r="E8" s="5" t="s">
        <v>235</v>
      </c>
      <c r="F8" s="19" t="s">
        <v>46</v>
      </c>
      <c r="G8" s="2" t="s">
        <v>4</v>
      </c>
      <c r="H8" s="74" t="s">
        <v>235</v>
      </c>
      <c r="I8" s="76"/>
    </row>
    <row r="9" spans="1:12" ht="20.25" x14ac:dyDescent="0.25">
      <c r="A9" s="160" t="s">
        <v>47</v>
      </c>
      <c r="B9" s="160"/>
      <c r="C9" s="160"/>
      <c r="D9" s="2" t="s">
        <v>4</v>
      </c>
      <c r="E9" s="183" t="s">
        <v>187</v>
      </c>
      <c r="F9" s="183"/>
      <c r="G9" s="183"/>
      <c r="H9" s="183"/>
      <c r="I9" s="183"/>
    </row>
    <row r="10" spans="1:12" ht="45" customHeight="1" x14ac:dyDescent="0.25">
      <c r="A10" s="123" t="s">
        <v>172</v>
      </c>
      <c r="B10" s="19" t="s">
        <v>4</v>
      </c>
      <c r="C10" s="19" t="s">
        <v>44</v>
      </c>
      <c r="D10" s="2" t="s">
        <v>4</v>
      </c>
      <c r="E10" s="74" t="s">
        <v>260</v>
      </c>
      <c r="F10" s="75"/>
      <c r="G10" s="75"/>
      <c r="H10" s="75"/>
      <c r="I10" s="76"/>
      <c r="J10" s="56" t="s">
        <v>247</v>
      </c>
    </row>
    <row r="11" spans="1:12" ht="45" customHeight="1" x14ac:dyDescent="0.25">
      <c r="A11" s="123"/>
      <c r="B11" s="19" t="s">
        <v>4</v>
      </c>
      <c r="C11" s="19" t="s">
        <v>14</v>
      </c>
      <c r="D11" s="2" t="s">
        <v>4</v>
      </c>
      <c r="E11" s="74" t="s">
        <v>271</v>
      </c>
      <c r="F11" s="75"/>
      <c r="G11" s="75"/>
      <c r="H11" s="75"/>
      <c r="I11" s="76"/>
      <c r="J11" s="1" t="s">
        <v>227</v>
      </c>
    </row>
    <row r="12" spans="1:12" ht="42" customHeight="1" x14ac:dyDescent="0.25">
      <c r="A12" s="123"/>
      <c r="B12" s="19" t="s">
        <v>4</v>
      </c>
      <c r="C12" s="19" t="s">
        <v>5</v>
      </c>
      <c r="D12" s="2" t="s">
        <v>4</v>
      </c>
      <c r="E12" s="74" t="s">
        <v>272</v>
      </c>
      <c r="F12" s="75"/>
      <c r="G12" s="75"/>
      <c r="H12" s="75"/>
      <c r="I12" s="76"/>
    </row>
    <row r="13" spans="1:12" ht="20.25" x14ac:dyDescent="0.25">
      <c r="A13" s="123" t="s">
        <v>37</v>
      </c>
      <c r="B13" s="123"/>
      <c r="C13" s="123"/>
      <c r="D13" s="2" t="s">
        <v>4</v>
      </c>
      <c r="E13" s="83" t="s">
        <v>273</v>
      </c>
      <c r="F13" s="83"/>
      <c r="G13" s="83"/>
      <c r="H13" s="83"/>
      <c r="I13" s="83"/>
    </row>
    <row r="14" spans="1:12" ht="20.100000000000001" customHeight="1" x14ac:dyDescent="0.25">
      <c r="A14" s="80" t="s">
        <v>48</v>
      </c>
      <c r="B14" s="80"/>
      <c r="C14" s="80"/>
      <c r="D14" s="80"/>
      <c r="E14" s="80"/>
      <c r="F14" s="80"/>
      <c r="G14" s="80"/>
      <c r="H14" s="80"/>
      <c r="I14" s="80"/>
    </row>
    <row r="15" spans="1:12" ht="40.5" customHeight="1" x14ac:dyDescent="0.25">
      <c r="A15" s="19" t="s">
        <v>30</v>
      </c>
      <c r="B15" s="2" t="s">
        <v>4</v>
      </c>
      <c r="C15" s="134" t="s">
        <v>94</v>
      </c>
      <c r="D15" s="135"/>
      <c r="E15" s="136"/>
      <c r="F15" s="16" t="s">
        <v>49</v>
      </c>
      <c r="G15" s="2" t="s">
        <v>4</v>
      </c>
      <c r="H15" s="83" t="s">
        <v>190</v>
      </c>
      <c r="I15" s="83"/>
    </row>
    <row r="16" spans="1:12" ht="40.5" x14ac:dyDescent="0.25">
      <c r="A16" s="19" t="s">
        <v>50</v>
      </c>
      <c r="B16" s="2" t="s">
        <v>4</v>
      </c>
      <c r="C16" s="134" t="s">
        <v>248</v>
      </c>
      <c r="D16" s="135"/>
      <c r="E16" s="136"/>
      <c r="F16" s="19" t="s">
        <v>51</v>
      </c>
      <c r="G16" s="2" t="s">
        <v>4</v>
      </c>
      <c r="H16" s="124" t="s">
        <v>250</v>
      </c>
      <c r="I16" s="83"/>
    </row>
    <row r="17" spans="1:11" ht="40.5" x14ac:dyDescent="0.25">
      <c r="A17" s="44" t="s">
        <v>52</v>
      </c>
      <c r="B17" s="2" t="s">
        <v>4</v>
      </c>
      <c r="C17" s="179" t="s">
        <v>249</v>
      </c>
      <c r="D17" s="135"/>
      <c r="E17" s="136"/>
      <c r="F17" s="19" t="s">
        <v>53</v>
      </c>
      <c r="G17" s="2" t="s">
        <v>4</v>
      </c>
      <c r="H17" s="128" t="s">
        <v>266</v>
      </c>
      <c r="I17" s="76"/>
      <c r="J17" s="72" t="s">
        <v>265</v>
      </c>
      <c r="K17" s="73"/>
    </row>
    <row r="18" spans="1:11" ht="60.75" x14ac:dyDescent="0.25">
      <c r="A18" s="44" t="s">
        <v>54</v>
      </c>
      <c r="B18" s="2" t="s">
        <v>4</v>
      </c>
      <c r="C18" s="179" t="s">
        <v>250</v>
      </c>
      <c r="D18" s="135"/>
      <c r="E18" s="136"/>
      <c r="F18" s="19" t="s">
        <v>55</v>
      </c>
      <c r="G18" s="2" t="s">
        <v>4</v>
      </c>
      <c r="H18" s="74" t="s">
        <v>191</v>
      </c>
      <c r="I18" s="76"/>
    </row>
    <row r="19" spans="1:11" ht="40.5" x14ac:dyDescent="0.25">
      <c r="A19" s="44" t="s">
        <v>56</v>
      </c>
      <c r="B19" s="2" t="s">
        <v>4</v>
      </c>
      <c r="C19" s="134" t="s">
        <v>183</v>
      </c>
      <c r="D19" s="135"/>
      <c r="E19" s="136"/>
      <c r="F19" s="19" t="s">
        <v>106</v>
      </c>
      <c r="G19" s="2" t="s">
        <v>4</v>
      </c>
      <c r="H19" s="83">
        <v>20149</v>
      </c>
      <c r="I19" s="83"/>
    </row>
    <row r="20" spans="1:11" ht="40.5" x14ac:dyDescent="0.25">
      <c r="A20" s="19" t="s">
        <v>57</v>
      </c>
      <c r="B20" s="2" t="s">
        <v>4</v>
      </c>
      <c r="C20" s="180">
        <v>1</v>
      </c>
      <c r="D20" s="181"/>
      <c r="E20" s="182"/>
      <c r="F20" s="19" t="s">
        <v>105</v>
      </c>
      <c r="G20" s="2" t="s">
        <v>4</v>
      </c>
      <c r="H20" s="83">
        <v>34593.78</v>
      </c>
      <c r="I20" s="83"/>
      <c r="J20" s="48" t="s">
        <v>224</v>
      </c>
      <c r="K20" s="49">
        <f>15565.92+15363.75</f>
        <v>30929.67</v>
      </c>
    </row>
    <row r="21" spans="1:11" ht="62.25" customHeight="1" x14ac:dyDescent="0.25">
      <c r="A21" s="19" t="s">
        <v>104</v>
      </c>
      <c r="B21" s="2" t="s">
        <v>4</v>
      </c>
      <c r="C21" s="134">
        <v>35901.800000000003</v>
      </c>
      <c r="D21" s="135"/>
      <c r="E21" s="136"/>
      <c r="F21" s="6" t="s">
        <v>58</v>
      </c>
      <c r="G21" s="2" t="s">
        <v>4</v>
      </c>
      <c r="H21" s="74" t="s">
        <v>256</v>
      </c>
      <c r="I21" s="76"/>
      <c r="J21" s="1">
        <f>44+11</f>
        <v>55</v>
      </c>
    </row>
    <row r="22" spans="1:11" ht="40.5" x14ac:dyDescent="0.25">
      <c r="A22" s="19" t="s">
        <v>59</v>
      </c>
      <c r="B22" s="2" t="s">
        <v>4</v>
      </c>
      <c r="C22" s="134" t="s">
        <v>274</v>
      </c>
      <c r="D22" s="135"/>
      <c r="E22" s="136"/>
      <c r="F22" s="19" t="s">
        <v>60</v>
      </c>
      <c r="G22" s="2" t="s">
        <v>4</v>
      </c>
      <c r="H22" s="83" t="s">
        <v>282</v>
      </c>
      <c r="I22" s="83"/>
    </row>
    <row r="23" spans="1:11" ht="20.25" customHeight="1" x14ac:dyDescent="0.25">
      <c r="A23" s="44" t="s">
        <v>212</v>
      </c>
      <c r="B23" s="2" t="s">
        <v>4</v>
      </c>
      <c r="C23" s="74" t="s">
        <v>223</v>
      </c>
      <c r="D23" s="75"/>
      <c r="E23" s="75"/>
      <c r="F23" s="75"/>
      <c r="G23" s="75"/>
      <c r="H23" s="75"/>
      <c r="I23" s="76"/>
    </row>
    <row r="24" spans="1:11" ht="20.25" x14ac:dyDescent="0.25">
      <c r="A24" s="44" t="s">
        <v>186</v>
      </c>
      <c r="B24" s="2" t="s">
        <v>4</v>
      </c>
      <c r="C24" s="137" t="s">
        <v>231</v>
      </c>
      <c r="D24" s="138"/>
      <c r="E24" s="138"/>
      <c r="F24" s="138"/>
      <c r="G24" s="138"/>
      <c r="H24" s="138"/>
      <c r="I24" s="138"/>
    </row>
    <row r="25" spans="1:11" ht="108" customHeight="1" x14ac:dyDescent="0.25">
      <c r="A25" s="44" t="s">
        <v>28</v>
      </c>
      <c r="B25" s="2" t="s">
        <v>4</v>
      </c>
      <c r="C25" s="83" t="s">
        <v>107</v>
      </c>
      <c r="D25" s="83"/>
      <c r="E25" s="83"/>
      <c r="F25" s="83"/>
      <c r="G25" s="83"/>
      <c r="H25" s="83"/>
      <c r="I25" s="83"/>
    </row>
    <row r="26" spans="1:11" ht="24" customHeight="1" x14ac:dyDescent="0.25">
      <c r="A26" s="131" t="s">
        <v>23</v>
      </c>
      <c r="B26" s="132"/>
      <c r="C26" s="132"/>
      <c r="D26" s="132"/>
      <c r="E26" s="132"/>
      <c r="F26" s="132"/>
      <c r="G26" s="132"/>
      <c r="H26" s="132"/>
      <c r="I26" s="133"/>
    </row>
    <row r="27" spans="1:11" ht="20.25" x14ac:dyDescent="0.25">
      <c r="A27" s="19" t="s">
        <v>29</v>
      </c>
      <c r="B27" s="2" t="s">
        <v>4</v>
      </c>
      <c r="C27" s="83" t="s">
        <v>95</v>
      </c>
      <c r="D27" s="83"/>
      <c r="E27" s="83"/>
      <c r="F27" s="19" t="s">
        <v>16</v>
      </c>
      <c r="G27" s="2" t="s">
        <v>4</v>
      </c>
      <c r="H27" s="83" t="s">
        <v>188</v>
      </c>
      <c r="I27" s="83"/>
    </row>
    <row r="28" spans="1:11" ht="20.25" x14ac:dyDescent="0.25">
      <c r="A28" s="19" t="s">
        <v>17</v>
      </c>
      <c r="B28" s="2" t="s">
        <v>4</v>
      </c>
      <c r="C28" s="83" t="s">
        <v>110</v>
      </c>
      <c r="D28" s="83"/>
      <c r="E28" s="83"/>
      <c r="F28" s="19" t="s">
        <v>173</v>
      </c>
      <c r="G28" s="2" t="s">
        <v>4</v>
      </c>
      <c r="H28" s="83" t="s">
        <v>189</v>
      </c>
      <c r="I28" s="83"/>
    </row>
    <row r="29" spans="1:11" ht="40.5" x14ac:dyDescent="0.25">
      <c r="A29" s="19" t="s">
        <v>26</v>
      </c>
      <c r="B29" s="2" t="s">
        <v>4</v>
      </c>
      <c r="C29" s="83" t="s">
        <v>109</v>
      </c>
      <c r="D29" s="83"/>
      <c r="E29" s="83"/>
      <c r="F29" s="19" t="s">
        <v>19</v>
      </c>
      <c r="G29" s="2" t="s">
        <v>4</v>
      </c>
      <c r="H29" s="83" t="s">
        <v>197</v>
      </c>
      <c r="I29" s="83"/>
    </row>
    <row r="30" spans="1:11" ht="40.5" x14ac:dyDescent="0.25">
      <c r="A30" s="44" t="s">
        <v>131</v>
      </c>
      <c r="B30" s="2" t="s">
        <v>4</v>
      </c>
      <c r="C30" s="83" t="s">
        <v>195</v>
      </c>
      <c r="D30" s="83"/>
      <c r="E30" s="83"/>
      <c r="F30" s="19" t="s">
        <v>132</v>
      </c>
      <c r="G30" s="2" t="s">
        <v>4</v>
      </c>
      <c r="H30" s="74" t="s">
        <v>196</v>
      </c>
      <c r="I30" s="76"/>
    </row>
    <row r="31" spans="1:11" ht="84" customHeight="1" x14ac:dyDescent="0.25">
      <c r="A31" s="19" t="s">
        <v>20</v>
      </c>
      <c r="B31" s="2" t="s">
        <v>4</v>
      </c>
      <c r="C31" s="83" t="s">
        <v>198</v>
      </c>
      <c r="D31" s="83"/>
      <c r="E31" s="83"/>
      <c r="F31" s="19" t="s">
        <v>18</v>
      </c>
      <c r="G31" s="2" t="s">
        <v>4</v>
      </c>
      <c r="H31" s="83" t="s">
        <v>199</v>
      </c>
      <c r="I31" s="83"/>
    </row>
    <row r="32" spans="1:11" ht="21.75" customHeight="1" x14ac:dyDescent="0.25">
      <c r="A32" s="44" t="s">
        <v>137</v>
      </c>
      <c r="B32" s="2" t="s">
        <v>4</v>
      </c>
      <c r="C32" s="83" t="s">
        <v>138</v>
      </c>
      <c r="D32" s="83"/>
      <c r="E32" s="83"/>
      <c r="F32" s="19" t="s">
        <v>139</v>
      </c>
      <c r="G32" s="2" t="s">
        <v>4</v>
      </c>
      <c r="H32" s="74" t="s">
        <v>138</v>
      </c>
      <c r="I32" s="76"/>
    </row>
    <row r="33" spans="1:13" ht="21.75" customHeight="1" x14ac:dyDescent="0.25">
      <c r="A33" s="44" t="s">
        <v>140</v>
      </c>
      <c r="B33" s="2" t="s">
        <v>4</v>
      </c>
      <c r="C33" s="74" t="s">
        <v>138</v>
      </c>
      <c r="D33" s="75"/>
      <c r="E33" s="75"/>
      <c r="F33" s="75"/>
      <c r="G33" s="75"/>
      <c r="H33" s="75"/>
      <c r="I33" s="76"/>
    </row>
    <row r="34" spans="1:13" ht="20.25" x14ac:dyDescent="0.25">
      <c r="A34" s="161" t="s">
        <v>40</v>
      </c>
      <c r="B34" s="162"/>
      <c r="C34" s="162"/>
      <c r="D34" s="162"/>
      <c r="E34" s="162"/>
      <c r="F34" s="162"/>
      <c r="G34" s="162"/>
      <c r="H34" s="162"/>
      <c r="I34" s="163"/>
    </row>
    <row r="35" spans="1:13" ht="40.5" x14ac:dyDescent="0.25">
      <c r="A35" s="94" t="s">
        <v>21</v>
      </c>
      <c r="B35" s="95"/>
      <c r="C35" s="96"/>
      <c r="D35" s="2" t="s">
        <v>4</v>
      </c>
      <c r="E35" s="20" t="s">
        <v>111</v>
      </c>
      <c r="F35" s="19" t="s">
        <v>22</v>
      </c>
      <c r="G35" s="7" t="s">
        <v>4</v>
      </c>
      <c r="H35" s="74" t="s">
        <v>112</v>
      </c>
      <c r="I35" s="76"/>
    </row>
    <row r="36" spans="1:13" ht="40.5" x14ac:dyDescent="0.25">
      <c r="A36" s="94" t="s">
        <v>25</v>
      </c>
      <c r="B36" s="95"/>
      <c r="C36" s="96"/>
      <c r="D36" s="2" t="s">
        <v>4</v>
      </c>
      <c r="E36" s="20" t="s">
        <v>112</v>
      </c>
      <c r="F36" s="8" t="s">
        <v>35</v>
      </c>
      <c r="G36" s="2" t="s">
        <v>4</v>
      </c>
      <c r="H36" s="74" t="s">
        <v>112</v>
      </c>
      <c r="I36" s="76"/>
    </row>
    <row r="37" spans="1:13" ht="40.5" x14ac:dyDescent="0.25">
      <c r="A37" s="94" t="s">
        <v>34</v>
      </c>
      <c r="B37" s="95"/>
      <c r="C37" s="96"/>
      <c r="D37" s="2" t="s">
        <v>4</v>
      </c>
      <c r="E37" s="5" t="s">
        <v>113</v>
      </c>
      <c r="F37" s="19" t="s">
        <v>24</v>
      </c>
      <c r="G37" s="21" t="s">
        <v>4</v>
      </c>
      <c r="H37" s="74" t="s">
        <v>114</v>
      </c>
      <c r="I37" s="76"/>
    </row>
    <row r="38" spans="1:13" ht="20.25" x14ac:dyDescent="0.25">
      <c r="A38" s="131" t="s">
        <v>0</v>
      </c>
      <c r="B38" s="132"/>
      <c r="C38" s="132"/>
      <c r="D38" s="132"/>
      <c r="E38" s="132"/>
      <c r="F38" s="132"/>
      <c r="G38" s="132"/>
      <c r="H38" s="132"/>
      <c r="I38" s="133"/>
    </row>
    <row r="39" spans="1:13" ht="20.25" x14ac:dyDescent="0.25">
      <c r="A39" s="125" t="s">
        <v>0</v>
      </c>
      <c r="B39" s="126"/>
      <c r="C39" s="127"/>
      <c r="D39" s="2" t="s">
        <v>4</v>
      </c>
      <c r="E39" s="9" t="s">
        <v>1</v>
      </c>
      <c r="F39" s="9" t="s">
        <v>6</v>
      </c>
      <c r="G39" s="125" t="s">
        <v>2</v>
      </c>
      <c r="H39" s="127"/>
      <c r="I39" s="9" t="s">
        <v>3</v>
      </c>
    </row>
    <row r="40" spans="1:13" ht="40.5" customHeight="1" x14ac:dyDescent="0.25">
      <c r="A40" s="94" t="s">
        <v>7</v>
      </c>
      <c r="B40" s="95"/>
      <c r="C40" s="96"/>
      <c r="D40" s="2" t="s">
        <v>4</v>
      </c>
      <c r="E40" s="47" t="s">
        <v>232</v>
      </c>
      <c r="F40" s="47" t="s">
        <v>234</v>
      </c>
      <c r="G40" s="81" t="s">
        <v>233</v>
      </c>
      <c r="H40" s="82"/>
      <c r="I40" s="47" t="s">
        <v>210</v>
      </c>
    </row>
    <row r="41" spans="1:13" ht="42" customHeight="1" x14ac:dyDescent="0.25">
      <c r="A41" s="94" t="s">
        <v>8</v>
      </c>
      <c r="B41" s="95"/>
      <c r="C41" s="96"/>
      <c r="D41" s="2" t="s">
        <v>4</v>
      </c>
      <c r="E41" s="47" t="s">
        <v>259</v>
      </c>
      <c r="F41" s="47" t="s">
        <v>193</v>
      </c>
      <c r="G41" s="81" t="s">
        <v>258</v>
      </c>
      <c r="H41" s="82"/>
      <c r="I41" s="47" t="s">
        <v>194</v>
      </c>
      <c r="J41" s="81" t="s">
        <v>257</v>
      </c>
      <c r="K41" s="82"/>
      <c r="M41" s="47" t="s">
        <v>192</v>
      </c>
    </row>
    <row r="42" spans="1:13" ht="20.25" customHeight="1" x14ac:dyDescent="0.25">
      <c r="A42" s="94" t="s">
        <v>12</v>
      </c>
      <c r="B42" s="95"/>
      <c r="C42" s="96"/>
      <c r="D42" s="2" t="s">
        <v>4</v>
      </c>
      <c r="E42" s="17" t="s">
        <v>109</v>
      </c>
      <c r="F42" s="19" t="s">
        <v>13</v>
      </c>
      <c r="G42" s="2" t="s">
        <v>4</v>
      </c>
      <c r="H42" s="74" t="s">
        <v>108</v>
      </c>
      <c r="I42" s="76"/>
    </row>
    <row r="43" spans="1:13" ht="20.25" x14ac:dyDescent="0.25">
      <c r="A43" s="131" t="s">
        <v>61</v>
      </c>
      <c r="B43" s="132"/>
      <c r="C43" s="132"/>
      <c r="D43" s="132"/>
      <c r="E43" s="132"/>
      <c r="F43" s="132"/>
      <c r="G43" s="132"/>
      <c r="H43" s="132"/>
      <c r="I43" s="133"/>
    </row>
    <row r="44" spans="1:13" ht="21" customHeight="1" x14ac:dyDescent="0.25">
      <c r="A44" s="164" t="s">
        <v>62</v>
      </c>
      <c r="B44" s="164"/>
      <c r="C44" s="164" t="s">
        <v>63</v>
      </c>
      <c r="D44" s="164"/>
      <c r="E44" s="164" t="s">
        <v>171</v>
      </c>
      <c r="F44" s="164"/>
      <c r="G44" s="164"/>
      <c r="H44" s="164" t="s">
        <v>64</v>
      </c>
      <c r="I44" s="164"/>
    </row>
    <row r="45" spans="1:13" ht="42" customHeight="1" x14ac:dyDescent="0.25">
      <c r="A45" s="174" t="s">
        <v>225</v>
      </c>
      <c r="B45" s="174"/>
      <c r="C45" s="176" t="s">
        <v>96</v>
      </c>
      <c r="D45" s="176"/>
      <c r="E45" s="173" t="s">
        <v>206</v>
      </c>
      <c r="F45" s="173"/>
      <c r="G45" s="173"/>
      <c r="H45" s="173" t="s">
        <v>206</v>
      </c>
      <c r="I45" s="173"/>
    </row>
    <row r="46" spans="1:13" ht="20.25" x14ac:dyDescent="0.25">
      <c r="A46" s="174" t="s">
        <v>251</v>
      </c>
      <c r="B46" s="174"/>
      <c r="C46" s="176" t="s">
        <v>96</v>
      </c>
      <c r="D46" s="176"/>
      <c r="E46" s="173" t="s">
        <v>252</v>
      </c>
      <c r="F46" s="173"/>
      <c r="G46" s="173"/>
      <c r="H46" s="173" t="s">
        <v>252</v>
      </c>
      <c r="I46" s="173"/>
      <c r="J46" s="1" t="s">
        <v>255</v>
      </c>
    </row>
    <row r="47" spans="1:13" ht="20.25" hidden="1" x14ac:dyDescent="0.25">
      <c r="A47" s="175" t="s">
        <v>170</v>
      </c>
      <c r="B47" s="175"/>
      <c r="C47" s="140" t="s">
        <v>96</v>
      </c>
      <c r="D47" s="140"/>
      <c r="E47" s="83"/>
      <c r="F47" s="83"/>
      <c r="G47" s="83"/>
      <c r="H47" s="83"/>
      <c r="I47" s="83"/>
    </row>
    <row r="48" spans="1:13" ht="20.25" x14ac:dyDescent="0.25">
      <c r="A48" s="80" t="s">
        <v>65</v>
      </c>
      <c r="B48" s="80"/>
      <c r="C48" s="80"/>
      <c r="D48" s="80"/>
      <c r="E48" s="80"/>
      <c r="F48" s="80"/>
      <c r="G48" s="80"/>
      <c r="H48" s="80"/>
      <c r="I48" s="80"/>
    </row>
    <row r="49" spans="1:11" ht="64.5" customHeight="1" x14ac:dyDescent="0.25">
      <c r="A49" s="16" t="s">
        <v>66</v>
      </c>
      <c r="B49" s="16" t="s">
        <v>4</v>
      </c>
      <c r="C49" s="74" t="s">
        <v>109</v>
      </c>
      <c r="D49" s="75"/>
      <c r="E49" s="75"/>
      <c r="F49" s="75"/>
      <c r="G49" s="75"/>
      <c r="H49" s="75"/>
      <c r="I49" s="76"/>
    </row>
    <row r="50" spans="1:11" ht="87.75" customHeight="1" x14ac:dyDescent="0.25">
      <c r="A50" s="16" t="s">
        <v>267</v>
      </c>
      <c r="B50" s="16" t="s">
        <v>4</v>
      </c>
      <c r="C50" s="83" t="s">
        <v>229</v>
      </c>
      <c r="D50" s="168"/>
      <c r="E50" s="168"/>
      <c r="F50" s="16" t="s">
        <v>67</v>
      </c>
      <c r="G50" s="16" t="s">
        <v>4</v>
      </c>
      <c r="H50" s="83" t="s">
        <v>226</v>
      </c>
      <c r="I50" s="83"/>
    </row>
    <row r="51" spans="1:11" ht="72" customHeight="1" x14ac:dyDescent="0.25">
      <c r="A51" s="16" t="s">
        <v>253</v>
      </c>
      <c r="B51" s="16" t="s">
        <v>4</v>
      </c>
      <c r="C51" s="83" t="s">
        <v>276</v>
      </c>
      <c r="D51" s="168"/>
      <c r="E51" s="168"/>
      <c r="F51" s="16" t="s">
        <v>67</v>
      </c>
      <c r="G51" s="16" t="s">
        <v>4</v>
      </c>
      <c r="H51" s="83" t="str">
        <f>C51</f>
        <v>P-9962/2022/(358/11) S Ward/ Bhandup - W/337/1/NEW
Date : 24/03/2025</v>
      </c>
      <c r="I51" s="83"/>
    </row>
    <row r="52" spans="1:11" ht="147" customHeight="1" x14ac:dyDescent="0.25">
      <c r="A52" s="16" t="s">
        <v>97</v>
      </c>
      <c r="B52" s="16" t="s">
        <v>4</v>
      </c>
      <c r="C52" s="74" t="s">
        <v>289</v>
      </c>
      <c r="D52" s="75"/>
      <c r="E52" s="75"/>
      <c r="F52" s="75"/>
      <c r="G52" s="75"/>
      <c r="H52" s="75"/>
      <c r="I52" s="76"/>
    </row>
    <row r="53" spans="1:11" ht="151.5" customHeight="1" x14ac:dyDescent="0.25">
      <c r="A53" s="70" t="s">
        <v>97</v>
      </c>
      <c r="B53" s="70" t="s">
        <v>4</v>
      </c>
      <c r="C53" s="74" t="s">
        <v>284</v>
      </c>
      <c r="D53" s="75"/>
      <c r="E53" s="75"/>
      <c r="F53" s="75"/>
      <c r="G53" s="75"/>
      <c r="H53" s="75"/>
      <c r="I53" s="76"/>
    </row>
    <row r="54" spans="1:11" ht="151.5" customHeight="1" x14ac:dyDescent="0.25">
      <c r="A54" s="16" t="s">
        <v>97</v>
      </c>
      <c r="B54" s="16" t="s">
        <v>4</v>
      </c>
      <c r="C54" s="74" t="s">
        <v>290</v>
      </c>
      <c r="D54" s="75"/>
      <c r="E54" s="75"/>
      <c r="F54" s="75"/>
      <c r="G54" s="75"/>
      <c r="H54" s="75"/>
      <c r="I54" s="76"/>
    </row>
    <row r="55" spans="1:11" ht="168" hidden="1" customHeight="1" x14ac:dyDescent="0.25">
      <c r="A55" s="16" t="s">
        <v>68</v>
      </c>
      <c r="B55" s="16" t="s">
        <v>4</v>
      </c>
      <c r="C55" s="83" t="s">
        <v>185</v>
      </c>
      <c r="D55" s="83"/>
      <c r="E55" s="83"/>
      <c r="F55" s="16" t="s">
        <v>69</v>
      </c>
      <c r="G55" s="16" t="s">
        <v>4</v>
      </c>
      <c r="H55" s="83" t="s">
        <v>185</v>
      </c>
      <c r="I55" s="83"/>
    </row>
    <row r="56" spans="1:11" ht="165" customHeight="1" x14ac:dyDescent="0.25">
      <c r="A56" s="16" t="s">
        <v>70</v>
      </c>
      <c r="B56" s="16" t="s">
        <v>4</v>
      </c>
      <c r="C56" s="83" t="s">
        <v>169</v>
      </c>
      <c r="D56" s="83"/>
      <c r="E56" s="83"/>
      <c r="F56" s="16" t="s">
        <v>207</v>
      </c>
      <c r="G56" s="16" t="s">
        <v>4</v>
      </c>
      <c r="H56" s="83" t="s">
        <v>270</v>
      </c>
      <c r="I56" s="83"/>
    </row>
    <row r="57" spans="1:11" ht="131.25" customHeight="1" thickBot="1" x14ac:dyDescent="0.3">
      <c r="A57" s="16" t="s">
        <v>268</v>
      </c>
      <c r="B57" s="16" t="s">
        <v>4</v>
      </c>
      <c r="C57" s="74" t="s">
        <v>269</v>
      </c>
      <c r="D57" s="75"/>
      <c r="E57" s="75"/>
      <c r="F57" s="75"/>
      <c r="G57" s="75"/>
      <c r="H57" s="75"/>
      <c r="I57" s="76"/>
    </row>
    <row r="58" spans="1:11" ht="20.25" customHeight="1" x14ac:dyDescent="0.3">
      <c r="A58" s="80" t="s">
        <v>71</v>
      </c>
      <c r="B58" s="80"/>
      <c r="C58" s="80"/>
      <c r="D58" s="80"/>
      <c r="E58" s="80"/>
      <c r="F58" s="80"/>
      <c r="G58" s="80"/>
      <c r="H58" s="80"/>
      <c r="I58" s="80"/>
      <c r="J58" s="32" t="str">
        <f ca="1">(IF(F62&gt;99%,"All work completed. Please provide OC.",IF(F62&gt;89.8%,"Plinth, RCC, Brick, Plaster, Flooring, Wooden, Plumbing, Electrification, etc., work Completed. Finishing work is in process.",IF(F62&lt;94%,(IF(C62=0,"Work not yet Started.",IF(E62=25%,"Piling work in process",IF(E62=50%,"Excavation work in process",IF(E62=100%,"Excavation work Completed. ","0")))&amp;(IF(C63=0%,"",IF(C63=K63,"Footing work is process",IF(C63=K64,"Footing work Completed",IF(C63=K65,"1st Basement Completed",IF(C63=K66,"1st &amp; 2nd Basement Completed",IF(C63=K67,"1st to 3rd Basement Completed",IF(C63=K68,"1st to 4th Basement Completed",IF(C63=K69,"Plinth work is process",IF(C63=K70,"Plinth work completed","0")))))))))))&amp;(IF(C64=(F60+H60+I60),", RCC Slab",IF(C64&gt;0,", RCC upto "&amp;C64&amp;" Slab",""))&amp;(IF(C65=I60,", Brickwork",IF(C65&gt;0,", Brickwork upto "&amp;C65&amp;" Floor",""))&amp;(IF(C66=I60,", Internal Plaster",IF(C66&gt;0,", Internal Plaster upto "&amp;C66&amp;" Floor",""))&amp;(IF(C67=I60,", External Plaster",IF(C67&gt;0,", External Plaster upto "&amp;C67&amp;" Floor",""))&amp;(IF(C68=I60,", External Plumbing, Elevation and Waterproofing",IF(C68&gt;0,", External Plumbing, Elevation and Waterproofing upto "&amp;C68&amp;" Floor",""))&amp;(IF(C69=I60,", Flooring &amp; Fitting",IF(C69&gt;0,", Flooring &amp; Fitting upto "&amp;C69&amp;" Floor",""))&amp;(IF(C70=I60,", Wooden Work",IF(C70&gt;0,", Wooden Work upto "&amp;C70&amp;" Floor",""))&amp;(IF(C71=I60,", Electrical &amp; Sanitary fittings",IF(C71&gt;0,", Electrical &amp; Sanitary fittings upto "&amp;C71&amp;" Floor",""))&amp;(IF(C72&gt;0,", Finishing upto "&amp;C72&amp;" Floor","")&amp;(IF(C64&gt;0.5," Completed",""))))))))))))))))</f>
        <v>Excavation work Completed. Plinth work completed, RCC upto 38 Slab, Brickwork upto 37 Floor, Internal Plaster upto 28.5 Floor, External Plaster upto 28.5 Floor, External Plumbing, Elevation and Waterproofing upto 10 Floor Completed</v>
      </c>
      <c r="K58" s="34"/>
    </row>
    <row r="59" spans="1:11" ht="20.25" x14ac:dyDescent="0.3">
      <c r="A59" s="104" t="s">
        <v>228</v>
      </c>
      <c r="B59" s="104"/>
      <c r="C59" s="104"/>
      <c r="D59" s="105" t="s">
        <v>4</v>
      </c>
      <c r="E59" s="54" t="s">
        <v>141</v>
      </c>
      <c r="F59" s="78" t="s">
        <v>127</v>
      </c>
      <c r="G59" s="78"/>
      <c r="H59" s="54" t="s">
        <v>142</v>
      </c>
      <c r="I59" s="54" t="s">
        <v>143</v>
      </c>
      <c r="J59" s="33" t="s">
        <v>147</v>
      </c>
      <c r="K59" s="34"/>
    </row>
    <row r="60" spans="1:11" ht="20.25" customHeight="1" x14ac:dyDescent="0.3">
      <c r="A60" s="104"/>
      <c r="B60" s="104"/>
      <c r="C60" s="104"/>
      <c r="D60" s="105"/>
      <c r="E60" s="54">
        <v>1</v>
      </c>
      <c r="F60" s="78">
        <v>1</v>
      </c>
      <c r="G60" s="78"/>
      <c r="H60" s="54">
        <v>0</v>
      </c>
      <c r="I60" s="54">
        <f ca="1">--TRIM(RIGHT(SUBSTITUTE(LEFT(A59,_xlfn.AGGREGATE(16,6,FIND({0,1,2,3,4,5,6,7,8,9},A59,ROW(INDIRECT("1:"&amp;LEN(A59)))),1))," ",REPT(" ",LEN(A59))),LEN(A59)))</f>
        <v>39</v>
      </c>
      <c r="J60" s="36" t="s">
        <v>156</v>
      </c>
      <c r="K60" s="35">
        <f ca="1">I60*25%</f>
        <v>9.75</v>
      </c>
    </row>
    <row r="61" spans="1:11" ht="20.25" customHeight="1" x14ac:dyDescent="0.3">
      <c r="A61" s="106" t="s">
        <v>145</v>
      </c>
      <c r="B61" s="106"/>
      <c r="C61" s="106" t="s">
        <v>154</v>
      </c>
      <c r="D61" s="106"/>
      <c r="E61" s="55" t="s">
        <v>155</v>
      </c>
      <c r="F61" s="106" t="s">
        <v>146</v>
      </c>
      <c r="G61" s="106"/>
      <c r="H61" s="43" t="s">
        <v>144</v>
      </c>
      <c r="I61" s="43"/>
      <c r="J61" s="36" t="s">
        <v>148</v>
      </c>
      <c r="K61" s="39">
        <f ca="1">I60*50%</f>
        <v>19.5</v>
      </c>
    </row>
    <row r="62" spans="1:11" ht="20.25" x14ac:dyDescent="0.3">
      <c r="A62" s="77" t="s">
        <v>157</v>
      </c>
      <c r="B62" s="77"/>
      <c r="C62" s="78">
        <f ca="1">K62</f>
        <v>39</v>
      </c>
      <c r="D62" s="78"/>
      <c r="E62" s="53">
        <f ca="1">((100/I60)*C62)/100</f>
        <v>1.0000000000000002</v>
      </c>
      <c r="F62" s="77">
        <f ca="1">(((C62/I60*5)+(C63/I60*20)+(25/(F60+H60+I60)*C64)+(5/(I60)*C65)+(2.5/(I60)*C66)+(2.5/(I60)*C67)+(5/I60*C68)+(10/I60*C69)+(2.5/I60*C70)+(2.5/I60*C71)+(10/I60*C72)+(10/I60*C73))/100)</f>
        <v>0.58429487179487183</v>
      </c>
      <c r="G62" s="77"/>
      <c r="H62" s="77" t="str">
        <f ca="1">J58</f>
        <v>Excavation work Completed. Plinth work completed, RCC upto 38 Slab, Brickwork upto 37 Floor, Internal Plaster upto 28.5 Floor, External Plaster upto 28.5 Floor, External Plumbing, Elevation and Waterproofing upto 10 Floor Completed</v>
      </c>
      <c r="I62" s="77"/>
      <c r="J62" s="36" t="s">
        <v>149</v>
      </c>
      <c r="K62" s="39">
        <f ca="1">I60</f>
        <v>39</v>
      </c>
    </row>
    <row r="63" spans="1:11" ht="21" customHeight="1" x14ac:dyDescent="0.35">
      <c r="A63" s="77" t="s">
        <v>128</v>
      </c>
      <c r="B63" s="77"/>
      <c r="C63" s="79">
        <v>39</v>
      </c>
      <c r="D63" s="78"/>
      <c r="E63" s="53">
        <f ca="1">((100/I60)*C63)/100</f>
        <v>1.0000000000000002</v>
      </c>
      <c r="F63" s="77"/>
      <c r="G63" s="77"/>
      <c r="H63" s="77"/>
      <c r="I63" s="77"/>
      <c r="J63" s="36" t="s">
        <v>150</v>
      </c>
      <c r="K63" s="40">
        <f ca="1">(IF(E60&gt;1,(I60/(E60+2)),I60/4))</f>
        <v>9.75</v>
      </c>
    </row>
    <row r="64" spans="1:11" ht="21" customHeight="1" x14ac:dyDescent="0.35">
      <c r="A64" s="77" t="s">
        <v>158</v>
      </c>
      <c r="B64" s="77"/>
      <c r="C64" s="78">
        <v>38</v>
      </c>
      <c r="D64" s="78"/>
      <c r="E64" s="53">
        <f ca="1">((100/(F60+H60+I60))*C64)/100</f>
        <v>0.95</v>
      </c>
      <c r="F64" s="77"/>
      <c r="G64" s="77"/>
      <c r="H64" s="77"/>
      <c r="I64" s="77"/>
      <c r="J64" s="36" t="s">
        <v>151</v>
      </c>
      <c r="K64" s="40">
        <f ca="1">(IF(E60&gt;1,(I60/(E60+2)+K63),I60/4+K63))</f>
        <v>19.5</v>
      </c>
    </row>
    <row r="65" spans="1:13" ht="21" customHeight="1" x14ac:dyDescent="0.35">
      <c r="A65" s="77" t="s">
        <v>159</v>
      </c>
      <c r="B65" s="77"/>
      <c r="C65" s="78">
        <f>C64-1</f>
        <v>37</v>
      </c>
      <c r="D65" s="78"/>
      <c r="E65" s="53">
        <f ca="1">((100/I60)*C65)/100</f>
        <v>0.94871794871794879</v>
      </c>
      <c r="F65" s="77"/>
      <c r="G65" s="77"/>
      <c r="H65" s="77"/>
      <c r="I65" s="77"/>
      <c r="J65" s="36" t="s">
        <v>161</v>
      </c>
      <c r="K65" s="40">
        <f>(IF(E60&gt;1,(I60/(E60+2)+K64),0))</f>
        <v>0</v>
      </c>
    </row>
    <row r="66" spans="1:13" ht="21" customHeight="1" x14ac:dyDescent="0.35">
      <c r="A66" s="100" t="s">
        <v>160</v>
      </c>
      <c r="B66" s="101"/>
      <c r="C66" s="79">
        <f>C64*0.75</f>
        <v>28.5</v>
      </c>
      <c r="D66" s="79"/>
      <c r="E66" s="53">
        <f ca="1">((100/I60)*C66)/100</f>
        <v>0.73076923076923084</v>
      </c>
      <c r="F66" s="77"/>
      <c r="G66" s="77"/>
      <c r="H66" s="77"/>
      <c r="I66" s="77"/>
      <c r="J66" s="36" t="s">
        <v>162</v>
      </c>
      <c r="K66" s="40">
        <f>(IF(E60&gt;2,(I60/(E60+2)+K65),0))</f>
        <v>0</v>
      </c>
    </row>
    <row r="67" spans="1:13" ht="21" x14ac:dyDescent="0.35">
      <c r="A67" s="100" t="s">
        <v>241</v>
      </c>
      <c r="B67" s="101"/>
      <c r="C67" s="79">
        <f>C66</f>
        <v>28.5</v>
      </c>
      <c r="D67" s="79"/>
      <c r="E67" s="53">
        <f ca="1">((100/I60)*C67)/100</f>
        <v>0.73076923076923084</v>
      </c>
      <c r="F67" s="77"/>
      <c r="G67" s="77"/>
      <c r="H67" s="77"/>
      <c r="I67" s="77"/>
      <c r="J67" s="36" t="s">
        <v>164</v>
      </c>
      <c r="K67" s="41">
        <f>(IF(E60&gt;3,(I60/(E60+2)+K66),0))</f>
        <v>0</v>
      </c>
    </row>
    <row r="68" spans="1:13" ht="70.5" customHeight="1" x14ac:dyDescent="0.35">
      <c r="A68" s="100" t="s">
        <v>242</v>
      </c>
      <c r="B68" s="101"/>
      <c r="C68" s="78">
        <v>10</v>
      </c>
      <c r="D68" s="78"/>
      <c r="E68" s="53">
        <f ca="1">((100/(I60))*C68)/100</f>
        <v>0.25641025641025644</v>
      </c>
      <c r="F68" s="77"/>
      <c r="G68" s="77"/>
      <c r="H68" s="77"/>
      <c r="I68" s="77"/>
      <c r="J68" s="36" t="s">
        <v>165</v>
      </c>
      <c r="K68" s="40">
        <f>(IF(E60&gt;4,(I60/(E60+2)+K67),0))</f>
        <v>0</v>
      </c>
    </row>
    <row r="69" spans="1:13" ht="21" customHeight="1" x14ac:dyDescent="0.35">
      <c r="A69" s="77" t="s">
        <v>163</v>
      </c>
      <c r="B69" s="77"/>
      <c r="C69" s="78">
        <v>0</v>
      </c>
      <c r="D69" s="78"/>
      <c r="E69" s="53">
        <f ca="1">((100/(I60))*C69)/100</f>
        <v>0</v>
      </c>
      <c r="F69" s="77"/>
      <c r="G69" s="77"/>
      <c r="H69" s="77"/>
      <c r="I69" s="77"/>
      <c r="J69" s="36" t="s">
        <v>152</v>
      </c>
      <c r="K69" s="40">
        <f ca="1">(IF(E60=1,(I60/(E60+3)+K64),IF(E60=0,(I60/4+K64),IF(E60&gt;1,0))))</f>
        <v>29.25</v>
      </c>
    </row>
    <row r="70" spans="1:13" ht="21.75" thickBot="1" x14ac:dyDescent="0.4">
      <c r="A70" s="77" t="s">
        <v>243</v>
      </c>
      <c r="B70" s="77"/>
      <c r="C70" s="78">
        <v>0</v>
      </c>
      <c r="D70" s="78"/>
      <c r="E70" s="53">
        <f ca="1">((100/I60)*C70)/100</f>
        <v>0</v>
      </c>
      <c r="F70" s="77"/>
      <c r="G70" s="77"/>
      <c r="H70" s="77"/>
      <c r="I70" s="77"/>
      <c r="J70" s="37" t="s">
        <v>153</v>
      </c>
      <c r="K70" s="42">
        <f ca="1">(IF(E60&gt;1.5,(I60/(E60+2)+K63+MAX(0,K64-K63)+MAX(0,K65-K64)+MAX(0,K66-K65)+MAX(0,K67-K66)+MAX(0,K68-K67)),IF(E60=1,(I60/(E60+3)+K69),IF(E60=0,I60/4+K69))))</f>
        <v>39</v>
      </c>
      <c r="M70" s="1" t="e">
        <f>(IF(D59&gt;1.5,(H59/(D59+2)+J63+MAX(0,J64-J63)+MAX(0,J65-J64)+MAX(0,J66-J65)+MAX(0,J67-J66)+MAX(0,J68-J67)),IF(D59=1,(H59/(D59+3)+J68),IF(D59=0,H59*0.3+J68))))</f>
        <v>#VALUE!</v>
      </c>
    </row>
    <row r="71" spans="1:13" ht="20.25" x14ac:dyDescent="0.25">
      <c r="A71" s="77" t="s">
        <v>244</v>
      </c>
      <c r="B71" s="77"/>
      <c r="C71" s="78">
        <v>0</v>
      </c>
      <c r="D71" s="78"/>
      <c r="E71" s="53">
        <f ca="1">((100/I60)*C71)/100</f>
        <v>0</v>
      </c>
      <c r="F71" s="77"/>
      <c r="G71" s="77"/>
      <c r="H71" s="77"/>
      <c r="I71" s="77"/>
    </row>
    <row r="72" spans="1:13" ht="20.25" x14ac:dyDescent="0.25">
      <c r="A72" s="77" t="s">
        <v>166</v>
      </c>
      <c r="B72" s="77"/>
      <c r="C72" s="78">
        <v>0</v>
      </c>
      <c r="D72" s="78"/>
      <c r="E72" s="53">
        <f ca="1">((100/(I60))*C72)/100</f>
        <v>0</v>
      </c>
      <c r="F72" s="77"/>
      <c r="G72" s="77"/>
      <c r="H72" s="77"/>
      <c r="I72" s="77"/>
    </row>
    <row r="73" spans="1:13" ht="21" thickBot="1" x14ac:dyDescent="0.3">
      <c r="A73" s="77" t="s">
        <v>167</v>
      </c>
      <c r="B73" s="77"/>
      <c r="C73" s="78">
        <v>0</v>
      </c>
      <c r="D73" s="78"/>
      <c r="E73" s="53">
        <f ca="1">((100/(I60))*C73)/100</f>
        <v>0</v>
      </c>
      <c r="F73" s="77"/>
      <c r="G73" s="77"/>
      <c r="H73" s="77"/>
      <c r="I73" s="77"/>
    </row>
    <row r="74" spans="1:13" ht="20.25" customHeight="1" x14ac:dyDescent="0.3">
      <c r="A74" s="80" t="s">
        <v>71</v>
      </c>
      <c r="B74" s="80"/>
      <c r="C74" s="80"/>
      <c r="D74" s="80"/>
      <c r="E74" s="80"/>
      <c r="F74" s="80"/>
      <c r="G74" s="80"/>
      <c r="H74" s="80"/>
      <c r="I74" s="80"/>
      <c r="J74" s="32" t="str">
        <f ca="1">(IF(F78&gt;99%,"All work completed. Please provide OC.",IF(F78&gt;89.8%,"Plinth, RCC, Brick, Plaster, Flooring, Wooden, Plumbing, Electrification, etc., work Completed. Finishing work is in process.",IF(F78&lt;94%,(IF(C78=0,"Work not yet Started.",IF(E78=25%,"Piling work in process",IF(E78=50%,"Excavation work in process",IF(E78=100%,"Excavation work Completed. ","0")))&amp;(IF(C79=0%,"",IF(C79=K79,"Footing work is process",IF(C79=K80,"Footing work Completed",IF(C79=K81,"1st Basement Completed",IF(C79=K82,"1st &amp; 2nd Basement Completed",IF(C79=K83,"1st to 3rd Basement Completed",IF(C79=K84,"1st to 4th Basement Completed",IF(C79=K85,"Plinth work is process",IF(C79=K86,"Plinth work completed","0")))))))))))&amp;(IF(C80=(F76+H76+I76),", RCC Slab",IF(C80&gt;0,", RCC upto "&amp;C80&amp;" Slab",""))&amp;(IF(C81=I76,", Brickwork",IF(C81&gt;0,", Brickwork upto "&amp;C81&amp;" Floor",""))&amp;(IF(C82=I76,", Internal Plaster",IF(C82&gt;0,", Internal Plaster upto "&amp;C82&amp;" Floor",""))&amp;(IF(C83=I76,", External Plaster",IF(C83&gt;0,", External Plaster upto "&amp;C83&amp;" Floor",""))&amp;(IF(C84=I76,", External Plumbing, Elevation and Waterproofing",IF(C84&gt;0,", External Plumbing, Elevation and Waterproofing upto "&amp;C84&amp;" Floor",""))&amp;(IF(C85=I76,", Flooring &amp; Fitting",IF(C85&gt;0,", Flooring &amp; Fitting upto "&amp;C85&amp;" Floor",""))&amp;(IF(C86=I76,", Wooden Work",IF(C86&gt;0,", Wooden Work upto "&amp;C86&amp;" Floor",""))&amp;(IF(C87=I76,", Electrical &amp; Sanitary fittings",IF(C87&gt;0,", Electrical &amp; Sanitary fittings upto "&amp;C87&amp;" Floor",""))&amp;(IF(C88&gt;0,", Finishing upto "&amp;C88&amp;" Floor","")&amp;(IF(C80&gt;0.5," Completed",""))))))))))))))))</f>
        <v>Excavation work Completed. Plinth work completed, RCC upto 2 Slab Completed</v>
      </c>
      <c r="K74" s="34"/>
    </row>
    <row r="75" spans="1:13" ht="20.25" x14ac:dyDescent="0.3">
      <c r="A75" s="104" t="s">
        <v>261</v>
      </c>
      <c r="B75" s="104"/>
      <c r="C75" s="104"/>
      <c r="D75" s="105" t="s">
        <v>4</v>
      </c>
      <c r="E75" s="54" t="s">
        <v>141</v>
      </c>
      <c r="F75" s="78" t="s">
        <v>127</v>
      </c>
      <c r="G75" s="78"/>
      <c r="H75" s="54" t="s">
        <v>142</v>
      </c>
      <c r="I75" s="54" t="s">
        <v>143</v>
      </c>
      <c r="J75" s="33" t="s">
        <v>147</v>
      </c>
      <c r="K75" s="34"/>
    </row>
    <row r="76" spans="1:13" ht="20.25" customHeight="1" x14ac:dyDescent="0.3">
      <c r="A76" s="104"/>
      <c r="B76" s="104"/>
      <c r="C76" s="104"/>
      <c r="D76" s="105"/>
      <c r="E76" s="54">
        <v>1</v>
      </c>
      <c r="F76" s="78">
        <v>1</v>
      </c>
      <c r="G76" s="78"/>
      <c r="H76" s="54">
        <v>0</v>
      </c>
      <c r="I76" s="54">
        <f ca="1">--TRIM(RIGHT(SUBSTITUTE(LEFT(A75,_xlfn.AGGREGATE(16,6,FIND({0,1,2,3,4,5,6,7,8,9},A75,ROW(INDIRECT("1:"&amp;LEN(A75)))),1))," ",REPT(" ",LEN(A75))),LEN(A75)))</f>
        <v>4</v>
      </c>
      <c r="J76" s="36" t="s">
        <v>156</v>
      </c>
      <c r="K76" s="35">
        <f ca="1">I76*25%</f>
        <v>1</v>
      </c>
    </row>
    <row r="77" spans="1:13" ht="20.25" customHeight="1" x14ac:dyDescent="0.3">
      <c r="A77" s="106" t="s">
        <v>145</v>
      </c>
      <c r="B77" s="106"/>
      <c r="C77" s="106" t="s">
        <v>154</v>
      </c>
      <c r="D77" s="106"/>
      <c r="E77" s="55" t="s">
        <v>155</v>
      </c>
      <c r="F77" s="106" t="s">
        <v>146</v>
      </c>
      <c r="G77" s="106"/>
      <c r="H77" s="43" t="s">
        <v>144</v>
      </c>
      <c r="I77" s="43"/>
      <c r="J77" s="36" t="s">
        <v>148</v>
      </c>
      <c r="K77" s="39">
        <f ca="1">I76*50%</f>
        <v>2</v>
      </c>
    </row>
    <row r="78" spans="1:13" ht="20.25" x14ac:dyDescent="0.3">
      <c r="A78" s="77" t="s">
        <v>157</v>
      </c>
      <c r="B78" s="77"/>
      <c r="C78" s="78">
        <f ca="1">K78</f>
        <v>4</v>
      </c>
      <c r="D78" s="78"/>
      <c r="E78" s="53">
        <f ca="1">((100/I76)*C78)/100</f>
        <v>1</v>
      </c>
      <c r="F78" s="77">
        <f ca="1">(((C78/I76*5)+(C79/I76*20)+(25/(F76+H76+I76)*C80)+(5/(I76)*C81)+(2.5/(I76)*C82)+(2.5/(I76)*C83)+(5/I76*C84)+(10/I76*C85)+(2.5/I76*C86)+(2.5/I76*C87)+(10/I76*C88)+(10/I76*C89))/100)</f>
        <v>0.35</v>
      </c>
      <c r="G78" s="77"/>
      <c r="H78" s="77" t="str">
        <f ca="1">J74</f>
        <v>Excavation work Completed. Plinth work completed, RCC upto 2 Slab Completed</v>
      </c>
      <c r="I78" s="77"/>
      <c r="J78" s="36" t="s">
        <v>149</v>
      </c>
      <c r="K78" s="39">
        <f ca="1">I76</f>
        <v>4</v>
      </c>
    </row>
    <row r="79" spans="1:13" ht="21" customHeight="1" x14ac:dyDescent="0.35">
      <c r="A79" s="77" t="s">
        <v>128</v>
      </c>
      <c r="B79" s="77"/>
      <c r="C79" s="79">
        <f ca="1">K86</f>
        <v>4</v>
      </c>
      <c r="D79" s="78"/>
      <c r="E79" s="53">
        <f ca="1">((100/I76)*C79)/100</f>
        <v>1</v>
      </c>
      <c r="F79" s="77"/>
      <c r="G79" s="77"/>
      <c r="H79" s="77"/>
      <c r="I79" s="77"/>
      <c r="J79" s="36" t="s">
        <v>150</v>
      </c>
      <c r="K79" s="40">
        <f ca="1">(IF(E76&gt;1,(I76/(E76+2)),I76/4))</f>
        <v>1</v>
      </c>
    </row>
    <row r="80" spans="1:13" ht="21" customHeight="1" x14ac:dyDescent="0.35">
      <c r="A80" s="77" t="s">
        <v>158</v>
      </c>
      <c r="B80" s="77"/>
      <c r="C80" s="78">
        <v>2</v>
      </c>
      <c r="D80" s="78"/>
      <c r="E80" s="53">
        <f ca="1">((100/(F76+H76+I76))*C80)/100</f>
        <v>0.4</v>
      </c>
      <c r="F80" s="77"/>
      <c r="G80" s="77"/>
      <c r="H80" s="77"/>
      <c r="I80" s="77"/>
      <c r="J80" s="36" t="s">
        <v>151</v>
      </c>
      <c r="K80" s="40">
        <f ca="1">(IF(E76&gt;1,(I76/(E76+2)+K79),I76/4+K79))</f>
        <v>2</v>
      </c>
    </row>
    <row r="81" spans="1:13" ht="21" customHeight="1" x14ac:dyDescent="0.35">
      <c r="A81" s="77" t="s">
        <v>159</v>
      </c>
      <c r="B81" s="77"/>
      <c r="C81" s="78">
        <v>0</v>
      </c>
      <c r="D81" s="78"/>
      <c r="E81" s="53">
        <f ca="1">((100/I76)*C81)/100</f>
        <v>0</v>
      </c>
      <c r="F81" s="77"/>
      <c r="G81" s="77"/>
      <c r="H81" s="77"/>
      <c r="I81" s="77"/>
      <c r="J81" s="36" t="s">
        <v>161</v>
      </c>
      <c r="K81" s="40">
        <f>(IF(E76&gt;1,(I76/(E76+2)+K80),0))</f>
        <v>0</v>
      </c>
    </row>
    <row r="82" spans="1:13" ht="21" customHeight="1" x14ac:dyDescent="0.35">
      <c r="A82" s="100" t="s">
        <v>160</v>
      </c>
      <c r="B82" s="101"/>
      <c r="C82" s="79">
        <f>C81*0.8</f>
        <v>0</v>
      </c>
      <c r="D82" s="79"/>
      <c r="E82" s="53">
        <f ca="1">((100/I76)*C82)/100</f>
        <v>0</v>
      </c>
      <c r="F82" s="77"/>
      <c r="G82" s="77"/>
      <c r="H82" s="77"/>
      <c r="I82" s="77"/>
      <c r="J82" s="36" t="s">
        <v>162</v>
      </c>
      <c r="K82" s="40">
        <f>(IF(E76&gt;2,(I76/(E76+2)+K81),0))</f>
        <v>0</v>
      </c>
    </row>
    <row r="83" spans="1:13" ht="21" x14ac:dyDescent="0.35">
      <c r="A83" s="100" t="s">
        <v>241</v>
      </c>
      <c r="B83" s="101"/>
      <c r="C83" s="79">
        <f>C82</f>
        <v>0</v>
      </c>
      <c r="D83" s="79"/>
      <c r="E83" s="53">
        <f ca="1">((100/I76)*C83)/100</f>
        <v>0</v>
      </c>
      <c r="F83" s="77"/>
      <c r="G83" s="77"/>
      <c r="H83" s="77"/>
      <c r="I83" s="77"/>
      <c r="J83" s="36" t="s">
        <v>164</v>
      </c>
      <c r="K83" s="41">
        <f>(IF(E76&gt;3,(I76/(E76+2)+K82),0))</f>
        <v>0</v>
      </c>
    </row>
    <row r="84" spans="1:13" ht="69.75" customHeight="1" x14ac:dyDescent="0.35">
      <c r="A84" s="100" t="s">
        <v>242</v>
      </c>
      <c r="B84" s="101"/>
      <c r="C84" s="78">
        <v>0</v>
      </c>
      <c r="D84" s="78"/>
      <c r="E84" s="53">
        <f ca="1">((100/(I76))*C84)/100</f>
        <v>0</v>
      </c>
      <c r="F84" s="77"/>
      <c r="G84" s="77"/>
      <c r="H84" s="77"/>
      <c r="I84" s="77"/>
      <c r="J84" s="36" t="s">
        <v>165</v>
      </c>
      <c r="K84" s="40">
        <f>(IF(E76&gt;4,(I76/(E76+2)+K83),0))</f>
        <v>0</v>
      </c>
    </row>
    <row r="85" spans="1:13" ht="21" customHeight="1" x14ac:dyDescent="0.35">
      <c r="A85" s="77" t="s">
        <v>163</v>
      </c>
      <c r="B85" s="77"/>
      <c r="C85" s="78">
        <v>0</v>
      </c>
      <c r="D85" s="78"/>
      <c r="E85" s="53">
        <f ca="1">((100/(I76))*C85)/100</f>
        <v>0</v>
      </c>
      <c r="F85" s="77"/>
      <c r="G85" s="77"/>
      <c r="H85" s="77"/>
      <c r="I85" s="77"/>
      <c r="J85" s="36" t="s">
        <v>152</v>
      </c>
      <c r="K85" s="40">
        <f ca="1">(IF(E76=1,(I76/(E76+3)+K80),IF(E76=0,(I76/4+K80),IF(E76&gt;1,0))))</f>
        <v>3</v>
      </c>
    </row>
    <row r="86" spans="1:13" ht="21.75" thickBot="1" x14ac:dyDescent="0.4">
      <c r="A86" s="77" t="s">
        <v>243</v>
      </c>
      <c r="B86" s="77"/>
      <c r="C86" s="78">
        <v>0</v>
      </c>
      <c r="D86" s="78"/>
      <c r="E86" s="53">
        <f ca="1">((100/I76)*C86)/100</f>
        <v>0</v>
      </c>
      <c r="F86" s="77"/>
      <c r="G86" s="77"/>
      <c r="H86" s="77"/>
      <c r="I86" s="77"/>
      <c r="J86" s="37" t="s">
        <v>153</v>
      </c>
      <c r="K86" s="42">
        <f ca="1">(IF(E76&gt;1.5,(I76/(E76+2)+K79+MAX(0,K80-K79)+MAX(0,K81-K80)+MAX(0,K82-K81)+MAX(0,K83-K82)+MAX(0,K84-K83)),IF(E76=1,(I76/(E76+3)+K85),IF(E76=0,I76/4+K85))))</f>
        <v>4</v>
      </c>
      <c r="M86" s="1" t="e">
        <f>(IF(D75&gt;1.5,(H75/(D75+2)+J79+MAX(0,J80-J79)+MAX(0,J81-J80)+MAX(0,J82-J81)+MAX(0,J83-J82)+MAX(0,J84-J83)),IF(D75=1,(H75/(D75+3)+J84),IF(D75=0,H75*0.3+J84))))</f>
        <v>#VALUE!</v>
      </c>
    </row>
    <row r="87" spans="1:13" ht="20.25" x14ac:dyDescent="0.25">
      <c r="A87" s="77" t="s">
        <v>244</v>
      </c>
      <c r="B87" s="77"/>
      <c r="C87" s="78">
        <v>0</v>
      </c>
      <c r="D87" s="78"/>
      <c r="E87" s="53">
        <f ca="1">((100/I76)*C87)/100</f>
        <v>0</v>
      </c>
      <c r="F87" s="77"/>
      <c r="G87" s="77"/>
      <c r="H87" s="77"/>
      <c r="I87" s="77"/>
    </row>
    <row r="88" spans="1:13" ht="20.25" x14ac:dyDescent="0.25">
      <c r="A88" s="77" t="s">
        <v>166</v>
      </c>
      <c r="B88" s="77"/>
      <c r="C88" s="78">
        <v>0</v>
      </c>
      <c r="D88" s="78"/>
      <c r="E88" s="53">
        <f ca="1">((100/(I76))*C88)/100</f>
        <v>0</v>
      </c>
      <c r="F88" s="77"/>
      <c r="G88" s="77"/>
      <c r="H88" s="77"/>
      <c r="I88" s="77"/>
    </row>
    <row r="89" spans="1:13" ht="20.25" x14ac:dyDescent="0.25">
      <c r="A89" s="77" t="s">
        <v>167</v>
      </c>
      <c r="B89" s="77"/>
      <c r="C89" s="78">
        <v>0</v>
      </c>
      <c r="D89" s="78"/>
      <c r="E89" s="53">
        <f ca="1">((100/(I76))*C89)/100</f>
        <v>0</v>
      </c>
      <c r="F89" s="77"/>
      <c r="G89" s="77"/>
      <c r="H89" s="77"/>
      <c r="I89" s="77"/>
    </row>
    <row r="90" spans="1:13" ht="20.25" x14ac:dyDescent="0.25">
      <c r="A90" s="131" t="s">
        <v>75</v>
      </c>
      <c r="B90" s="132"/>
      <c r="C90" s="132"/>
      <c r="D90" s="132"/>
      <c r="E90" s="132"/>
      <c r="F90" s="132"/>
      <c r="G90" s="132"/>
      <c r="H90" s="132"/>
      <c r="I90" s="133"/>
    </row>
    <row r="91" spans="1:13" ht="60.75" x14ac:dyDescent="0.25">
      <c r="A91" s="123" t="s">
        <v>76</v>
      </c>
      <c r="B91" s="123"/>
      <c r="C91" s="123"/>
      <c r="D91" s="3" t="s">
        <v>4</v>
      </c>
      <c r="E91" s="51" t="s">
        <v>133</v>
      </c>
      <c r="F91" s="19" t="s">
        <v>168</v>
      </c>
      <c r="G91" s="3" t="s">
        <v>4</v>
      </c>
      <c r="H91" s="168" t="s">
        <v>184</v>
      </c>
      <c r="I91" s="168"/>
    </row>
    <row r="92" spans="1:13" ht="26.25" customHeight="1" x14ac:dyDescent="0.25">
      <c r="A92" s="123" t="s">
        <v>180</v>
      </c>
      <c r="B92" s="123"/>
      <c r="C92" s="123"/>
      <c r="D92" s="2" t="s">
        <v>129</v>
      </c>
      <c r="E92" s="17" t="s">
        <v>237</v>
      </c>
      <c r="F92" s="19" t="s">
        <v>181</v>
      </c>
      <c r="G92" s="2" t="s">
        <v>4</v>
      </c>
      <c r="H92" s="83" t="s">
        <v>169</v>
      </c>
      <c r="I92" s="83"/>
    </row>
    <row r="93" spans="1:13" ht="26.25" customHeight="1" x14ac:dyDescent="0.25">
      <c r="A93" s="123" t="s">
        <v>281</v>
      </c>
      <c r="B93" s="123"/>
      <c r="C93" s="123"/>
      <c r="D93" s="2"/>
      <c r="E93" s="17" t="s">
        <v>283</v>
      </c>
      <c r="F93" s="19"/>
      <c r="G93" s="2"/>
      <c r="H93" s="62"/>
      <c r="I93" s="63"/>
    </row>
    <row r="94" spans="1:13" ht="26.25" hidden="1" customHeight="1" x14ac:dyDescent="0.25">
      <c r="A94" s="123" t="s">
        <v>281</v>
      </c>
      <c r="B94" s="123"/>
      <c r="C94" s="123"/>
      <c r="D94" s="2"/>
      <c r="E94" s="17"/>
      <c r="F94" s="19"/>
      <c r="G94" s="2"/>
      <c r="H94" s="62"/>
      <c r="I94" s="63"/>
    </row>
    <row r="95" spans="1:13" ht="20.25" x14ac:dyDescent="0.25">
      <c r="A95" s="170" t="s">
        <v>79</v>
      </c>
      <c r="B95" s="170"/>
      <c r="C95" s="170"/>
      <c r="D95" s="3" t="s">
        <v>4</v>
      </c>
      <c r="E95" s="17">
        <v>800000</v>
      </c>
      <c r="F95" s="3" t="s">
        <v>126</v>
      </c>
      <c r="G95" s="3" t="s">
        <v>4</v>
      </c>
      <c r="H95" s="171" t="s">
        <v>134</v>
      </c>
      <c r="I95" s="172"/>
    </row>
    <row r="96" spans="1:13" ht="20.25" hidden="1" x14ac:dyDescent="0.25">
      <c r="A96" s="87" t="s">
        <v>116</v>
      </c>
      <c r="B96" s="87"/>
      <c r="C96" s="87"/>
      <c r="D96" s="65" t="s">
        <v>4</v>
      </c>
      <c r="E96" s="64" t="s">
        <v>117</v>
      </c>
      <c r="F96" s="66" t="s">
        <v>118</v>
      </c>
      <c r="G96" s="65" t="s">
        <v>4</v>
      </c>
      <c r="H96" s="89" t="s">
        <v>98</v>
      </c>
      <c r="I96" s="89"/>
    </row>
    <row r="97" spans="1:151 16227:16384" ht="60.75" hidden="1" x14ac:dyDescent="0.25">
      <c r="A97" s="87" t="s">
        <v>119</v>
      </c>
      <c r="B97" s="87"/>
      <c r="C97" s="87"/>
      <c r="D97" s="65" t="s">
        <v>4</v>
      </c>
      <c r="E97" s="64" t="s">
        <v>120</v>
      </c>
      <c r="F97" s="66" t="s">
        <v>121</v>
      </c>
      <c r="G97" s="65" t="s">
        <v>4</v>
      </c>
      <c r="H97" s="89" t="s">
        <v>122</v>
      </c>
      <c r="I97" s="89"/>
    </row>
    <row r="98" spans="1:151 16227:16384" ht="20.25" hidden="1" x14ac:dyDescent="0.25">
      <c r="A98" s="87" t="s">
        <v>78</v>
      </c>
      <c r="B98" s="87"/>
      <c r="C98" s="87"/>
      <c r="D98" s="65" t="s">
        <v>4</v>
      </c>
      <c r="E98" s="64" t="s">
        <v>100</v>
      </c>
      <c r="F98" s="66" t="s">
        <v>77</v>
      </c>
      <c r="G98" s="65" t="s">
        <v>4</v>
      </c>
      <c r="H98" s="88" t="s">
        <v>100</v>
      </c>
      <c r="I98" s="73"/>
    </row>
    <row r="99" spans="1:151 16227:16384" ht="20.25" hidden="1" x14ac:dyDescent="0.25">
      <c r="A99" s="87" t="s">
        <v>123</v>
      </c>
      <c r="B99" s="87"/>
      <c r="C99" s="87"/>
      <c r="D99" s="65" t="s">
        <v>4</v>
      </c>
      <c r="E99" s="64" t="s">
        <v>99</v>
      </c>
      <c r="F99" s="66" t="s">
        <v>79</v>
      </c>
      <c r="G99" s="65" t="s">
        <v>4</v>
      </c>
      <c r="H99" s="89" t="s">
        <v>115</v>
      </c>
      <c r="I99" s="89"/>
    </row>
    <row r="100" spans="1:151 16227:16384" ht="18" hidden="1" customHeight="1" x14ac:dyDescent="0.25">
      <c r="A100" s="87" t="s">
        <v>124</v>
      </c>
      <c r="B100" s="87"/>
      <c r="C100" s="87"/>
      <c r="D100" s="65" t="s">
        <v>4</v>
      </c>
      <c r="E100" s="67" t="s">
        <v>108</v>
      </c>
      <c r="F100" s="66" t="s">
        <v>125</v>
      </c>
      <c r="G100" s="65" t="s">
        <v>4</v>
      </c>
      <c r="H100" s="169" t="s">
        <v>108</v>
      </c>
      <c r="I100" s="169"/>
    </row>
    <row r="101" spans="1:151 16227:16384" ht="20.25" hidden="1" x14ac:dyDescent="0.25">
      <c r="A101" s="170" t="s">
        <v>126</v>
      </c>
      <c r="B101" s="170"/>
      <c r="C101" s="170"/>
      <c r="D101" s="3" t="s">
        <v>4</v>
      </c>
      <c r="E101" s="10"/>
      <c r="F101" s="3" t="s">
        <v>126</v>
      </c>
      <c r="G101" s="3" t="s">
        <v>4</v>
      </c>
      <c r="H101" s="187" t="s">
        <v>108</v>
      </c>
      <c r="I101" s="188"/>
    </row>
    <row r="102" spans="1:151 16227:16384" ht="20.25" x14ac:dyDescent="0.25">
      <c r="A102" s="131" t="s">
        <v>74</v>
      </c>
      <c r="B102" s="132"/>
      <c r="C102" s="132"/>
      <c r="D102" s="132"/>
      <c r="E102" s="132"/>
      <c r="F102" s="132"/>
      <c r="G102" s="132"/>
      <c r="H102" s="132"/>
      <c r="I102" s="133"/>
    </row>
    <row r="103" spans="1:151 16227:16384" ht="20.25" x14ac:dyDescent="0.25">
      <c r="A103" s="94" t="s">
        <v>9</v>
      </c>
      <c r="B103" s="95"/>
      <c r="C103" s="95"/>
      <c r="D103" s="95"/>
      <c r="E103" s="95"/>
      <c r="F103" s="96"/>
      <c r="G103" s="2" t="s">
        <v>4</v>
      </c>
      <c r="H103" s="98">
        <f>58050/10.764</f>
        <v>5392.9765886287632</v>
      </c>
      <c r="I103" s="99"/>
    </row>
    <row r="104" spans="1:151 16227:16384" ht="20.25" x14ac:dyDescent="0.25">
      <c r="A104" s="94" t="s">
        <v>31</v>
      </c>
      <c r="B104" s="95"/>
      <c r="C104" s="95"/>
      <c r="D104" s="95"/>
      <c r="E104" s="95"/>
      <c r="F104" s="96"/>
      <c r="G104" s="2" t="s">
        <v>4</v>
      </c>
      <c r="H104" s="97">
        <f>142230/10.764</f>
        <v>13213.489409141584</v>
      </c>
      <c r="I104" s="97"/>
    </row>
    <row r="105" spans="1:151 16227:16384" ht="20.25" x14ac:dyDescent="0.25">
      <c r="A105" s="94" t="s">
        <v>135</v>
      </c>
      <c r="B105" s="95"/>
      <c r="C105" s="95"/>
      <c r="D105" s="95"/>
      <c r="E105" s="95"/>
      <c r="F105" s="96"/>
      <c r="G105" s="2" t="s">
        <v>4</v>
      </c>
      <c r="H105" s="97">
        <f>H103*0.8</f>
        <v>4314.3812709030108</v>
      </c>
      <c r="I105" s="97"/>
    </row>
    <row r="106" spans="1:151 16227:16384" s="11" customFormat="1" ht="20.25" x14ac:dyDescent="0.25">
      <c r="A106" s="155" t="s">
        <v>83</v>
      </c>
      <c r="B106" s="156"/>
      <c r="C106" s="156"/>
      <c r="D106" s="156"/>
      <c r="E106" s="156"/>
      <c r="F106" s="156"/>
      <c r="G106" s="156"/>
      <c r="H106" s="156"/>
      <c r="I106" s="157"/>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1" customFormat="1" ht="41.25" customHeight="1" x14ac:dyDescent="0.25">
      <c r="A107" s="90" t="s">
        <v>177</v>
      </c>
      <c r="B107" s="91"/>
      <c r="C107" s="90" t="s">
        <v>178</v>
      </c>
      <c r="D107" s="91"/>
      <c r="E107" s="45" t="s">
        <v>179</v>
      </c>
      <c r="F107" s="90" t="s">
        <v>176</v>
      </c>
      <c r="G107" s="91"/>
      <c r="H107" s="90" t="s">
        <v>175</v>
      </c>
      <c r="I107" s="9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1" customFormat="1" ht="20.25" x14ac:dyDescent="0.25">
      <c r="A108" s="111" t="s">
        <v>225</v>
      </c>
      <c r="B108" s="112"/>
      <c r="C108" s="92" t="s">
        <v>96</v>
      </c>
      <c r="D108" s="93"/>
      <c r="E108" s="46" t="s">
        <v>201</v>
      </c>
      <c r="F108" s="92">
        <f>COUNT(F119:G126)+COUNT(F128:G133)</f>
        <v>14</v>
      </c>
      <c r="G108" s="93"/>
      <c r="H108" s="92">
        <f>SUM(F119:G126)+SUM(F128:G133)</f>
        <v>3534.4293659999998</v>
      </c>
      <c r="I108" s="9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ht="20.25" x14ac:dyDescent="0.25">
      <c r="A109" s="115"/>
      <c r="B109" s="116"/>
      <c r="C109" s="92" t="s">
        <v>96</v>
      </c>
      <c r="D109" s="93"/>
      <c r="E109" s="46" t="s">
        <v>277</v>
      </c>
      <c r="F109" s="92">
        <f>COUNT(F139:G142)+COUNT(F148:G151)*2+COUNT(F157:G160)+COUNT(F162:G169)*20+COUNT(F171:G174,F177:G178)*3+COUNT(F180:G183,F186:G187)+COUNT(F189:G196)*9+COUNT(F198:G201,F203:G205)</f>
        <v>279</v>
      </c>
      <c r="G109" s="93"/>
      <c r="H109" s="92">
        <f>SUM(F139:G142)+SUM(F148:G151)*2+SUM(F157:G160)+SUM(F162:G169)*20+SUM(F171:G174,F177:G178)*3+SUM(F180:G183,F186:G187)+SUM(F189:G196)*9+SUM(F198:G201,F203:G205)</f>
        <v>140504.32188</v>
      </c>
      <c r="I109" s="93"/>
    </row>
    <row r="110" spans="1:151 16227:16384" s="11" customFormat="1" ht="20.25" x14ac:dyDescent="0.25">
      <c r="A110" s="111" t="s">
        <v>251</v>
      </c>
      <c r="B110" s="112"/>
      <c r="C110" s="92" t="s">
        <v>96</v>
      </c>
      <c r="D110" s="93"/>
      <c r="E110" s="46" t="s">
        <v>201</v>
      </c>
      <c r="F110" s="92">
        <f>COUNT(F210:G220)</f>
        <v>11</v>
      </c>
      <c r="G110" s="93"/>
      <c r="H110" s="92">
        <f>SUM(I210:I220)</f>
        <v>5387.145192</v>
      </c>
      <c r="I110" s="9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ht="20.25" x14ac:dyDescent="0.25">
      <c r="A111" s="115"/>
      <c r="B111" s="116"/>
      <c r="C111" s="92" t="s">
        <v>96</v>
      </c>
      <c r="D111" s="93"/>
      <c r="E111" s="46" t="s">
        <v>275</v>
      </c>
      <c r="F111" s="92">
        <f>COUNT(I222:I232)*4</f>
        <v>44</v>
      </c>
      <c r="G111" s="93"/>
      <c r="H111" s="92">
        <f>SUM(I222:I232)*4</f>
        <v>19759.530772799997</v>
      </c>
      <c r="I111" s="93"/>
    </row>
    <row r="112" spans="1:151 16227:16384" ht="20.25" x14ac:dyDescent="0.25">
      <c r="A112" s="68" t="s">
        <v>280</v>
      </c>
      <c r="B112" s="69"/>
      <c r="C112" s="90" t="s">
        <v>108</v>
      </c>
      <c r="D112" s="91"/>
      <c r="E112" s="45" t="s">
        <v>108</v>
      </c>
      <c r="F112" s="90">
        <f t="shared" ref="F112:H112" si="0">SUM(F108:G111)</f>
        <v>348</v>
      </c>
      <c r="G112" s="91"/>
      <c r="H112" s="90">
        <f t="shared" si="0"/>
        <v>169185.4272108</v>
      </c>
      <c r="I112" s="91"/>
    </row>
    <row r="113" spans="1:151 16227:16384" ht="20.25" x14ac:dyDescent="0.25">
      <c r="A113" s="161" t="s">
        <v>174</v>
      </c>
      <c r="B113" s="162"/>
      <c r="C113" s="162"/>
      <c r="D113" s="162"/>
      <c r="E113" s="162"/>
      <c r="F113" s="162"/>
      <c r="G113" s="162"/>
      <c r="H113" s="162"/>
      <c r="I113" s="157"/>
    </row>
    <row r="114" spans="1:151 16227:16384" s="11" customFormat="1" ht="40.5" x14ac:dyDescent="0.25">
      <c r="A114" s="84" t="s">
        <v>103</v>
      </c>
      <c r="B114" s="85"/>
      <c r="C114" s="86" t="s">
        <v>101</v>
      </c>
      <c r="D114" s="86"/>
      <c r="E114" s="50" t="s">
        <v>102</v>
      </c>
      <c r="F114" s="86" t="s">
        <v>240</v>
      </c>
      <c r="G114" s="86"/>
      <c r="H114" s="52" t="s">
        <v>238</v>
      </c>
      <c r="I114" s="52" t="s">
        <v>239</v>
      </c>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x14ac:dyDescent="0.25">
      <c r="A115" s="165" t="s">
        <v>264</v>
      </c>
      <c r="B115" s="166"/>
      <c r="C115" s="166"/>
      <c r="D115" s="166"/>
      <c r="E115" s="166"/>
      <c r="F115" s="166"/>
      <c r="G115" s="166"/>
      <c r="H115" s="166"/>
      <c r="I115" s="167"/>
      <c r="J115" s="1"/>
      <c r="K115" s="18">
        <v>10.763999999999999</v>
      </c>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x14ac:dyDescent="0.25">
      <c r="A116" s="107" t="s">
        <v>225</v>
      </c>
      <c r="B116" s="108"/>
      <c r="C116" s="108"/>
      <c r="D116" s="108"/>
      <c r="E116" s="108"/>
      <c r="F116" s="108"/>
      <c r="G116" s="108"/>
      <c r="H116" s="108"/>
      <c r="I116" s="109"/>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x14ac:dyDescent="0.25">
      <c r="A117" s="107" t="s">
        <v>200</v>
      </c>
      <c r="B117" s="108"/>
      <c r="C117" s="108"/>
      <c r="D117" s="108"/>
      <c r="E117" s="108"/>
      <c r="F117" s="108"/>
      <c r="G117" s="108"/>
      <c r="H117" s="108"/>
      <c r="I117" s="109"/>
      <c r="J117" s="1"/>
      <c r="K117" s="1"/>
      <c r="L117" s="1"/>
      <c r="M117" s="102">
        <f>10.764</f>
        <v>10.763999999999999</v>
      </c>
      <c r="N117" s="103"/>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customHeight="1" x14ac:dyDescent="0.25">
      <c r="A118" s="107" t="s">
        <v>230</v>
      </c>
      <c r="B118" s="108"/>
      <c r="C118" s="108"/>
      <c r="D118" s="108"/>
      <c r="E118" s="108"/>
      <c r="F118" s="108"/>
      <c r="G118" s="108"/>
      <c r="H118" s="108"/>
      <c r="I118" s="109"/>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customHeight="1" x14ac:dyDescent="0.25">
      <c r="A119" s="111" t="str">
        <f>A118</f>
        <v>Ground Floor For Part Commercial &amp; Meter Room &amp; Parking</v>
      </c>
      <c r="B119" s="112"/>
      <c r="C119" s="110">
        <v>9</v>
      </c>
      <c r="D119" s="110"/>
      <c r="E119" s="18" t="s">
        <v>201</v>
      </c>
      <c r="F119" s="102">
        <f>(2.89*6.03+0.15*0.62+1.8*1.13)*(10.764)</f>
        <v>210.47602679999997</v>
      </c>
      <c r="G119" s="103"/>
      <c r="H119" s="18">
        <v>0</v>
      </c>
      <c r="I119" s="18">
        <f>F119+H119</f>
        <v>210.47602679999997</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customHeight="1" x14ac:dyDescent="0.25">
      <c r="A120" s="113"/>
      <c r="B120" s="114"/>
      <c r="C120" s="110">
        <f>C119+1</f>
        <v>10</v>
      </c>
      <c r="D120" s="110"/>
      <c r="E120" s="18" t="s">
        <v>201</v>
      </c>
      <c r="F120" s="102">
        <f>(2.99*6.1+0.13*2.45+0.2*2.45+2.13*1.05)*(10.764)</f>
        <v>229.10097599999997</v>
      </c>
      <c r="G120" s="103"/>
      <c r="H120" s="18">
        <v>0</v>
      </c>
      <c r="I120" s="18">
        <f>F120+H120</f>
        <v>229.10097599999997</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customHeight="1" x14ac:dyDescent="0.25">
      <c r="A121" s="113"/>
      <c r="B121" s="114"/>
      <c r="C121" s="110">
        <f t="shared" ref="C121:C126" si="1">C120+1</f>
        <v>11</v>
      </c>
      <c r="D121" s="110"/>
      <c r="E121" s="18" t="s">
        <v>201</v>
      </c>
      <c r="F121" s="102">
        <f>(3.11*4.7+1.96*2.55+1.05*1.8)*(10.764)</f>
        <v>231.47981999999996</v>
      </c>
      <c r="G121" s="103"/>
      <c r="H121" s="18">
        <v>0</v>
      </c>
      <c r="I121" s="18">
        <f t="shared" ref="I121:I133" si="2">F121+H121</f>
        <v>231.47981999999996</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customHeight="1" x14ac:dyDescent="0.25">
      <c r="A122" s="113"/>
      <c r="B122" s="114"/>
      <c r="C122" s="110">
        <f t="shared" si="1"/>
        <v>12</v>
      </c>
      <c r="D122" s="110"/>
      <c r="E122" s="18" t="s">
        <v>201</v>
      </c>
      <c r="F122" s="102">
        <f>(2.7*4.7+0.23*2.87+1.78*2.55+1.05*1.8)*(10.764)</f>
        <v>212.90223239999997</v>
      </c>
      <c r="G122" s="103"/>
      <c r="H122" s="18">
        <v>0</v>
      </c>
      <c r="I122" s="18">
        <f t="shared" si="2"/>
        <v>212.90223239999997</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customHeight="1" x14ac:dyDescent="0.25">
      <c r="A123" s="113"/>
      <c r="B123" s="114"/>
      <c r="C123" s="110">
        <f t="shared" si="1"/>
        <v>13</v>
      </c>
      <c r="D123" s="110"/>
      <c r="E123" s="18" t="s">
        <v>201</v>
      </c>
      <c r="F123" s="102">
        <f>(3.04*4.7+0.15*1.25+1.52*0.75+2.04*1.8+1.05*1.8)*(10.764)</f>
        <v>227.95461</v>
      </c>
      <c r="G123" s="103"/>
      <c r="H123" s="18">
        <v>0</v>
      </c>
      <c r="I123" s="18">
        <f t="shared" si="2"/>
        <v>227.95461</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customHeight="1" x14ac:dyDescent="0.25">
      <c r="A124" s="113"/>
      <c r="B124" s="114"/>
      <c r="C124" s="110">
        <f t="shared" si="1"/>
        <v>14</v>
      </c>
      <c r="D124" s="110"/>
      <c r="E124" s="18" t="s">
        <v>201</v>
      </c>
      <c r="F124" s="102">
        <f>(3.04*2.83+1.37*0.62+1.67*1.25+1.5*7.25+0.53*1.8+1.05*1.8)*(10.764)</f>
        <v>271.88895240000005</v>
      </c>
      <c r="G124" s="103"/>
      <c r="H124" s="18">
        <v>0</v>
      </c>
      <c r="I124" s="18">
        <f t="shared" si="2"/>
        <v>271.88895240000005</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customHeight="1" x14ac:dyDescent="0.25">
      <c r="A125" s="113"/>
      <c r="B125" s="114"/>
      <c r="C125" s="110">
        <f t="shared" si="1"/>
        <v>15</v>
      </c>
      <c r="D125" s="110"/>
      <c r="E125" s="18" t="s">
        <v>201</v>
      </c>
      <c r="F125" s="102">
        <f>(2.99*6.1+0.2*2.45+0.13*2.45+2.13*1.05)*(10.764)</f>
        <v>229.10097599999997</v>
      </c>
      <c r="G125" s="103"/>
      <c r="H125" s="18">
        <v>0</v>
      </c>
      <c r="I125" s="18">
        <f t="shared" si="2"/>
        <v>229.10097599999997</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x14ac:dyDescent="0.25">
      <c r="A126" s="115"/>
      <c r="B126" s="116"/>
      <c r="C126" s="110">
        <f t="shared" si="1"/>
        <v>16</v>
      </c>
      <c r="D126" s="110"/>
      <c r="E126" s="18" t="s">
        <v>201</v>
      </c>
      <c r="F126" s="102">
        <f>(2.89*6.03+0.12*0.68+1.8*1.12)*(10.764)</f>
        <v>210.15956520000003</v>
      </c>
      <c r="G126" s="103"/>
      <c r="H126" s="18">
        <v>0</v>
      </c>
      <c r="I126" s="18">
        <f t="shared" si="2"/>
        <v>210.15956520000003</v>
      </c>
      <c r="J126" s="1"/>
      <c r="K126" s="1">
        <v>1</v>
      </c>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x14ac:dyDescent="0.25">
      <c r="A127" s="107" t="s">
        <v>202</v>
      </c>
      <c r="B127" s="108"/>
      <c r="C127" s="108"/>
      <c r="D127" s="108"/>
      <c r="E127" s="108"/>
      <c r="F127" s="108"/>
      <c r="G127" s="108"/>
      <c r="H127" s="108"/>
      <c r="I127" s="109"/>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x14ac:dyDescent="0.25">
      <c r="A128" s="111" t="str">
        <f>A127</f>
        <v>1st Podium Floor Part Commercial &amp; Meter Room, LV Room &amp; Panel Room</v>
      </c>
      <c r="B128" s="112"/>
      <c r="C128" s="110">
        <v>7</v>
      </c>
      <c r="D128" s="110"/>
      <c r="E128" s="18" t="s">
        <v>201</v>
      </c>
      <c r="F128" s="102">
        <f>(3.04*6.15+3.04*6.1+0.5*0.68+0.15*2.5+0.2*2.5+2.13*1.1+0.95*1.8+1.8*1.05)*(10.764)</f>
        <v>477.90007200000002</v>
      </c>
      <c r="G128" s="103"/>
      <c r="H128" s="18">
        <v>0</v>
      </c>
      <c r="I128" s="18">
        <f t="shared" si="2"/>
        <v>477.90007200000002</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x14ac:dyDescent="0.25">
      <c r="A129" s="113"/>
      <c r="B129" s="114"/>
      <c r="C129" s="110">
        <f>C128+1</f>
        <v>8</v>
      </c>
      <c r="D129" s="110"/>
      <c r="E129" s="18" t="s">
        <v>201</v>
      </c>
      <c r="F129" s="102">
        <f>(3.1*3.22+1.95*2.08+1.05*1.38)*(10.764)</f>
        <v>166.702068</v>
      </c>
      <c r="G129" s="103"/>
      <c r="H129" s="18">
        <v>0</v>
      </c>
      <c r="I129" s="18">
        <f t="shared" si="2"/>
        <v>166.702068</v>
      </c>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customHeight="1" x14ac:dyDescent="0.25">
      <c r="A130" s="113"/>
      <c r="B130" s="114"/>
      <c r="C130" s="110">
        <f t="shared" ref="C130:C133" si="3">C129+1</f>
        <v>9</v>
      </c>
      <c r="D130" s="110"/>
      <c r="E130" s="18" t="s">
        <v>201</v>
      </c>
      <c r="F130" s="102">
        <f>(2.7*3.22+1.78*2.08+0.23*1.4+1.05*1.38)*(10.764)</f>
        <v>152.4978936</v>
      </c>
      <c r="G130" s="103"/>
      <c r="H130" s="18">
        <v>0</v>
      </c>
      <c r="I130" s="18">
        <f t="shared" si="2"/>
        <v>152.4978936</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customHeight="1" x14ac:dyDescent="0.25">
      <c r="A131" s="113"/>
      <c r="B131" s="114"/>
      <c r="C131" s="110">
        <f t="shared" si="3"/>
        <v>10</v>
      </c>
      <c r="D131" s="110"/>
      <c r="E131" s="18" t="s">
        <v>201</v>
      </c>
      <c r="F131" s="102">
        <f>(3.09*3.22+1.67*2.08+1.42*1.37)*(10.764)</f>
        <v>165.42976319999997</v>
      </c>
      <c r="G131" s="103"/>
      <c r="H131" s="18">
        <v>0</v>
      </c>
      <c r="I131" s="18">
        <f t="shared" si="2"/>
        <v>165.42976319999997</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customHeight="1" x14ac:dyDescent="0.25">
      <c r="A132" s="113"/>
      <c r="B132" s="114"/>
      <c r="C132" s="110">
        <f t="shared" si="3"/>
        <v>11</v>
      </c>
      <c r="D132" s="110"/>
      <c r="E132" s="18" t="s">
        <v>201</v>
      </c>
      <c r="F132" s="102">
        <f>(3.09*2.83+0.15*1.24+1.42*1.87+1.5*4.14+0.1*0.69+1.5*1.05)*(10.764)</f>
        <v>209.25323639999996</v>
      </c>
      <c r="G132" s="103"/>
      <c r="H132" s="18">
        <v>0</v>
      </c>
      <c r="I132" s="18">
        <f t="shared" si="2"/>
        <v>209.25323639999996</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x14ac:dyDescent="0.25">
      <c r="A133" s="115"/>
      <c r="B133" s="116"/>
      <c r="C133" s="110">
        <f t="shared" si="3"/>
        <v>12</v>
      </c>
      <c r="D133" s="110"/>
      <c r="E133" s="18" t="s">
        <v>201</v>
      </c>
      <c r="F133" s="102">
        <f>(3.04*3.65+2.97*2.45+3.46*2.5+3.04*3.65+2.11*1.1+3.65*2.1+0.2*0.67+1.8*1.05)*(10.764)</f>
        <v>539.58317399999987</v>
      </c>
      <c r="G133" s="103"/>
      <c r="H133" s="18">
        <v>0</v>
      </c>
      <c r="I133" s="18">
        <f t="shared" si="2"/>
        <v>539.58317399999987</v>
      </c>
      <c r="J133" s="1"/>
      <c r="K133" s="1">
        <v>1</v>
      </c>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customHeight="1" x14ac:dyDescent="0.25">
      <c r="A134" s="107" t="s">
        <v>221</v>
      </c>
      <c r="B134" s="108"/>
      <c r="C134" s="108"/>
      <c r="D134" s="108"/>
      <c r="E134" s="108"/>
      <c r="F134" s="108"/>
      <c r="G134" s="108"/>
      <c r="H134" s="108"/>
      <c r="I134" s="109"/>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x14ac:dyDescent="0.25">
      <c r="A135" s="111" t="str">
        <f>A134</f>
        <v>2nd Podium Floor For Residential, Parking &amp; Meter Room</v>
      </c>
      <c r="B135" s="112"/>
      <c r="C135" s="110">
        <v>1</v>
      </c>
      <c r="D135" s="110"/>
      <c r="E135" s="111" t="s">
        <v>220</v>
      </c>
      <c r="F135" s="120"/>
      <c r="G135" s="120"/>
      <c r="H135" s="120"/>
      <c r="I135" s="112"/>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x14ac:dyDescent="0.25">
      <c r="A136" s="113"/>
      <c r="B136" s="114"/>
      <c r="C136" s="110">
        <f>C135+1</f>
        <v>2</v>
      </c>
      <c r="D136" s="110"/>
      <c r="E136" s="113"/>
      <c r="F136" s="121"/>
      <c r="G136" s="121"/>
      <c r="H136" s="121"/>
      <c r="I136" s="114"/>
      <c r="J136" s="1"/>
      <c r="K136" s="1"/>
      <c r="L136" s="1"/>
      <c r="M136" s="1">
        <f>9200000/400</f>
        <v>23000</v>
      </c>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customHeight="1" x14ac:dyDescent="0.25">
      <c r="A137" s="113"/>
      <c r="B137" s="114"/>
      <c r="C137" s="110">
        <f t="shared" ref="C137:C138" si="4">C136+1</f>
        <v>3</v>
      </c>
      <c r="D137" s="110"/>
      <c r="E137" s="113"/>
      <c r="F137" s="121"/>
      <c r="G137" s="121"/>
      <c r="H137" s="121"/>
      <c r="I137" s="114"/>
      <c r="J137" s="1"/>
      <c r="K137" s="1"/>
      <c r="L137" s="1"/>
      <c r="M137" s="1">
        <f>M136/1.6</f>
        <v>14375</v>
      </c>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25">
      <c r="A138" s="113"/>
      <c r="B138" s="114"/>
      <c r="C138" s="110">
        <f t="shared" si="4"/>
        <v>4</v>
      </c>
      <c r="D138" s="110"/>
      <c r="E138" s="115"/>
      <c r="F138" s="122"/>
      <c r="G138" s="122"/>
      <c r="H138" s="122"/>
      <c r="I138" s="116"/>
      <c r="J138" s="1"/>
      <c r="K138" s="1">
        <f>3.04*5.47+3.04*3.35+3.04*3.8+2.12*1.38+1.98*1.38+1.58*0.2+2.18*2.42+3.44*0.98</f>
        <v>52.985600000000005</v>
      </c>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25">
      <c r="A139" s="113"/>
      <c r="B139" s="114"/>
      <c r="C139" s="110">
        <v>5</v>
      </c>
      <c r="D139" s="110"/>
      <c r="E139" s="18" t="s">
        <v>203</v>
      </c>
      <c r="F139" s="102">
        <f>55.94*(10.764)</f>
        <v>602.13815999999997</v>
      </c>
      <c r="G139" s="103"/>
      <c r="H139" s="18">
        <v>0</v>
      </c>
      <c r="I139" s="18">
        <f>F139+H139</f>
        <v>602.13815999999997</v>
      </c>
      <c r="J139" s="1">
        <f>8900000/F140</f>
        <v>22226.617598286604</v>
      </c>
      <c r="K139" s="1">
        <f>3.04*5.47+2.43*1.82+3.09*2.75+1.5*1.83+0.1*0.6+1.49*0.6+1.39*1.88+0.05*0.45</f>
        <v>35.883599999999994</v>
      </c>
      <c r="L139" s="1"/>
      <c r="M139" s="1">
        <f>9200000/F141</f>
        <v>22975.829427442332</v>
      </c>
      <c r="N139" s="1"/>
      <c r="O139" s="1">
        <f>15500*1.55</f>
        <v>24025</v>
      </c>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customHeight="1" x14ac:dyDescent="0.25">
      <c r="A140" s="113"/>
      <c r="B140" s="114"/>
      <c r="C140" s="110">
        <f>C139+1</f>
        <v>6</v>
      </c>
      <c r="D140" s="110"/>
      <c r="E140" s="18" t="s">
        <v>204</v>
      </c>
      <c r="F140" s="102">
        <f>37.2*(10.764)</f>
        <v>400.42079999999999</v>
      </c>
      <c r="G140" s="103"/>
      <c r="H140" s="18">
        <v>0</v>
      </c>
      <c r="I140" s="18">
        <f t="shared" ref="I140:I142" si="5">F140+H140</f>
        <v>400.42079999999999</v>
      </c>
      <c r="J140" s="1"/>
      <c r="K140" s="1"/>
      <c r="L140" s="1"/>
      <c r="M140" s="1"/>
      <c r="N140" s="1"/>
      <c r="O140" s="1">
        <f>15500*1.55</f>
        <v>24025</v>
      </c>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customHeight="1" x14ac:dyDescent="0.25">
      <c r="A141" s="113"/>
      <c r="B141" s="114"/>
      <c r="C141" s="110">
        <f t="shared" ref="C141:C142" si="6">C140+1</f>
        <v>7</v>
      </c>
      <c r="D141" s="110"/>
      <c r="E141" s="18" t="s">
        <v>204</v>
      </c>
      <c r="F141" s="102">
        <f>37.2*(10.764)</f>
        <v>400.42079999999999</v>
      </c>
      <c r="G141" s="103"/>
      <c r="H141" s="18">
        <v>0</v>
      </c>
      <c r="I141" s="18">
        <f t="shared" si="5"/>
        <v>400.42079999999999</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25">
      <c r="A142" s="115"/>
      <c r="B142" s="116"/>
      <c r="C142" s="110">
        <f t="shared" si="6"/>
        <v>8</v>
      </c>
      <c r="D142" s="110"/>
      <c r="E142" s="18" t="s">
        <v>203</v>
      </c>
      <c r="F142" s="102">
        <f>55.94*(10.764)</f>
        <v>602.13815999999997</v>
      </c>
      <c r="G142" s="103"/>
      <c r="H142" s="18">
        <v>0</v>
      </c>
      <c r="I142" s="18">
        <f t="shared" si="5"/>
        <v>602.13815999999997</v>
      </c>
      <c r="J142" s="1"/>
      <c r="K142" s="1">
        <v>2</v>
      </c>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customHeight="1" x14ac:dyDescent="0.25">
      <c r="A143" s="107" t="s">
        <v>208</v>
      </c>
      <c r="B143" s="108"/>
      <c r="C143" s="108"/>
      <c r="D143" s="108"/>
      <c r="E143" s="108"/>
      <c r="F143" s="108"/>
      <c r="G143" s="108"/>
      <c r="H143" s="108"/>
      <c r="I143" s="109"/>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x14ac:dyDescent="0.25">
      <c r="A144" s="111" t="str">
        <f>A143</f>
        <v>3rd &amp; 4th Podium Floor For Part Residential &amp; Part Parking</v>
      </c>
      <c r="B144" s="112"/>
      <c r="C144" s="110">
        <v>1</v>
      </c>
      <c r="D144" s="110"/>
      <c r="E144" s="111" t="s">
        <v>222</v>
      </c>
      <c r="F144" s="120"/>
      <c r="G144" s="120"/>
      <c r="H144" s="120"/>
      <c r="I144" s="112"/>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x14ac:dyDescent="0.25">
      <c r="A145" s="113"/>
      <c r="B145" s="114"/>
      <c r="C145" s="110">
        <f>C144+1</f>
        <v>2</v>
      </c>
      <c r="D145" s="110"/>
      <c r="E145" s="113"/>
      <c r="F145" s="121"/>
      <c r="G145" s="121"/>
      <c r="H145" s="121"/>
      <c r="I145" s="114"/>
      <c r="J145" s="1"/>
      <c r="K145" s="1"/>
      <c r="L145" s="1"/>
      <c r="M145" s="1">
        <f>9200000/400</f>
        <v>23000</v>
      </c>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25">
      <c r="A146" s="113"/>
      <c r="B146" s="114"/>
      <c r="C146" s="110">
        <f t="shared" ref="C146:C147" si="7">C145+1</f>
        <v>3</v>
      </c>
      <c r="D146" s="110"/>
      <c r="E146" s="113"/>
      <c r="F146" s="121"/>
      <c r="G146" s="121"/>
      <c r="H146" s="121"/>
      <c r="I146" s="114"/>
      <c r="J146" s="1"/>
      <c r="K146" s="1"/>
      <c r="L146" s="1"/>
      <c r="M146" s="1">
        <f>M145/1.6</f>
        <v>14375</v>
      </c>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25">
      <c r="A147" s="113"/>
      <c r="B147" s="114"/>
      <c r="C147" s="110">
        <f t="shared" si="7"/>
        <v>4</v>
      </c>
      <c r="D147" s="110"/>
      <c r="E147" s="115"/>
      <c r="F147" s="122"/>
      <c r="G147" s="122"/>
      <c r="H147" s="122"/>
      <c r="I147" s="116"/>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25">
      <c r="A148" s="113"/>
      <c r="B148" s="114"/>
      <c r="C148" s="110">
        <v>5</v>
      </c>
      <c r="D148" s="110"/>
      <c r="E148" s="18" t="s">
        <v>203</v>
      </c>
      <c r="F148" s="102">
        <f>55.94*(10.764)</f>
        <v>602.13815999999997</v>
      </c>
      <c r="G148" s="103"/>
      <c r="H148" s="18">
        <v>0</v>
      </c>
      <c r="I148" s="18">
        <f t="shared" ref="I148:I151" si="8">F148+H148</f>
        <v>602.13815999999997</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25">
      <c r="A149" s="113"/>
      <c r="B149" s="114"/>
      <c r="C149" s="110">
        <f>C148+1</f>
        <v>6</v>
      </c>
      <c r="D149" s="110"/>
      <c r="E149" s="18" t="s">
        <v>204</v>
      </c>
      <c r="F149" s="102">
        <f>37.2*(10.764)</f>
        <v>400.42079999999999</v>
      </c>
      <c r="G149" s="103"/>
      <c r="H149" s="18">
        <v>0</v>
      </c>
      <c r="I149" s="18">
        <f t="shared" si="8"/>
        <v>400.42079999999999</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25">
      <c r="A150" s="113"/>
      <c r="B150" s="114"/>
      <c r="C150" s="110">
        <f t="shared" ref="C150:C151" si="9">C149+1</f>
        <v>7</v>
      </c>
      <c r="D150" s="110"/>
      <c r="E150" s="18" t="s">
        <v>204</v>
      </c>
      <c r="F150" s="102">
        <f>37.2*(10.764)</f>
        <v>400.42079999999999</v>
      </c>
      <c r="G150" s="103"/>
      <c r="H150" s="18">
        <v>0</v>
      </c>
      <c r="I150" s="18">
        <f t="shared" si="8"/>
        <v>400.42079999999999</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25">
      <c r="A151" s="115"/>
      <c r="B151" s="116"/>
      <c r="C151" s="110">
        <f t="shared" si="9"/>
        <v>8</v>
      </c>
      <c r="D151" s="110"/>
      <c r="E151" s="18" t="s">
        <v>203</v>
      </c>
      <c r="F151" s="102">
        <f>55.94*(10.764)</f>
        <v>602.13815999999997</v>
      </c>
      <c r="G151" s="103"/>
      <c r="H151" s="18">
        <v>0</v>
      </c>
      <c r="I151" s="18">
        <f t="shared" si="8"/>
        <v>602.13815999999997</v>
      </c>
      <c r="J151" s="1"/>
      <c r="K151" s="1">
        <v>1</v>
      </c>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customHeight="1" x14ac:dyDescent="0.25">
      <c r="A152" s="107" t="s">
        <v>209</v>
      </c>
      <c r="B152" s="108"/>
      <c r="C152" s="108"/>
      <c r="D152" s="108"/>
      <c r="E152" s="108"/>
      <c r="F152" s="108"/>
      <c r="G152" s="108"/>
      <c r="H152" s="108"/>
      <c r="I152" s="109"/>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x14ac:dyDescent="0.25">
      <c r="A153" s="111" t="str">
        <f>A152</f>
        <v>5th Podium Floor For Part Residential &amp; Part Parking</v>
      </c>
      <c r="B153" s="112"/>
      <c r="C153" s="110">
        <v>1</v>
      </c>
      <c r="D153" s="110"/>
      <c r="E153" s="111" t="s">
        <v>219</v>
      </c>
      <c r="F153" s="120"/>
      <c r="G153" s="120"/>
      <c r="H153" s="120"/>
      <c r="I153" s="11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x14ac:dyDescent="0.25">
      <c r="A154" s="113"/>
      <c r="B154" s="114"/>
      <c r="C154" s="110">
        <f>C153+1</f>
        <v>2</v>
      </c>
      <c r="D154" s="110"/>
      <c r="E154" s="113"/>
      <c r="F154" s="121"/>
      <c r="G154" s="121"/>
      <c r="H154" s="121"/>
      <c r="I154" s="114"/>
      <c r="J154" s="1"/>
      <c r="K154" s="1"/>
      <c r="L154" s="1"/>
      <c r="M154" s="1">
        <f>9200000/400</f>
        <v>23000</v>
      </c>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25">
      <c r="A155" s="113"/>
      <c r="B155" s="114"/>
      <c r="C155" s="110">
        <f t="shared" ref="C155:C156" si="10">C154+1</f>
        <v>3</v>
      </c>
      <c r="D155" s="110"/>
      <c r="E155" s="113"/>
      <c r="F155" s="121"/>
      <c r="G155" s="121"/>
      <c r="H155" s="121"/>
      <c r="I155" s="114"/>
      <c r="J155" s="1"/>
      <c r="K155" s="1"/>
      <c r="L155" s="1"/>
      <c r="M155" s="1">
        <f>M154/1.6</f>
        <v>14375</v>
      </c>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25">
      <c r="A156" s="113"/>
      <c r="B156" s="114"/>
      <c r="C156" s="110">
        <f t="shared" si="10"/>
        <v>4</v>
      </c>
      <c r="D156" s="110"/>
      <c r="E156" s="115"/>
      <c r="F156" s="122"/>
      <c r="G156" s="122"/>
      <c r="H156" s="122"/>
      <c r="I156" s="116"/>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25">
      <c r="A157" s="113"/>
      <c r="B157" s="114"/>
      <c r="C157" s="110">
        <v>5</v>
      </c>
      <c r="D157" s="110"/>
      <c r="E157" s="18" t="s">
        <v>203</v>
      </c>
      <c r="F157" s="102">
        <f>55.94*(10.764)</f>
        <v>602.13815999999997</v>
      </c>
      <c r="G157" s="103"/>
      <c r="H157" s="18">
        <v>0</v>
      </c>
      <c r="I157" s="18">
        <f t="shared" ref="I157:I160" si="11">F157+H157</f>
        <v>602.13815999999997</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25">
      <c r="A158" s="113"/>
      <c r="B158" s="114"/>
      <c r="C158" s="110">
        <f>C157+1</f>
        <v>6</v>
      </c>
      <c r="D158" s="110"/>
      <c r="E158" s="18" t="s">
        <v>204</v>
      </c>
      <c r="F158" s="102">
        <f>37.2*(10.764)</f>
        <v>400.42079999999999</v>
      </c>
      <c r="G158" s="103"/>
      <c r="H158" s="18">
        <v>0</v>
      </c>
      <c r="I158" s="18">
        <f t="shared" si="11"/>
        <v>400.42079999999999</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customHeight="1" x14ac:dyDescent="0.25">
      <c r="A159" s="113"/>
      <c r="B159" s="114"/>
      <c r="C159" s="110">
        <f t="shared" ref="C159:C160" si="12">C158+1</f>
        <v>7</v>
      </c>
      <c r="D159" s="110"/>
      <c r="E159" s="18" t="s">
        <v>204</v>
      </c>
      <c r="F159" s="102">
        <f>37.2*(10.764)</f>
        <v>400.42079999999999</v>
      </c>
      <c r="G159" s="103"/>
      <c r="H159" s="18">
        <v>0</v>
      </c>
      <c r="I159" s="18">
        <f t="shared" si="11"/>
        <v>400.42079999999999</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x14ac:dyDescent="0.25">
      <c r="A160" s="115"/>
      <c r="B160" s="116"/>
      <c r="C160" s="110">
        <f t="shared" si="12"/>
        <v>8</v>
      </c>
      <c r="D160" s="110"/>
      <c r="E160" s="18" t="s">
        <v>203</v>
      </c>
      <c r="F160" s="102">
        <f>55.94*(10.764)</f>
        <v>602.13815999999997</v>
      </c>
      <c r="G160" s="103"/>
      <c r="H160" s="18">
        <v>0</v>
      </c>
      <c r="I160" s="18">
        <f t="shared" si="11"/>
        <v>602.13815999999997</v>
      </c>
      <c r="K160" s="1">
        <f>2+6+6+6</f>
        <v>20</v>
      </c>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customHeight="1" x14ac:dyDescent="0.25">
      <c r="A161" s="107" t="s">
        <v>213</v>
      </c>
      <c r="B161" s="108"/>
      <c r="C161" s="108"/>
      <c r="D161" s="108"/>
      <c r="E161" s="108"/>
      <c r="F161" s="108"/>
      <c r="G161" s="108"/>
      <c r="H161" s="108"/>
      <c r="I161" s="109"/>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x14ac:dyDescent="0.25">
      <c r="A162" s="111" t="str">
        <f>A161</f>
        <v>6th, 7th, 9th to 14th, 16th to 21st &amp; 23rd to 28th Floor For Residential</v>
      </c>
      <c r="B162" s="112"/>
      <c r="C162" s="110">
        <v>1</v>
      </c>
      <c r="D162" s="110"/>
      <c r="E162" s="18" t="s">
        <v>203</v>
      </c>
      <c r="F162" s="102">
        <f>55.94*(10.764)</f>
        <v>602.13815999999997</v>
      </c>
      <c r="G162" s="103"/>
      <c r="H162" s="18">
        <v>0</v>
      </c>
      <c r="I162" s="18">
        <f t="shared" ref="I162:I169" si="13">F162+H162</f>
        <v>602.13815999999997</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x14ac:dyDescent="0.25">
      <c r="A163" s="113"/>
      <c r="B163" s="114"/>
      <c r="C163" s="110">
        <f>C162+1</f>
        <v>2</v>
      </c>
      <c r="D163" s="110"/>
      <c r="E163" s="18" t="s">
        <v>204</v>
      </c>
      <c r="F163" s="102">
        <f>37.2*(10.764)</f>
        <v>400.42079999999999</v>
      </c>
      <c r="G163" s="103"/>
      <c r="H163" s="18">
        <v>0</v>
      </c>
      <c r="I163" s="18">
        <f t="shared" si="13"/>
        <v>400.42079999999999</v>
      </c>
      <c r="J163" s="1"/>
      <c r="K163" s="1"/>
      <c r="L163" s="1"/>
      <c r="M163" s="1">
        <f>9200000/400</f>
        <v>23000</v>
      </c>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25">
      <c r="A164" s="113"/>
      <c r="B164" s="114"/>
      <c r="C164" s="110">
        <f t="shared" ref="C164:C169" si="14">C163+1</f>
        <v>3</v>
      </c>
      <c r="D164" s="110"/>
      <c r="E164" s="18" t="s">
        <v>204</v>
      </c>
      <c r="F164" s="102">
        <f>37.2*(10.764)</f>
        <v>400.42079999999999</v>
      </c>
      <c r="G164" s="103"/>
      <c r="H164" s="18">
        <v>0</v>
      </c>
      <c r="I164" s="18">
        <f t="shared" si="13"/>
        <v>400.42079999999999</v>
      </c>
      <c r="J164" s="1"/>
      <c r="K164" s="1"/>
      <c r="L164" s="1"/>
      <c r="M164" s="1">
        <f>M163/1.6</f>
        <v>14375</v>
      </c>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25">
      <c r="A165" s="113"/>
      <c r="B165" s="114"/>
      <c r="C165" s="110">
        <f t="shared" si="14"/>
        <v>4</v>
      </c>
      <c r="D165" s="110"/>
      <c r="E165" s="18" t="s">
        <v>203</v>
      </c>
      <c r="F165" s="102">
        <f>55.94*(10.764)</f>
        <v>602.13815999999997</v>
      </c>
      <c r="G165" s="103"/>
      <c r="H165" s="18">
        <v>0</v>
      </c>
      <c r="I165" s="18">
        <f t="shared" si="13"/>
        <v>602.13815999999997</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25">
      <c r="A166" s="113"/>
      <c r="B166" s="114"/>
      <c r="C166" s="110">
        <f t="shared" si="14"/>
        <v>5</v>
      </c>
      <c r="D166" s="110"/>
      <c r="E166" s="18" t="s">
        <v>203</v>
      </c>
      <c r="F166" s="102">
        <f>55.94*(10.764)</f>
        <v>602.13815999999997</v>
      </c>
      <c r="G166" s="103"/>
      <c r="H166" s="18">
        <v>0</v>
      </c>
      <c r="I166" s="18">
        <f t="shared" si="13"/>
        <v>602.13815999999997</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25">
      <c r="A167" s="113"/>
      <c r="B167" s="114"/>
      <c r="C167" s="110">
        <f t="shared" si="14"/>
        <v>6</v>
      </c>
      <c r="D167" s="110"/>
      <c r="E167" s="18" t="s">
        <v>204</v>
      </c>
      <c r="F167" s="102">
        <f>37.2*(10.764)</f>
        <v>400.42079999999999</v>
      </c>
      <c r="G167" s="103"/>
      <c r="H167" s="18">
        <v>0</v>
      </c>
      <c r="I167" s="18">
        <f t="shared" si="13"/>
        <v>400.42079999999999</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25">
      <c r="A168" s="113"/>
      <c r="B168" s="114"/>
      <c r="C168" s="110">
        <f t="shared" si="14"/>
        <v>7</v>
      </c>
      <c r="D168" s="110"/>
      <c r="E168" s="18" t="s">
        <v>204</v>
      </c>
      <c r="F168" s="102">
        <f>37.2*(10.764)</f>
        <v>400.42079999999999</v>
      </c>
      <c r="G168" s="103"/>
      <c r="H168" s="18">
        <v>0</v>
      </c>
      <c r="I168" s="18">
        <f t="shared" si="13"/>
        <v>400.42079999999999</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x14ac:dyDescent="0.25">
      <c r="A169" s="115"/>
      <c r="B169" s="116"/>
      <c r="C169" s="110">
        <f t="shared" si="14"/>
        <v>8</v>
      </c>
      <c r="D169" s="110"/>
      <c r="E169" s="18" t="s">
        <v>203</v>
      </c>
      <c r="F169" s="102">
        <f>55.94*(10.764)</f>
        <v>602.13815999999997</v>
      </c>
      <c r="G169" s="103"/>
      <c r="H169" s="18">
        <v>0</v>
      </c>
      <c r="I169" s="18">
        <f t="shared" si="13"/>
        <v>602.13815999999997</v>
      </c>
      <c r="J169" s="1"/>
      <c r="K169" s="1">
        <v>3</v>
      </c>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25">
      <c r="A170" s="107" t="s">
        <v>214</v>
      </c>
      <c r="B170" s="108"/>
      <c r="C170" s="108"/>
      <c r="D170" s="108"/>
      <c r="E170" s="108"/>
      <c r="F170" s="108"/>
      <c r="G170" s="108"/>
      <c r="H170" s="108"/>
      <c r="I170" s="109"/>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x14ac:dyDescent="0.25">
      <c r="A171" s="111" t="str">
        <f>A170</f>
        <v>8th, 15th &amp; 22nd Floor (Part Refuge Area)</v>
      </c>
      <c r="B171" s="112"/>
      <c r="C171" s="110">
        <v>1</v>
      </c>
      <c r="D171" s="110"/>
      <c r="E171" s="18" t="s">
        <v>203</v>
      </c>
      <c r="F171" s="102">
        <f>55.94*(10.764)</f>
        <v>602.13815999999997</v>
      </c>
      <c r="G171" s="103"/>
      <c r="H171" s="18">
        <v>0</v>
      </c>
      <c r="I171" s="18">
        <f t="shared" ref="I171:I174" si="15">F171+H171</f>
        <v>602.13815999999997</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x14ac:dyDescent="0.25">
      <c r="A172" s="113"/>
      <c r="B172" s="114"/>
      <c r="C172" s="110">
        <f>C171+1</f>
        <v>2</v>
      </c>
      <c r="D172" s="110"/>
      <c r="E172" s="18" t="s">
        <v>204</v>
      </c>
      <c r="F172" s="102">
        <f>37.2*(10.764)</f>
        <v>400.42079999999999</v>
      </c>
      <c r="G172" s="103"/>
      <c r="H172" s="18">
        <v>0</v>
      </c>
      <c r="I172" s="18">
        <f t="shared" si="15"/>
        <v>400.42079999999999</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25">
      <c r="A173" s="113"/>
      <c r="B173" s="114"/>
      <c r="C173" s="110">
        <f t="shared" ref="C173:C178" si="16">C172+1</f>
        <v>3</v>
      </c>
      <c r="D173" s="110"/>
      <c r="E173" s="18" t="s">
        <v>204</v>
      </c>
      <c r="F173" s="102">
        <f>37.2*(10.764)</f>
        <v>400.42079999999999</v>
      </c>
      <c r="G173" s="103"/>
      <c r="H173" s="18">
        <v>0</v>
      </c>
      <c r="I173" s="18">
        <f t="shared" si="15"/>
        <v>400.42079999999999</v>
      </c>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25">
      <c r="A174" s="113"/>
      <c r="B174" s="114"/>
      <c r="C174" s="110">
        <f t="shared" si="16"/>
        <v>4</v>
      </c>
      <c r="D174" s="110"/>
      <c r="E174" s="18" t="s">
        <v>203</v>
      </c>
      <c r="F174" s="102">
        <f>55.94*(10.764)</f>
        <v>602.13815999999997</v>
      </c>
      <c r="G174" s="103"/>
      <c r="H174" s="18">
        <v>0</v>
      </c>
      <c r="I174" s="18">
        <f t="shared" si="15"/>
        <v>602.13815999999997</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25">
      <c r="A175" s="113"/>
      <c r="B175" s="114"/>
      <c r="C175" s="110">
        <f t="shared" si="16"/>
        <v>5</v>
      </c>
      <c r="D175" s="110"/>
      <c r="E175" s="111" t="s">
        <v>205</v>
      </c>
      <c r="F175" s="120"/>
      <c r="G175" s="120"/>
      <c r="H175" s="120"/>
      <c r="I175" s="11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25">
      <c r="A176" s="113"/>
      <c r="B176" s="114"/>
      <c r="C176" s="110">
        <f t="shared" si="16"/>
        <v>6</v>
      </c>
      <c r="D176" s="110"/>
      <c r="E176" s="115"/>
      <c r="F176" s="122"/>
      <c r="G176" s="122"/>
      <c r="H176" s="122"/>
      <c r="I176" s="116"/>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25">
      <c r="A177" s="113"/>
      <c r="B177" s="114"/>
      <c r="C177" s="110">
        <f t="shared" si="16"/>
        <v>7</v>
      </c>
      <c r="D177" s="110"/>
      <c r="E177" s="18" t="s">
        <v>204</v>
      </c>
      <c r="F177" s="102">
        <f>37.2*(10.764)</f>
        <v>400.42079999999999</v>
      </c>
      <c r="G177" s="103"/>
      <c r="H177" s="18">
        <v>0</v>
      </c>
      <c r="I177" s="18">
        <f t="shared" ref="I177:I178" si="17">F177+H177</f>
        <v>400.42079999999999</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x14ac:dyDescent="0.25">
      <c r="A178" s="115"/>
      <c r="B178" s="116"/>
      <c r="C178" s="110">
        <f t="shared" si="16"/>
        <v>8</v>
      </c>
      <c r="D178" s="110"/>
      <c r="E178" s="18" t="s">
        <v>203</v>
      </c>
      <c r="F178" s="102">
        <f>55.94*(10.764)</f>
        <v>602.13815999999997</v>
      </c>
      <c r="G178" s="103"/>
      <c r="H178" s="18">
        <v>0</v>
      </c>
      <c r="I178" s="18">
        <f t="shared" si="17"/>
        <v>602.13815999999997</v>
      </c>
      <c r="J178" s="1"/>
      <c r="K178" s="1">
        <v>1</v>
      </c>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25">
      <c r="A179" s="107" t="s">
        <v>215</v>
      </c>
      <c r="B179" s="108"/>
      <c r="C179" s="108"/>
      <c r="D179" s="108"/>
      <c r="E179" s="108"/>
      <c r="F179" s="108"/>
      <c r="G179" s="108"/>
      <c r="H179" s="108"/>
      <c r="I179" s="109"/>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x14ac:dyDescent="0.25">
      <c r="A180" s="111" t="str">
        <f>A179</f>
        <v>29th Floor (Part Refuge Area)</v>
      </c>
      <c r="B180" s="112"/>
      <c r="C180" s="110">
        <v>1</v>
      </c>
      <c r="D180" s="110"/>
      <c r="E180" s="18" t="s">
        <v>203</v>
      </c>
      <c r="F180" s="102">
        <f>55.94*(10.764)</f>
        <v>602.13815999999997</v>
      </c>
      <c r="G180" s="103"/>
      <c r="H180" s="18">
        <v>0</v>
      </c>
      <c r="I180" s="18">
        <f t="shared" ref="I180:I183" si="18">F180+H180</f>
        <v>602.13815999999997</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x14ac:dyDescent="0.25">
      <c r="A181" s="113"/>
      <c r="B181" s="114"/>
      <c r="C181" s="110">
        <f>C180+1</f>
        <v>2</v>
      </c>
      <c r="D181" s="110"/>
      <c r="E181" s="18" t="s">
        <v>204</v>
      </c>
      <c r="F181" s="102">
        <f>37.2*(10.764)</f>
        <v>400.42079999999999</v>
      </c>
      <c r="G181" s="103"/>
      <c r="H181" s="18">
        <v>0</v>
      </c>
      <c r="I181" s="18">
        <f t="shared" si="18"/>
        <v>400.42079999999999</v>
      </c>
      <c r="J181" s="1"/>
      <c r="K181" s="1"/>
      <c r="L181" s="1"/>
      <c r="M181" s="1">
        <f>9200000/400</f>
        <v>23000</v>
      </c>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25">
      <c r="A182" s="113"/>
      <c r="B182" s="114"/>
      <c r="C182" s="110">
        <f t="shared" ref="C182:C187" si="19">C181+1</f>
        <v>3</v>
      </c>
      <c r="D182" s="110"/>
      <c r="E182" s="18" t="s">
        <v>204</v>
      </c>
      <c r="F182" s="102">
        <f>37.2*(10.764)</f>
        <v>400.42079999999999</v>
      </c>
      <c r="G182" s="103"/>
      <c r="H182" s="18">
        <v>0</v>
      </c>
      <c r="I182" s="18">
        <f t="shared" si="18"/>
        <v>400.42079999999999</v>
      </c>
      <c r="J182" s="1"/>
      <c r="K182" s="1"/>
      <c r="L182" s="1"/>
      <c r="M182" s="1">
        <f>M181/1.6</f>
        <v>14375</v>
      </c>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25">
      <c r="A183" s="113"/>
      <c r="B183" s="114"/>
      <c r="C183" s="110">
        <f t="shared" si="19"/>
        <v>4</v>
      </c>
      <c r="D183" s="110"/>
      <c r="E183" s="18" t="s">
        <v>203</v>
      </c>
      <c r="F183" s="102">
        <f>55.94*(10.764)</f>
        <v>602.13815999999997</v>
      </c>
      <c r="G183" s="103"/>
      <c r="H183" s="18">
        <v>0</v>
      </c>
      <c r="I183" s="18">
        <f t="shared" si="18"/>
        <v>602.13815999999997</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25">
      <c r="A184" s="113"/>
      <c r="B184" s="114"/>
      <c r="C184" s="110">
        <f t="shared" si="19"/>
        <v>5</v>
      </c>
      <c r="D184" s="110"/>
      <c r="E184" s="111" t="s">
        <v>205</v>
      </c>
      <c r="F184" s="120"/>
      <c r="G184" s="120"/>
      <c r="H184" s="120"/>
      <c r="I184" s="11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25">
      <c r="A185" s="113"/>
      <c r="B185" s="114"/>
      <c r="C185" s="110">
        <f t="shared" si="19"/>
        <v>6</v>
      </c>
      <c r="D185" s="110"/>
      <c r="E185" s="115"/>
      <c r="F185" s="122"/>
      <c r="G185" s="122"/>
      <c r="H185" s="122"/>
      <c r="I185" s="116"/>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25">
      <c r="A186" s="113"/>
      <c r="B186" s="114"/>
      <c r="C186" s="110">
        <f t="shared" si="19"/>
        <v>7</v>
      </c>
      <c r="D186" s="110"/>
      <c r="E186" s="18" t="s">
        <v>204</v>
      </c>
      <c r="F186" s="102">
        <f>37.2*(10.764)</f>
        <v>400.42079999999999</v>
      </c>
      <c r="G186" s="103"/>
      <c r="H186" s="18">
        <v>0</v>
      </c>
      <c r="I186" s="18">
        <f t="shared" ref="I186:I187" si="20">F186+H186</f>
        <v>400.42079999999999</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x14ac:dyDescent="0.25">
      <c r="A187" s="115"/>
      <c r="B187" s="116"/>
      <c r="C187" s="110">
        <f t="shared" si="19"/>
        <v>8</v>
      </c>
      <c r="D187" s="110"/>
      <c r="E187" s="18" t="s">
        <v>203</v>
      </c>
      <c r="F187" s="102">
        <f>55.94*(10.764)</f>
        <v>602.13815999999997</v>
      </c>
      <c r="G187" s="103"/>
      <c r="H187" s="18">
        <v>0</v>
      </c>
      <c r="I187" s="18">
        <f t="shared" si="20"/>
        <v>602.13815999999997</v>
      </c>
      <c r="J187" s="1" t="s">
        <v>217</v>
      </c>
      <c r="K187" s="1">
        <f>6+3</f>
        <v>9</v>
      </c>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customHeight="1" x14ac:dyDescent="0.25">
      <c r="A188" s="107" t="s">
        <v>218</v>
      </c>
      <c r="B188" s="108"/>
      <c r="C188" s="108"/>
      <c r="D188" s="108"/>
      <c r="E188" s="108"/>
      <c r="F188" s="108"/>
      <c r="G188" s="108"/>
      <c r="H188" s="108"/>
      <c r="I188" s="109"/>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x14ac:dyDescent="0.25">
      <c r="A189" s="111" t="str">
        <f>A188</f>
        <v>30th to 35th &amp; 37th to 39th Floor</v>
      </c>
      <c r="B189" s="112"/>
      <c r="C189" s="110">
        <v>1</v>
      </c>
      <c r="D189" s="110"/>
      <c r="E189" s="18" t="s">
        <v>203</v>
      </c>
      <c r="F189" s="102">
        <f>(56.83)*(10.764)</f>
        <v>611.71812</v>
      </c>
      <c r="G189" s="103"/>
      <c r="H189" s="18">
        <f>(3.04*1.07)*10.764</f>
        <v>35.013139199999998</v>
      </c>
      <c r="I189" s="18">
        <f>F189+H189</f>
        <v>646.73125919999995</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x14ac:dyDescent="0.25">
      <c r="A190" s="113"/>
      <c r="B190" s="114"/>
      <c r="C190" s="110">
        <f>C189+1</f>
        <v>2</v>
      </c>
      <c r="D190" s="110"/>
      <c r="E190" s="18" t="s">
        <v>204</v>
      </c>
      <c r="F190" s="102">
        <f>(38.07)*(10.764)</f>
        <v>409.78547999999995</v>
      </c>
      <c r="G190" s="103"/>
      <c r="H190" s="18">
        <f>(2.76*1.07)*10.764</f>
        <v>31.788244799999998</v>
      </c>
      <c r="I190" s="18">
        <f>F190+H190</f>
        <v>441.57372479999992</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25">
      <c r="A191" s="113"/>
      <c r="B191" s="114"/>
      <c r="C191" s="110">
        <f t="shared" ref="C191:C196" si="21">C190+1</f>
        <v>3</v>
      </c>
      <c r="D191" s="110"/>
      <c r="E191" s="18" t="s">
        <v>204</v>
      </c>
      <c r="F191" s="102">
        <f>(38.07)*(10.764)</f>
        <v>409.78547999999995</v>
      </c>
      <c r="G191" s="103"/>
      <c r="H191" s="18">
        <f>(2.76*1.07)*10.764</f>
        <v>31.788244799999998</v>
      </c>
      <c r="I191" s="18">
        <f>F191+H191</f>
        <v>441.57372479999992</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25">
      <c r="A192" s="113"/>
      <c r="B192" s="114"/>
      <c r="C192" s="110">
        <f t="shared" si="21"/>
        <v>4</v>
      </c>
      <c r="D192" s="110"/>
      <c r="E192" s="18" t="s">
        <v>203</v>
      </c>
      <c r="F192" s="102">
        <f>(56.83)*(10.764)</f>
        <v>611.71812</v>
      </c>
      <c r="G192" s="103"/>
      <c r="H192" s="18">
        <f>(3.04*1.07)*10.764</f>
        <v>35.013139199999998</v>
      </c>
      <c r="I192" s="18">
        <f t="shared" ref="I192:I196" si="22">F192+H192</f>
        <v>646.73125919999995</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25">
      <c r="A193" s="113"/>
      <c r="B193" s="114"/>
      <c r="C193" s="110">
        <f t="shared" si="21"/>
        <v>5</v>
      </c>
      <c r="D193" s="110"/>
      <c r="E193" s="18" t="s">
        <v>203</v>
      </c>
      <c r="F193" s="102">
        <f>(56.83)*(10.764)</f>
        <v>611.71812</v>
      </c>
      <c r="G193" s="103"/>
      <c r="H193" s="18">
        <f>(3.04*1.07)*10.764</f>
        <v>35.013139199999998</v>
      </c>
      <c r="I193" s="18">
        <f t="shared" si="22"/>
        <v>646.73125919999995</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25">
      <c r="A194" s="113"/>
      <c r="B194" s="114"/>
      <c r="C194" s="110">
        <f t="shared" si="21"/>
        <v>6</v>
      </c>
      <c r="D194" s="110"/>
      <c r="E194" s="18" t="s">
        <v>204</v>
      </c>
      <c r="F194" s="102">
        <f t="shared" ref="F194:F195" si="23">(38.07)*(10.764)</f>
        <v>409.78547999999995</v>
      </c>
      <c r="G194" s="103"/>
      <c r="H194" s="18">
        <f>(2.76*1.07)*10.764</f>
        <v>31.788244799999998</v>
      </c>
      <c r="I194" s="18">
        <f t="shared" si="22"/>
        <v>441.57372479999992</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25">
      <c r="A195" s="113"/>
      <c r="B195" s="114"/>
      <c r="C195" s="110">
        <f t="shared" si="21"/>
        <v>7</v>
      </c>
      <c r="D195" s="110"/>
      <c r="E195" s="18" t="s">
        <v>204</v>
      </c>
      <c r="F195" s="102">
        <f t="shared" si="23"/>
        <v>409.78547999999995</v>
      </c>
      <c r="G195" s="103"/>
      <c r="H195" s="18">
        <f>(2.76*1.07)*10.764</f>
        <v>31.788244799999998</v>
      </c>
      <c r="I195" s="18">
        <f>F195+H195</f>
        <v>441.57372479999992</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x14ac:dyDescent="0.25">
      <c r="A196" s="115"/>
      <c r="B196" s="116"/>
      <c r="C196" s="110">
        <f t="shared" si="21"/>
        <v>8</v>
      </c>
      <c r="D196" s="110"/>
      <c r="E196" s="18" t="s">
        <v>203</v>
      </c>
      <c r="F196" s="102">
        <f>(56.83)*(10.764)</f>
        <v>611.71812</v>
      </c>
      <c r="G196" s="103"/>
      <c r="H196" s="18">
        <f>(3.04*1.07)*10.764</f>
        <v>35.013139199999998</v>
      </c>
      <c r="I196" s="18">
        <f t="shared" si="22"/>
        <v>646.73125919999995</v>
      </c>
      <c r="J196" s="1"/>
      <c r="K196" s="1">
        <v>1</v>
      </c>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25">
      <c r="A197" s="107" t="s">
        <v>216</v>
      </c>
      <c r="B197" s="108"/>
      <c r="C197" s="108"/>
      <c r="D197" s="108"/>
      <c r="E197" s="108"/>
      <c r="F197" s="108"/>
      <c r="G197" s="108"/>
      <c r="H197" s="108"/>
      <c r="I197" s="109"/>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x14ac:dyDescent="0.25">
      <c r="A198" s="111" t="str">
        <f>A197</f>
        <v>36th Floor (Part Refuge Area)</v>
      </c>
      <c r="B198" s="112"/>
      <c r="C198" s="110">
        <v>1</v>
      </c>
      <c r="D198" s="110"/>
      <c r="E198" s="18" t="s">
        <v>203</v>
      </c>
      <c r="F198" s="102">
        <f>(56.83)*(10.764)</f>
        <v>611.71812</v>
      </c>
      <c r="G198" s="103"/>
      <c r="H198" s="18">
        <f>(3.04*1.07)*10.764</f>
        <v>35.013139199999998</v>
      </c>
      <c r="I198" s="18">
        <f t="shared" ref="I198:I201" si="24">F198+H198</f>
        <v>646.73125919999995</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x14ac:dyDescent="0.25">
      <c r="A199" s="113"/>
      <c r="B199" s="114"/>
      <c r="C199" s="110">
        <f>C198+1</f>
        <v>2</v>
      </c>
      <c r="D199" s="110"/>
      <c r="E199" s="18" t="s">
        <v>204</v>
      </c>
      <c r="F199" s="102">
        <f>(38.07)*(10.764)</f>
        <v>409.78547999999995</v>
      </c>
      <c r="G199" s="103"/>
      <c r="H199" s="18">
        <f>(2.76*1.07)*10.764</f>
        <v>31.788244799999998</v>
      </c>
      <c r="I199" s="18">
        <f t="shared" si="24"/>
        <v>441.57372479999992</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25">
      <c r="A200" s="113"/>
      <c r="B200" s="114"/>
      <c r="C200" s="110">
        <f t="shared" ref="C200:C204" si="25">C199+1</f>
        <v>3</v>
      </c>
      <c r="D200" s="110"/>
      <c r="E200" s="18" t="s">
        <v>204</v>
      </c>
      <c r="F200" s="102">
        <f>(38.07)*(10.764)</f>
        <v>409.78547999999995</v>
      </c>
      <c r="G200" s="103"/>
      <c r="H200" s="18">
        <f>(2.76*1.07)*10.764</f>
        <v>31.788244799999998</v>
      </c>
      <c r="I200" s="18">
        <f t="shared" si="24"/>
        <v>441.57372479999992</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25">
      <c r="A201" s="113"/>
      <c r="B201" s="114"/>
      <c r="C201" s="110">
        <f t="shared" si="25"/>
        <v>4</v>
      </c>
      <c r="D201" s="110"/>
      <c r="E201" s="18" t="s">
        <v>203</v>
      </c>
      <c r="F201" s="102">
        <f>(56.83)*(10.764)</f>
        <v>611.71812</v>
      </c>
      <c r="G201" s="103"/>
      <c r="H201" s="18">
        <f>(3.04*1.07)*10.764</f>
        <v>35.013139199999998</v>
      </c>
      <c r="I201" s="18">
        <f t="shared" si="24"/>
        <v>646.73125919999995</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25">
      <c r="A202" s="113"/>
      <c r="B202" s="114"/>
      <c r="C202" s="110">
        <f t="shared" si="25"/>
        <v>5</v>
      </c>
      <c r="D202" s="110"/>
      <c r="E202" s="102" t="s">
        <v>205</v>
      </c>
      <c r="F202" s="186"/>
      <c r="G202" s="186"/>
      <c r="H202" s="186"/>
      <c r="I202" s="10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25">
      <c r="A203" s="113"/>
      <c r="B203" s="114"/>
      <c r="C203" s="110">
        <f t="shared" si="25"/>
        <v>6</v>
      </c>
      <c r="D203" s="110"/>
      <c r="E203" s="18" t="s">
        <v>204</v>
      </c>
      <c r="F203" s="102">
        <f t="shared" ref="F203:F204" si="26">(38.07)*(10.764)</f>
        <v>409.78547999999995</v>
      </c>
      <c r="G203" s="103"/>
      <c r="H203" s="18">
        <f>(2.76*1.07)*10.764</f>
        <v>31.788244799999998</v>
      </c>
      <c r="I203" s="18">
        <f t="shared" ref="I203:I205" si="27">F203+H203</f>
        <v>441.57372479999992</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25">
      <c r="A204" s="113"/>
      <c r="B204" s="114"/>
      <c r="C204" s="110">
        <f t="shared" si="25"/>
        <v>7</v>
      </c>
      <c r="D204" s="110"/>
      <c r="E204" s="18" t="s">
        <v>204</v>
      </c>
      <c r="F204" s="102">
        <f t="shared" si="26"/>
        <v>409.78547999999995</v>
      </c>
      <c r="G204" s="103"/>
      <c r="H204" s="18">
        <f>(2.76*1.07)*10.764</f>
        <v>31.788244799999998</v>
      </c>
      <c r="I204" s="18">
        <f t="shared" si="27"/>
        <v>441.57372479999992</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x14ac:dyDescent="0.25">
      <c r="A205" s="115"/>
      <c r="B205" s="116"/>
      <c r="C205" s="110">
        <f>C204+1</f>
        <v>8</v>
      </c>
      <c r="D205" s="110"/>
      <c r="E205" s="18" t="s">
        <v>203</v>
      </c>
      <c r="F205" s="102">
        <f>(56.83)*(10.764)</f>
        <v>611.71812</v>
      </c>
      <c r="G205" s="103"/>
      <c r="H205" s="18">
        <f>(3.04*1.07)*10.764</f>
        <v>35.013139199999998</v>
      </c>
      <c r="I205" s="18">
        <f t="shared" si="27"/>
        <v>646.73125919999995</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25">
      <c r="A206" s="165" t="s">
        <v>263</v>
      </c>
      <c r="B206" s="166"/>
      <c r="C206" s="166"/>
      <c r="D206" s="166"/>
      <c r="E206" s="166"/>
      <c r="F206" s="166"/>
      <c r="G206" s="166"/>
      <c r="H206" s="166"/>
      <c r="I206" s="167"/>
      <c r="J206" s="1"/>
      <c r="K206" s="1"/>
      <c r="L206" s="1"/>
      <c r="M206" s="1"/>
      <c r="N206" s="1"/>
      <c r="O206" s="1"/>
      <c r="P206" s="1"/>
      <c r="Q206" s="1"/>
      <c r="R206" s="1"/>
      <c r="S206" s="1"/>
      <c r="T206" s="1"/>
      <c r="U206" s="38" t="e">
        <f ca="1">V206&amp;""&amp;" &amp; "&amp;""&amp;W206</f>
        <v>#REF!</v>
      </c>
      <c r="V206" s="38" t="e">
        <f ca="1">(SUMPRODUCT(MID(0&amp;(LEFT(A209,SUM(LEN(A209)-LEN(SUBSTITUTE(A209,{"0","1","2","3"},""))))), LARGE(INDEX(ISNUMBER(--MID((LEFT(A209,SUM(LEN(A209)-LEN(SUBSTITUTE(A209,{"0","1","2","3"},""))))), ROW(INDIRECT("1:"&amp;LEN((LEFT(A209,SUM(LEN(A209)-LEN(SUBSTITUTE(A209,{"0","1","2","3"},"")))))))), 1)) * ROW(INDIRECT("1:"&amp;LEN((LEFT(A209,SUM(LEN(A209)-LEN(SUBSTITUTE(A209,{"0","1","2","3"},"")))))))), 0), ROW(INDIRECT("1:"&amp;LEN((LEFT(A209,SUM(LEN(A209)-LEN(SUBSTITUTE(A209,{"0","1","2","3"},"")))))))))+1, 1) * 10^ROW(INDIRECT("1:"&amp;LEN((LEFT(A209,SUM(LEN(A209)-LEN(SUBSTITUTE(A209,{"0","1","2","3"},""))))))))/10))*100+1</f>
        <v>#REF!</v>
      </c>
      <c r="W206" s="38" t="e">
        <f ca="1">(SUMPRODUCT(MID(0&amp;(--TRIM(RIGHT(SUBSTITUTE(LEFT(A209,_xlfn.AGGREGATE(16,6,FIND({0,1,2,3,4,5,6,7,8,9},A209,ROW(INDIRECT("1:"&amp;LEN(A209)))),1))," ",REPT(" ",LEN(A209))),LEN(A209)))), LARGE(INDEX(ISNUMBER(--MID((--TRIM(RIGHT(SUBSTITUTE(LEFT(A209,_xlfn.AGGREGATE(16,6,FIND({0,1,2,3,4,5,6,7,8,9},A209,ROW(INDIRECT("1:"&amp;LEN(A209)))),1))," ",REPT(" ",LEN(A209))),LEN(A209)))), ROW(INDIRECT("1:"&amp;LEN((--TRIM(RIGHT(SUBSTITUTE(LEFT(A209,_xlfn.AGGREGATE(16,6,FIND({0,1,2,3,4,5,6,7,8,9},A209,ROW(INDIRECT("1:"&amp;LEN(A209)))),1))," ",REPT(" ",LEN(A209))),LEN(A209))))))), 1)) * ROW(INDIRECT("1:"&amp;LEN((--TRIM(RIGHT(SUBSTITUTE(LEFT(A209,_xlfn.AGGREGATE(16,6,FIND({0,1,2,3,4,5,6,7,8,9},A209,ROW(INDIRECT("1:"&amp;LEN(A209)))),1))," ",REPT(" ",LEN(A209))),LEN(A209))))))), 0), ROW(INDIRECT("1:"&amp;LEN((--TRIM(RIGHT(SUBSTITUTE(LEFT(A209,_xlfn.AGGREGATE(16,6,FIND({0,1,2,3,4,5,6,7,8,9},A209,ROW(INDIRECT("1:"&amp;LEN(A209)))),1))," ",REPT(" ",LEN(A209))),LEN(A209))))))))+1, 1) * 10^ROW(INDIRECT("1:"&amp;LEN((--TRIM(RIGHT(SUBSTITUTE(LEFT(A209,_xlfn.AGGREGATE(16,6,FIND({0,1,2,3,4,5,6,7,8,9},A209,ROW(INDIRECT("1:"&amp;LEN(A209)))),1))," ",REPT(" ",LEN(A209))),LEN(A209)))))))/10))*100+1</f>
        <v>#NUM!</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25">
      <c r="A207" s="107" t="s">
        <v>251</v>
      </c>
      <c r="B207" s="108"/>
      <c r="C207" s="108"/>
      <c r="D207" s="108"/>
      <c r="E207" s="108"/>
      <c r="F207" s="108"/>
      <c r="G207" s="108"/>
      <c r="H207" s="108"/>
      <c r="I207" s="109"/>
      <c r="J207" s="1"/>
      <c r="K207" s="1"/>
      <c r="L207" s="1"/>
      <c r="M207" s="1"/>
      <c r="N207" s="1"/>
      <c r="O207" s="1"/>
      <c r="P207" s="1"/>
      <c r="Q207" s="1"/>
      <c r="R207" s="1"/>
      <c r="S207" s="1"/>
      <c r="T207" s="1"/>
      <c r="U207" s="38" t="e">
        <f t="shared" ref="U207:U214" ca="1" si="28">V207&amp;""&amp;" &amp; "&amp;""&amp;W207</f>
        <v>#REF!</v>
      </c>
      <c r="V207" s="38" t="e">
        <f ca="1">V206+1</f>
        <v>#REF!</v>
      </c>
      <c r="W207" s="38" t="e">
        <f ca="1">W206+1</f>
        <v>#NUM!</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25">
      <c r="A208" s="107" t="s">
        <v>254</v>
      </c>
      <c r="B208" s="108"/>
      <c r="C208" s="108"/>
      <c r="D208" s="108"/>
      <c r="E208" s="108"/>
      <c r="F208" s="108"/>
      <c r="G208" s="108"/>
      <c r="H208" s="108"/>
      <c r="I208" s="109"/>
      <c r="J208" s="1"/>
      <c r="K208" s="1"/>
      <c r="L208" s="1"/>
      <c r="M208" s="1"/>
      <c r="N208" s="1"/>
      <c r="O208" s="1"/>
      <c r="P208" s="1"/>
      <c r="Q208" s="1"/>
      <c r="R208" s="1"/>
      <c r="S208" s="1"/>
      <c r="T208" s="1"/>
      <c r="U208" s="38" t="e">
        <f t="shared" ca="1" si="28"/>
        <v>#REF!</v>
      </c>
      <c r="V208" s="38" t="e">
        <f t="shared" ref="V208:V214" ca="1" si="29">V207+1</f>
        <v>#REF!</v>
      </c>
      <c r="W208" s="38" t="e">
        <f t="shared" ref="W208:W214" ca="1" si="30">W207+1</f>
        <v>#NUM!</v>
      </c>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25">
      <c r="A209" s="117" t="s">
        <v>279</v>
      </c>
      <c r="B209" s="118"/>
      <c r="C209" s="118"/>
      <c r="D209" s="118"/>
      <c r="E209" s="118"/>
      <c r="F209" s="118"/>
      <c r="G209" s="118"/>
      <c r="H209" s="118"/>
      <c r="I209" s="119"/>
      <c r="J209" s="1"/>
      <c r="K209" s="1"/>
      <c r="L209" s="1"/>
      <c r="M209" s="1"/>
      <c r="N209" s="1"/>
      <c r="O209" s="1"/>
      <c r="P209" s="1"/>
      <c r="Q209" s="1"/>
      <c r="R209" s="1"/>
      <c r="S209" s="1"/>
      <c r="T209" s="1"/>
      <c r="U209" s="38" t="e">
        <f t="shared" si="28"/>
        <v>#REF!</v>
      </c>
      <c r="V209" s="38" t="e">
        <f>#REF!+1</f>
        <v>#REF!</v>
      </c>
      <c r="W209" s="38" t="e">
        <f>#REF!+1</f>
        <v>#REF!</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25">
      <c r="A210" s="111" t="str">
        <f>A209</f>
        <v>Ground Floor For Commercial &amp; Meter Room &amp; Panel Room</v>
      </c>
      <c r="B210" s="112"/>
      <c r="C210" s="110">
        <v>1</v>
      </c>
      <c r="D210" s="110"/>
      <c r="E210" s="18" t="s">
        <v>201</v>
      </c>
      <c r="F210" s="102">
        <f>(4.11*5.33+6.51*0.35+0.13*4.87+2.63*0.13+2.62*4.17+1.87*1.18)*(10.764)</f>
        <v>412.17293519999998</v>
      </c>
      <c r="G210" s="103"/>
      <c r="H210" s="18">
        <v>0</v>
      </c>
      <c r="I210" s="18">
        <f t="shared" ref="I210:I213" si="31">F210+H210</f>
        <v>412.17293519999998</v>
      </c>
      <c r="J210" s="1"/>
      <c r="K210" s="1"/>
      <c r="L210" s="1"/>
      <c r="M210" s="1"/>
      <c r="N210" s="1"/>
      <c r="O210" s="1"/>
      <c r="P210" s="1"/>
      <c r="Q210" s="1"/>
      <c r="R210" s="1"/>
      <c r="S210" s="1"/>
      <c r="T210" s="1"/>
      <c r="U210" s="38" t="e">
        <f t="shared" si="28"/>
        <v>#REF!</v>
      </c>
      <c r="V210" s="38" t="e">
        <f t="shared" si="29"/>
        <v>#REF!</v>
      </c>
      <c r="W210" s="38" t="e">
        <f t="shared" si="30"/>
        <v>#REF!</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25">
      <c r="A211" s="113"/>
      <c r="B211" s="114"/>
      <c r="C211" s="110">
        <v>2</v>
      </c>
      <c r="D211" s="110"/>
      <c r="E211" s="18" t="s">
        <v>201</v>
      </c>
      <c r="F211" s="102">
        <f>(8.8*3.8+1.4*2.6+1.85*1.05+1.43)*(10.764)</f>
        <v>435.43070999999998</v>
      </c>
      <c r="G211" s="103"/>
      <c r="H211" s="18">
        <v>0</v>
      </c>
      <c r="I211" s="18">
        <f t="shared" si="31"/>
        <v>435.43070999999998</v>
      </c>
      <c r="J211" s="1"/>
      <c r="K211" s="1"/>
      <c r="L211" s="1"/>
      <c r="M211" s="1"/>
      <c r="N211" s="1"/>
      <c r="O211" s="1"/>
      <c r="P211" s="1"/>
      <c r="Q211" s="1"/>
      <c r="R211" s="1"/>
      <c r="S211" s="1"/>
      <c r="T211" s="1"/>
      <c r="U211" s="38" t="e">
        <f t="shared" si="28"/>
        <v>#REF!</v>
      </c>
      <c r="V211" s="38" t="e">
        <f t="shared" si="29"/>
        <v>#REF!</v>
      </c>
      <c r="W211" s="38" t="e">
        <f t="shared" si="30"/>
        <v>#REF!</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25">
      <c r="A212" s="113"/>
      <c r="B212" s="114"/>
      <c r="C212" s="110">
        <v>3</v>
      </c>
      <c r="D212" s="110"/>
      <c r="E212" s="18" t="s">
        <v>201</v>
      </c>
      <c r="F212" s="102">
        <f>(8.89*3.8+1.52*3.67+2.61*2.52+1.85*0.13+1.85*1.05+1.81)*(10.764)</f>
        <v>537.45297840000001</v>
      </c>
      <c r="G212" s="103"/>
      <c r="H212" s="18">
        <v>0</v>
      </c>
      <c r="I212" s="18">
        <f t="shared" si="31"/>
        <v>537.45297840000001</v>
      </c>
      <c r="J212" s="1"/>
      <c r="K212" s="61">
        <f>10.764</f>
        <v>10.763999999999999</v>
      </c>
      <c r="L212" s="1"/>
      <c r="M212" s="1"/>
      <c r="N212" s="1"/>
      <c r="O212" s="1"/>
      <c r="P212" s="1"/>
      <c r="Q212" s="1"/>
      <c r="R212" s="1"/>
      <c r="S212" s="1"/>
      <c r="T212" s="1"/>
      <c r="U212" s="38" t="e">
        <f t="shared" si="28"/>
        <v>#REF!</v>
      </c>
      <c r="V212" s="38" t="e">
        <f t="shared" si="29"/>
        <v>#REF!</v>
      </c>
      <c r="W212" s="38" t="e">
        <f t="shared" si="30"/>
        <v>#REF!</v>
      </c>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25">
      <c r="A213" s="113"/>
      <c r="B213" s="114"/>
      <c r="C213" s="110">
        <v>4</v>
      </c>
      <c r="D213" s="110"/>
      <c r="E213" s="18" t="s">
        <v>201</v>
      </c>
      <c r="F213" s="102">
        <f>(8.55*3.79+1.52*3.67+2.6*2.65+1.85*1.05+1.81)*(10.764)</f>
        <v>523.40380560000006</v>
      </c>
      <c r="G213" s="103"/>
      <c r="H213" s="18">
        <v>0</v>
      </c>
      <c r="I213" s="18">
        <f t="shared" si="31"/>
        <v>523.40380560000006</v>
      </c>
      <c r="J213" s="1"/>
      <c r="K213" s="1"/>
      <c r="L213" s="1"/>
      <c r="M213" s="1"/>
      <c r="N213" s="1"/>
      <c r="O213" s="1"/>
      <c r="P213" s="1"/>
      <c r="Q213" s="1"/>
      <c r="R213" s="1"/>
      <c r="S213" s="1"/>
      <c r="T213" s="1"/>
      <c r="U213" s="38" t="e">
        <f t="shared" si="28"/>
        <v>#REF!</v>
      </c>
      <c r="V213" s="38" t="e">
        <f t="shared" si="29"/>
        <v>#REF!</v>
      </c>
      <c r="W213" s="38" t="e">
        <f t="shared" si="30"/>
        <v>#REF!</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25">
      <c r="A214" s="113"/>
      <c r="B214" s="114"/>
      <c r="C214" s="110">
        <v>5</v>
      </c>
      <c r="D214" s="110"/>
      <c r="E214" s="18" t="s">
        <v>201</v>
      </c>
      <c r="F214" s="102">
        <f>(8.19*3.79+1.52*3.67+2.6*2.65+1.85*1.05+1.86)*(10.764)</f>
        <v>509.25560399999995</v>
      </c>
      <c r="G214" s="103"/>
      <c r="H214" s="18">
        <v>0</v>
      </c>
      <c r="I214" s="18">
        <f t="shared" ref="I214" si="32">F214+H214</f>
        <v>509.25560399999995</v>
      </c>
      <c r="J214" s="1"/>
      <c r="K214" s="1"/>
      <c r="L214" s="1"/>
      <c r="M214" s="1"/>
      <c r="N214" s="1"/>
      <c r="O214" s="1"/>
      <c r="P214" s="1"/>
      <c r="Q214" s="1"/>
      <c r="R214" s="1"/>
      <c r="S214" s="1"/>
      <c r="T214" s="1"/>
      <c r="U214" s="38" t="e">
        <f t="shared" si="28"/>
        <v>#REF!</v>
      </c>
      <c r="V214" s="38" t="e">
        <f t="shared" si="29"/>
        <v>#REF!</v>
      </c>
      <c r="W214" s="38" t="e">
        <f t="shared" si="30"/>
        <v>#REF!</v>
      </c>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x14ac:dyDescent="0.25">
      <c r="A215" s="113"/>
      <c r="B215" s="114"/>
      <c r="C215" s="110">
        <v>6</v>
      </c>
      <c r="D215" s="110"/>
      <c r="E215" s="18" t="s">
        <v>201</v>
      </c>
      <c r="F215" s="102">
        <f>(7.83*3.8+1.52*3.67+2.6*2.65+1.85*1.05+1.85)*(10.764)</f>
        <v>495.30438359999999</v>
      </c>
      <c r="G215" s="103"/>
      <c r="H215" s="18">
        <v>0</v>
      </c>
      <c r="I215" s="18">
        <f t="shared" ref="I215:I217" si="33">F215+H215</f>
        <v>495.30438359999999</v>
      </c>
      <c r="J215" s="1"/>
      <c r="K215" s="1">
        <v>1</v>
      </c>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x14ac:dyDescent="0.25">
      <c r="A216" s="113"/>
      <c r="B216" s="114"/>
      <c r="C216" s="110">
        <v>7</v>
      </c>
      <c r="D216" s="110"/>
      <c r="E216" s="18" t="s">
        <v>201</v>
      </c>
      <c r="F216" s="102">
        <f>(7.47*3.8+1.52*3.67+2.55*2.52+1.85*0.13+1.86)*(10.764)</f>
        <v>457.37204759999992</v>
      </c>
      <c r="G216" s="103"/>
      <c r="H216" s="18">
        <v>0</v>
      </c>
      <c r="I216" s="18">
        <f t="shared" si="33"/>
        <v>457.37204759999992</v>
      </c>
      <c r="J216" s="1"/>
      <c r="K216" s="1">
        <v>1</v>
      </c>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x14ac:dyDescent="0.25">
      <c r="A217" s="113"/>
      <c r="B217" s="114"/>
      <c r="C217" s="110">
        <v>8</v>
      </c>
      <c r="D217" s="110"/>
      <c r="E217" s="18" t="s">
        <v>201</v>
      </c>
      <c r="F217" s="102">
        <f>(7.09*4.09+1.52*3.97+0.6*1.95+2.6+1.85*1.05+2.07)*(10.764)</f>
        <v>460.86066</v>
      </c>
      <c r="G217" s="103"/>
      <c r="H217" s="18">
        <v>0</v>
      </c>
      <c r="I217" s="18">
        <f t="shared" si="33"/>
        <v>460.86066</v>
      </c>
      <c r="J217" s="1"/>
      <c r="K217" s="1">
        <v>1</v>
      </c>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x14ac:dyDescent="0.25">
      <c r="A218" s="113"/>
      <c r="B218" s="114"/>
      <c r="C218" s="110">
        <v>9</v>
      </c>
      <c r="D218" s="110"/>
      <c r="E218" s="18" t="s">
        <v>201</v>
      </c>
      <c r="F218" s="102">
        <f>(6.31*3.82+2.67*0.42+2.12*2.55+1.85*1.05+1.88)*(10.764)</f>
        <v>370.86393240000001</v>
      </c>
      <c r="G218" s="103"/>
      <c r="H218" s="18">
        <v>0</v>
      </c>
      <c r="I218" s="18">
        <f t="shared" ref="I218:I232" si="34">F218+H218</f>
        <v>370.86393240000001</v>
      </c>
      <c r="J218" s="1"/>
      <c r="K218" s="1">
        <v>1</v>
      </c>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x14ac:dyDescent="0.25">
      <c r="A219" s="113"/>
      <c r="B219" s="114"/>
      <c r="C219" s="110">
        <v>10</v>
      </c>
      <c r="D219" s="110"/>
      <c r="E219" s="18" t="s">
        <v>201</v>
      </c>
      <c r="F219" s="102">
        <f>(5.93*2.33+2.12*0.98+1.85*1.05+8.03*0.43+1.29+36.82)*(10.764)</f>
        <v>639.38052359999995</v>
      </c>
      <c r="G219" s="103"/>
      <c r="H219" s="18">
        <v>0</v>
      </c>
      <c r="I219" s="18">
        <f t="shared" ref="I219" si="35">F219+H219</f>
        <v>639.38052359999995</v>
      </c>
      <c r="J219" s="1"/>
      <c r="K219" s="1">
        <v>1</v>
      </c>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x14ac:dyDescent="0.25">
      <c r="A220" s="115"/>
      <c r="B220" s="116"/>
      <c r="C220" s="110">
        <v>11</v>
      </c>
      <c r="D220" s="110"/>
      <c r="E220" s="18" t="s">
        <v>201</v>
      </c>
      <c r="F220" s="102">
        <f>(6.22*5.55+5.97*1.37+2.85*1.95+1.5*0.45+1.15*1.53)*(10.764)</f>
        <v>545.64761159999989</v>
      </c>
      <c r="G220" s="103"/>
      <c r="H220" s="18">
        <v>0</v>
      </c>
      <c r="I220" s="18">
        <f t="shared" si="34"/>
        <v>545.64761159999989</v>
      </c>
      <c r="J220" s="1"/>
      <c r="K220" s="1">
        <v>1</v>
      </c>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ht="20.25" customHeight="1" x14ac:dyDescent="0.25">
      <c r="A221" s="117" t="s">
        <v>278</v>
      </c>
      <c r="B221" s="118"/>
      <c r="C221" s="118"/>
      <c r="D221" s="118"/>
      <c r="E221" s="118"/>
      <c r="F221" s="118"/>
      <c r="G221" s="118"/>
      <c r="H221" s="118"/>
      <c r="I221" s="119"/>
    </row>
    <row r="222" spans="1:151 16227:16384" ht="20.25" customHeight="1" x14ac:dyDescent="0.25">
      <c r="A222" s="111" t="str">
        <f>A221</f>
        <v>1st to 4th Floor For Commercial</v>
      </c>
      <c r="B222" s="58"/>
      <c r="C222" s="110">
        <v>1</v>
      </c>
      <c r="D222" s="110"/>
      <c r="E222" s="18" t="s">
        <v>275</v>
      </c>
      <c r="F222" s="102">
        <f>(4.63*5.4+6.51*0.35+4.87*0.1+3.13*0.05+4.25*2.12+1.42*1.1)*(10.764)</f>
        <v>414.37094400000001</v>
      </c>
      <c r="G222" s="103"/>
      <c r="H222" s="18">
        <v>0</v>
      </c>
      <c r="I222" s="18">
        <f t="shared" si="34"/>
        <v>414.37094400000001</v>
      </c>
    </row>
    <row r="223" spans="1:151 16227:16384" ht="20.25" x14ac:dyDescent="0.25">
      <c r="A223" s="113"/>
      <c r="B223" s="59"/>
      <c r="C223" s="110">
        <v>2</v>
      </c>
      <c r="D223" s="110"/>
      <c r="E223" s="18" t="s">
        <v>275</v>
      </c>
      <c r="F223" s="102">
        <f>(8.96*3.8+2.13*2.65+1.42*1.05+0.35*3.79)*(10.764)</f>
        <v>457.57764000000003</v>
      </c>
      <c r="G223" s="103"/>
      <c r="H223" s="18">
        <v>0</v>
      </c>
      <c r="I223" s="18">
        <f t="shared" si="34"/>
        <v>457.57764000000003</v>
      </c>
    </row>
    <row r="224" spans="1:151 16227:16384" ht="20.25" x14ac:dyDescent="0.25">
      <c r="A224" s="113"/>
      <c r="B224" s="59"/>
      <c r="C224" s="110">
        <v>3</v>
      </c>
      <c r="D224" s="110"/>
      <c r="E224" s="18" t="s">
        <v>275</v>
      </c>
      <c r="F224" s="102">
        <f>(8.96*3.8+2.13*2.55+1.42*1.05+1.19)*(10.764)</f>
        <v>453.81562199999996</v>
      </c>
      <c r="G224" s="103"/>
      <c r="H224" s="18">
        <v>0</v>
      </c>
      <c r="I224" s="18">
        <f t="shared" si="34"/>
        <v>453.81562199999996</v>
      </c>
      <c r="J224" s="1">
        <f>K224/I224</f>
        <v>26178.032275847923</v>
      </c>
      <c r="K224" s="1">
        <f>13500000-(13500000*0.12)</f>
        <v>11880000</v>
      </c>
    </row>
    <row r="225" spans="1:10" ht="20.25" x14ac:dyDescent="0.25">
      <c r="A225" s="113"/>
      <c r="B225" s="59"/>
      <c r="C225" s="110">
        <v>4</v>
      </c>
      <c r="D225" s="110"/>
      <c r="E225" s="18" t="s">
        <v>275</v>
      </c>
      <c r="F225" s="102">
        <f>(8.54*3.79+2.13*2.54+1.42*1.05+1.86)*(10.764)</f>
        <v>442.69963919999992</v>
      </c>
      <c r="G225" s="103"/>
      <c r="H225" s="18">
        <v>0</v>
      </c>
      <c r="I225" s="18">
        <f t="shared" si="34"/>
        <v>442.69963919999992</v>
      </c>
      <c r="J225" s="1">
        <f>11800000/I224</f>
        <v>26001.749230219317</v>
      </c>
    </row>
    <row r="226" spans="1:10" ht="20.25" customHeight="1" x14ac:dyDescent="0.25">
      <c r="A226" s="113"/>
      <c r="B226" s="59"/>
      <c r="C226" s="110">
        <v>5</v>
      </c>
      <c r="D226" s="110"/>
      <c r="E226" s="18" t="s">
        <v>275</v>
      </c>
      <c r="F226" s="102">
        <f>(8.18*3.79+2.13*2.54+1.42*1.05+1.86)*(10.764)</f>
        <v>428.01323759999997</v>
      </c>
      <c r="G226" s="103"/>
      <c r="H226" s="18">
        <v>0</v>
      </c>
      <c r="I226" s="18">
        <f t="shared" si="34"/>
        <v>428.01323759999997</v>
      </c>
    </row>
    <row r="227" spans="1:10" ht="20.25" x14ac:dyDescent="0.25">
      <c r="A227" s="113"/>
      <c r="B227" s="59"/>
      <c r="C227" s="110">
        <v>6</v>
      </c>
      <c r="D227" s="110"/>
      <c r="E227" s="18" t="s">
        <v>275</v>
      </c>
      <c r="F227" s="102">
        <f>(7.83*3.79+2.13*2.55+1.42*1.05+1.86)*(10.764)</f>
        <v>413.96406479999996</v>
      </c>
      <c r="G227" s="103"/>
      <c r="H227" s="18">
        <v>0</v>
      </c>
      <c r="I227" s="18">
        <f t="shared" si="34"/>
        <v>413.96406479999996</v>
      </c>
    </row>
    <row r="228" spans="1:10" ht="20.25" x14ac:dyDescent="0.25">
      <c r="A228" s="113"/>
      <c r="B228" s="59"/>
      <c r="C228" s="110">
        <v>7</v>
      </c>
      <c r="D228" s="110"/>
      <c r="E228" s="18" t="s">
        <v>275</v>
      </c>
      <c r="F228" s="102">
        <f>(7.47*3.8+2.12*2.54+1.42*1.05+1.85)*(10.764)</f>
        <v>399.47141520000002</v>
      </c>
      <c r="G228" s="103"/>
      <c r="H228" s="18">
        <v>0</v>
      </c>
      <c r="I228" s="18">
        <f t="shared" si="34"/>
        <v>399.47141520000002</v>
      </c>
    </row>
    <row r="229" spans="1:10" ht="20.25" x14ac:dyDescent="0.25">
      <c r="A229" s="113"/>
      <c r="B229" s="59"/>
      <c r="C229" s="110">
        <v>8</v>
      </c>
      <c r="D229" s="110"/>
      <c r="E229" s="18" t="s">
        <v>275</v>
      </c>
      <c r="F229" s="102">
        <f>(7.09*4.09+2.13*2.84+1.42*1.05+2.07)*(10.764)</f>
        <v>415.57974119999989</v>
      </c>
      <c r="G229" s="103"/>
      <c r="H229" s="18">
        <v>0</v>
      </c>
      <c r="I229" s="18">
        <f t="shared" si="34"/>
        <v>415.57974119999989</v>
      </c>
    </row>
    <row r="230" spans="1:10" ht="20.25" x14ac:dyDescent="0.25">
      <c r="A230" s="113"/>
      <c r="B230" s="59"/>
      <c r="C230" s="110">
        <v>9</v>
      </c>
      <c r="D230" s="110"/>
      <c r="E230" s="18" t="s">
        <v>275</v>
      </c>
      <c r="F230" s="102">
        <f>(6.73*3.82+2.12*2.58+1.42*1.05+1.88)*(10.764)</f>
        <v>371.88758880000006</v>
      </c>
      <c r="G230" s="103"/>
      <c r="H230" s="18">
        <v>0</v>
      </c>
      <c r="I230" s="18">
        <f t="shared" si="34"/>
        <v>371.88758880000006</v>
      </c>
    </row>
    <row r="231" spans="1:10" ht="20.25" x14ac:dyDescent="0.25">
      <c r="A231" s="113"/>
      <c r="B231" s="59"/>
      <c r="C231" s="110">
        <v>10</v>
      </c>
      <c r="D231" s="110"/>
      <c r="E231" s="18" t="s">
        <v>275</v>
      </c>
      <c r="F231" s="102">
        <f>(6.05*6+1.42*1.08+15.7+4.12+2.4)*(10.764)</f>
        <v>646.41695039999979</v>
      </c>
      <c r="G231" s="103"/>
      <c r="H231" s="18">
        <v>0</v>
      </c>
      <c r="I231" s="18">
        <f t="shared" si="34"/>
        <v>646.41695039999979</v>
      </c>
    </row>
    <row r="232" spans="1:10" ht="20.25" x14ac:dyDescent="0.25">
      <c r="A232" s="115"/>
      <c r="B232" s="60"/>
      <c r="C232" s="110">
        <v>11</v>
      </c>
      <c r="D232" s="110"/>
      <c r="E232" s="18" t="s">
        <v>275</v>
      </c>
      <c r="F232" s="102">
        <f>(6.22*5.55+6.08*1.35+1.15*1.59+0.9*1.7)*(10.764)</f>
        <v>496.08584999999994</v>
      </c>
      <c r="G232" s="103"/>
      <c r="H232" s="18">
        <v>0</v>
      </c>
      <c r="I232" s="18">
        <f t="shared" si="34"/>
        <v>496.08584999999994</v>
      </c>
    </row>
    <row r="233" spans="1:10" ht="20.25" x14ac:dyDescent="0.25">
      <c r="A233" s="80" t="s">
        <v>72</v>
      </c>
      <c r="B233" s="80"/>
      <c r="C233" s="80"/>
      <c r="D233" s="80"/>
      <c r="E233" s="80"/>
      <c r="F233" s="80"/>
      <c r="G233" s="80"/>
      <c r="H233" s="80"/>
      <c r="I233" s="80"/>
    </row>
    <row r="234" spans="1:10" ht="252" customHeight="1" x14ac:dyDescent="0.25">
      <c r="A234" s="9" t="s">
        <v>80</v>
      </c>
      <c r="B234" s="12" t="s">
        <v>4</v>
      </c>
      <c r="C234" s="83" t="s">
        <v>291</v>
      </c>
      <c r="D234" s="83"/>
      <c r="E234" s="83"/>
      <c r="F234" s="83"/>
      <c r="G234" s="83"/>
      <c r="H234" s="83"/>
      <c r="I234" s="83"/>
    </row>
    <row r="235" spans="1:10" ht="20.25" x14ac:dyDescent="0.25">
      <c r="A235" s="141" t="s">
        <v>81</v>
      </c>
      <c r="B235" s="141"/>
      <c r="C235" s="141"/>
      <c r="D235" s="141"/>
      <c r="E235" s="141"/>
      <c r="F235" s="141"/>
      <c r="G235" s="141"/>
      <c r="H235" s="141"/>
      <c r="I235" s="141"/>
    </row>
    <row r="236" spans="1:10" ht="20.25" x14ac:dyDescent="0.25">
      <c r="A236" s="123" t="s">
        <v>73</v>
      </c>
      <c r="B236" s="123"/>
      <c r="C236" s="123"/>
      <c r="D236" s="2" t="s">
        <v>4</v>
      </c>
      <c r="E236" s="74" t="str">
        <f>E3</f>
        <v>Ashford Regal Phase II &amp; III</v>
      </c>
      <c r="F236" s="75"/>
      <c r="G236" s="75"/>
      <c r="H236" s="75"/>
      <c r="I236" s="76"/>
    </row>
    <row r="237" spans="1:10" ht="20.25" x14ac:dyDescent="0.25">
      <c r="A237" s="123" t="s">
        <v>130</v>
      </c>
      <c r="B237" s="123"/>
      <c r="C237" s="123"/>
      <c r="D237" s="2" t="s">
        <v>4</v>
      </c>
      <c r="E237" s="74" t="str">
        <f>E10</f>
        <v>M Ashford Regal Rd, Nahur West, Industrial Area, Bhandup West, Mumbai, Maharashtra 400078</v>
      </c>
      <c r="F237" s="75"/>
      <c r="G237" s="75"/>
      <c r="H237" s="75"/>
      <c r="I237" s="76"/>
    </row>
    <row r="238" spans="1:10" ht="20.25" x14ac:dyDescent="0.25">
      <c r="A238" s="151" t="s">
        <v>136</v>
      </c>
      <c r="B238" s="151"/>
      <c r="C238" s="151"/>
      <c r="D238" s="15" t="s">
        <v>4</v>
      </c>
      <c r="E238" s="152" t="str">
        <f>I3</f>
        <v>05/08/2025 @01:17 PM</v>
      </c>
      <c r="F238" s="153"/>
      <c r="G238" s="153"/>
      <c r="H238" s="153"/>
      <c r="I238" s="154"/>
    </row>
    <row r="239" spans="1:10" ht="20.25" x14ac:dyDescent="0.25">
      <c r="A239" s="26"/>
      <c r="B239" s="27"/>
      <c r="C239" s="27"/>
      <c r="D239" s="27"/>
      <c r="E239" s="27"/>
      <c r="F239" s="27"/>
      <c r="G239" s="27"/>
      <c r="H239" s="27"/>
      <c r="I239" s="22"/>
    </row>
    <row r="240" spans="1:10" ht="20.25" x14ac:dyDescent="0.25">
      <c r="A240" s="28"/>
      <c r="B240" s="29"/>
      <c r="C240" s="29"/>
      <c r="D240" s="29"/>
      <c r="E240" s="29"/>
      <c r="F240" s="29"/>
      <c r="G240" s="29"/>
      <c r="H240" s="29"/>
      <c r="I240" s="23"/>
      <c r="J240"/>
    </row>
    <row r="241" spans="1:9" ht="20.25" x14ac:dyDescent="0.25">
      <c r="A241" s="28"/>
      <c r="B241" s="29"/>
      <c r="C241" s="29"/>
      <c r="D241" s="29"/>
      <c r="E241" s="29"/>
      <c r="F241" s="29"/>
      <c r="G241" s="29"/>
      <c r="H241" s="29"/>
      <c r="I241" s="23"/>
    </row>
    <row r="242" spans="1:9" ht="20.25" x14ac:dyDescent="0.25">
      <c r="A242" s="28"/>
      <c r="B242" s="29"/>
      <c r="C242" s="29"/>
      <c r="D242" s="29"/>
      <c r="E242" s="29"/>
      <c r="F242" s="29"/>
      <c r="G242" s="29"/>
      <c r="H242" s="29"/>
      <c r="I242" s="23"/>
    </row>
    <row r="243" spans="1:9" ht="20.25" x14ac:dyDescent="0.25">
      <c r="A243" s="28"/>
      <c r="B243" s="29"/>
      <c r="C243" s="29"/>
      <c r="D243" s="29"/>
      <c r="E243" s="29"/>
      <c r="F243" s="29"/>
      <c r="G243" s="29"/>
      <c r="H243" s="29"/>
      <c r="I243" s="23"/>
    </row>
    <row r="244" spans="1:9" ht="20.25" x14ac:dyDescent="0.25">
      <c r="A244" s="28"/>
      <c r="B244" s="29"/>
      <c r="C244" s="29"/>
      <c r="D244" s="29"/>
      <c r="E244" s="29"/>
      <c r="F244" s="29"/>
      <c r="G244" s="29"/>
      <c r="H244" s="29"/>
      <c r="I244" s="23"/>
    </row>
    <row r="245" spans="1:9" ht="20.25" x14ac:dyDescent="0.25">
      <c r="A245" s="28"/>
      <c r="B245" s="29"/>
      <c r="C245" s="29"/>
      <c r="D245" s="29"/>
      <c r="E245" s="29"/>
      <c r="F245" s="29"/>
      <c r="G245" s="29"/>
      <c r="H245" s="29"/>
      <c r="I245" s="23"/>
    </row>
    <row r="246" spans="1:9" ht="20.25" x14ac:dyDescent="0.25">
      <c r="A246" s="28"/>
      <c r="B246" s="29"/>
      <c r="C246" s="29"/>
      <c r="D246" s="29"/>
      <c r="E246" s="29"/>
      <c r="F246" s="29"/>
      <c r="G246" s="29"/>
      <c r="H246" s="29"/>
      <c r="I246" s="23"/>
    </row>
    <row r="247" spans="1:9" ht="20.25" x14ac:dyDescent="0.25">
      <c r="A247" s="28"/>
      <c r="B247" s="29"/>
      <c r="C247" s="29"/>
      <c r="D247" s="29"/>
      <c r="E247" s="29"/>
      <c r="F247" s="29"/>
      <c r="G247" s="29"/>
      <c r="H247" s="29"/>
      <c r="I247" s="23"/>
    </row>
    <row r="248" spans="1:9" ht="20.25" x14ac:dyDescent="0.25">
      <c r="A248" s="28"/>
      <c r="B248" s="29"/>
      <c r="C248" s="29"/>
      <c r="D248" s="29"/>
      <c r="E248" s="29"/>
      <c r="F248" s="29"/>
      <c r="G248" s="29"/>
      <c r="H248" s="29"/>
      <c r="I248" s="23"/>
    </row>
    <row r="249" spans="1:9" ht="20.25" x14ac:dyDescent="0.25">
      <c r="A249" s="28"/>
      <c r="B249" s="29"/>
      <c r="C249" s="29"/>
      <c r="D249" s="29"/>
      <c r="E249" s="29"/>
      <c r="F249" s="29"/>
      <c r="G249" s="29"/>
      <c r="H249" s="29"/>
      <c r="I249" s="23"/>
    </row>
    <row r="250" spans="1:9" ht="20.25" x14ac:dyDescent="0.25">
      <c r="A250" s="28"/>
      <c r="B250" s="29"/>
      <c r="C250" s="29"/>
      <c r="D250" s="29"/>
      <c r="E250" s="29"/>
      <c r="F250" s="29"/>
      <c r="G250" s="29"/>
      <c r="H250" s="29"/>
      <c r="I250" s="23"/>
    </row>
    <row r="251" spans="1:9" ht="20.25" x14ac:dyDescent="0.25">
      <c r="A251" s="28"/>
      <c r="B251" s="29"/>
      <c r="C251" s="29"/>
      <c r="D251" s="29"/>
      <c r="E251" s="29"/>
      <c r="F251" s="29"/>
      <c r="G251" s="29"/>
      <c r="H251" s="29"/>
      <c r="I251" s="23"/>
    </row>
    <row r="252" spans="1:9" ht="20.25" x14ac:dyDescent="0.25">
      <c r="A252" s="28"/>
      <c r="B252" s="29"/>
      <c r="C252" s="29"/>
      <c r="D252" s="29"/>
      <c r="E252" s="29"/>
      <c r="F252" s="29"/>
      <c r="G252" s="29"/>
      <c r="H252" s="29"/>
      <c r="I252" s="23"/>
    </row>
    <row r="253" spans="1:9" ht="20.25" x14ac:dyDescent="0.25">
      <c r="A253" s="28"/>
      <c r="B253" s="29"/>
      <c r="C253" s="29"/>
      <c r="D253" s="29"/>
      <c r="E253" s="29"/>
      <c r="F253" s="29"/>
      <c r="G253" s="29"/>
      <c r="H253" s="29"/>
      <c r="I253" s="23"/>
    </row>
    <row r="254" spans="1:9" ht="20.25" x14ac:dyDescent="0.25">
      <c r="A254" s="28"/>
      <c r="B254" s="29"/>
      <c r="C254" s="29"/>
      <c r="D254" s="29"/>
      <c r="E254" s="29"/>
      <c r="F254" s="29"/>
      <c r="G254" s="29"/>
      <c r="H254" s="29"/>
      <c r="I254" s="23"/>
    </row>
    <row r="255" spans="1:9" ht="20.25" x14ac:dyDescent="0.25">
      <c r="A255" s="28"/>
      <c r="B255" s="29"/>
      <c r="C255" s="29"/>
      <c r="D255" s="29"/>
      <c r="E255" s="29"/>
      <c r="F255" s="29"/>
      <c r="G255" s="29"/>
      <c r="H255" s="29"/>
      <c r="I255" s="23"/>
    </row>
    <row r="256" spans="1:9" ht="20.25" x14ac:dyDescent="0.25">
      <c r="A256" s="28"/>
      <c r="B256" s="29"/>
      <c r="C256" s="29"/>
      <c r="D256" s="29"/>
      <c r="E256" s="29"/>
      <c r="F256" s="29"/>
      <c r="G256" s="29"/>
      <c r="H256" s="29"/>
      <c r="I256" s="23"/>
    </row>
    <row r="257" spans="1:9" ht="20.25" x14ac:dyDescent="0.25">
      <c r="A257" s="28"/>
      <c r="B257" s="29"/>
      <c r="C257" s="29"/>
      <c r="D257" s="29"/>
      <c r="E257" s="29"/>
      <c r="F257" s="29"/>
      <c r="G257" s="29"/>
      <c r="H257" s="29"/>
      <c r="I257" s="23"/>
    </row>
    <row r="258" spans="1:9" ht="20.25" x14ac:dyDescent="0.25">
      <c r="A258" s="28"/>
      <c r="B258" s="29"/>
      <c r="C258" s="29"/>
      <c r="D258" s="29"/>
      <c r="E258" s="29"/>
      <c r="F258" s="29"/>
      <c r="G258" s="29"/>
      <c r="H258" s="29"/>
      <c r="I258" s="23"/>
    </row>
    <row r="259" spans="1:9" ht="20.25" x14ac:dyDescent="0.25">
      <c r="A259" s="28"/>
      <c r="B259" s="29"/>
      <c r="C259" s="29"/>
      <c r="D259" s="29"/>
      <c r="E259" s="29"/>
      <c r="F259" s="29"/>
      <c r="G259" s="29"/>
      <c r="H259" s="29"/>
      <c r="I259" s="23"/>
    </row>
    <row r="260" spans="1:9" ht="20.25" x14ac:dyDescent="0.25">
      <c r="A260" s="28"/>
      <c r="B260" s="29"/>
      <c r="C260" s="29"/>
      <c r="D260" s="29"/>
      <c r="E260" s="29"/>
      <c r="F260" s="29"/>
      <c r="G260" s="29"/>
      <c r="H260" s="29"/>
      <c r="I260" s="23"/>
    </row>
    <row r="261" spans="1:9" ht="20.25" x14ac:dyDescent="0.25">
      <c r="A261" s="28"/>
      <c r="B261" s="29"/>
      <c r="C261" s="29"/>
      <c r="D261" s="29"/>
      <c r="E261" s="29"/>
      <c r="F261" s="29"/>
      <c r="G261" s="29"/>
      <c r="H261" s="29"/>
      <c r="I261" s="23"/>
    </row>
    <row r="262" spans="1:9" ht="20.25" x14ac:dyDescent="0.25">
      <c r="A262" s="28"/>
      <c r="B262" s="29"/>
      <c r="C262" s="29"/>
      <c r="D262" s="29"/>
      <c r="E262" s="29"/>
      <c r="F262" s="29"/>
      <c r="G262" s="29"/>
      <c r="H262" s="29"/>
      <c r="I262" s="23"/>
    </row>
    <row r="263" spans="1:9" ht="20.25" x14ac:dyDescent="0.25">
      <c r="A263" s="28"/>
      <c r="B263" s="29"/>
      <c r="C263" s="29"/>
      <c r="D263" s="29"/>
      <c r="E263" s="29"/>
      <c r="F263" s="29"/>
      <c r="G263" s="29"/>
      <c r="H263" s="29"/>
      <c r="I263" s="23"/>
    </row>
    <row r="264" spans="1:9" ht="20.25" x14ac:dyDescent="0.25">
      <c r="A264" s="28"/>
      <c r="B264" s="29"/>
      <c r="C264" s="29"/>
      <c r="D264" s="29"/>
      <c r="E264" s="29"/>
      <c r="F264" s="29"/>
      <c r="G264" s="29"/>
      <c r="H264" s="29"/>
      <c r="I264" s="23"/>
    </row>
    <row r="265" spans="1:9" ht="20.25" hidden="1" x14ac:dyDescent="0.25">
      <c r="A265" s="28"/>
      <c r="B265" s="29"/>
      <c r="C265" s="29"/>
      <c r="D265" s="29"/>
      <c r="E265" s="29"/>
      <c r="F265" s="29"/>
      <c r="G265" s="29"/>
      <c r="H265" s="29"/>
      <c r="I265" s="23"/>
    </row>
    <row r="266" spans="1:9" ht="20.25" hidden="1" x14ac:dyDescent="0.25">
      <c r="A266" s="28"/>
      <c r="B266" s="29"/>
      <c r="C266" s="29"/>
      <c r="D266" s="29"/>
      <c r="E266" s="29"/>
      <c r="F266" s="29"/>
      <c r="G266" s="29"/>
      <c r="H266" s="29"/>
      <c r="I266" s="23"/>
    </row>
    <row r="267" spans="1:9" ht="20.25" hidden="1" x14ac:dyDescent="0.25">
      <c r="A267" s="28"/>
      <c r="B267" s="29"/>
      <c r="C267" s="29"/>
      <c r="D267" s="29"/>
      <c r="E267" s="29"/>
      <c r="F267" s="29"/>
      <c r="G267" s="29"/>
      <c r="H267" s="29"/>
      <c r="I267" s="23"/>
    </row>
    <row r="268" spans="1:9" ht="20.25" hidden="1" x14ac:dyDescent="0.25">
      <c r="A268" s="28"/>
      <c r="B268" s="29"/>
      <c r="C268" s="29"/>
      <c r="D268" s="29"/>
      <c r="E268" s="29"/>
      <c r="F268" s="29"/>
      <c r="G268" s="29"/>
      <c r="H268" s="29"/>
      <c r="I268" s="23"/>
    </row>
    <row r="269" spans="1:9" ht="20.25" hidden="1" x14ac:dyDescent="0.25">
      <c r="A269" s="28"/>
      <c r="B269" s="29"/>
      <c r="C269" s="29"/>
      <c r="D269" s="29"/>
      <c r="E269" s="29"/>
      <c r="F269" s="29"/>
      <c r="G269" s="29"/>
      <c r="H269" s="29"/>
      <c r="I269" s="23"/>
    </row>
    <row r="270" spans="1:9" ht="20.25" hidden="1" x14ac:dyDescent="0.25">
      <c r="A270" s="28"/>
      <c r="B270" s="29"/>
      <c r="C270" s="29"/>
      <c r="D270" s="29"/>
      <c r="E270" s="29"/>
      <c r="F270" s="29"/>
      <c r="G270" s="29"/>
      <c r="H270" s="29"/>
      <c r="I270" s="23"/>
    </row>
    <row r="271" spans="1:9" ht="20.25" hidden="1" x14ac:dyDescent="0.25">
      <c r="A271" s="28"/>
      <c r="B271" s="29"/>
      <c r="C271" s="29"/>
      <c r="D271" s="29"/>
      <c r="E271" s="29"/>
      <c r="F271" s="29"/>
      <c r="G271" s="29"/>
      <c r="H271" s="29"/>
      <c r="I271" s="23"/>
    </row>
    <row r="272" spans="1:9" ht="20.25" hidden="1" x14ac:dyDescent="0.25">
      <c r="A272" s="28"/>
      <c r="B272" s="29"/>
      <c r="C272" s="29"/>
      <c r="D272" s="29"/>
      <c r="E272" s="29"/>
      <c r="F272" s="29"/>
      <c r="G272" s="29"/>
      <c r="H272" s="29"/>
      <c r="I272" s="23"/>
    </row>
    <row r="273" spans="1:9" ht="20.25" hidden="1" x14ac:dyDescent="0.25">
      <c r="A273" s="28"/>
      <c r="B273" s="29"/>
      <c r="C273" s="29"/>
      <c r="D273" s="29"/>
      <c r="E273" s="29"/>
      <c r="F273" s="29"/>
      <c r="G273" s="29"/>
      <c r="H273" s="29"/>
      <c r="I273" s="23"/>
    </row>
    <row r="274" spans="1:9" ht="20.25" hidden="1" x14ac:dyDescent="0.25">
      <c r="A274" s="28"/>
      <c r="B274" s="29"/>
      <c r="C274" s="29"/>
      <c r="D274" s="29"/>
      <c r="E274" s="29"/>
      <c r="F274" s="29"/>
      <c r="G274" s="29"/>
      <c r="H274" s="29"/>
      <c r="I274" s="23"/>
    </row>
    <row r="275" spans="1:9" ht="20.25" hidden="1" x14ac:dyDescent="0.25">
      <c r="A275" s="28"/>
      <c r="B275" s="29"/>
      <c r="C275" s="29"/>
      <c r="D275" s="29"/>
      <c r="E275" s="29"/>
      <c r="F275" s="29"/>
      <c r="G275" s="29"/>
      <c r="H275" s="29"/>
      <c r="I275" s="23"/>
    </row>
    <row r="276" spans="1:9" ht="20.25" hidden="1" x14ac:dyDescent="0.25">
      <c r="A276" s="28"/>
      <c r="B276" s="29"/>
      <c r="C276" s="29"/>
      <c r="D276" s="29"/>
      <c r="E276" s="29"/>
      <c r="F276" s="29"/>
      <c r="G276" s="29"/>
      <c r="H276" s="29"/>
      <c r="I276" s="23"/>
    </row>
    <row r="277" spans="1:9" ht="20.25" hidden="1" x14ac:dyDescent="0.25">
      <c r="A277" s="28"/>
      <c r="B277" s="29"/>
      <c r="C277" s="29"/>
      <c r="D277" s="29"/>
      <c r="E277" s="29"/>
      <c r="F277" s="29"/>
      <c r="G277" s="29"/>
      <c r="H277" s="29"/>
      <c r="I277" s="23"/>
    </row>
    <row r="278" spans="1:9" ht="20.25" hidden="1" x14ac:dyDescent="0.25">
      <c r="A278" s="28"/>
      <c r="B278" s="29"/>
      <c r="C278" s="29"/>
      <c r="D278" s="29"/>
      <c r="E278" s="29"/>
      <c r="F278" s="29"/>
      <c r="G278" s="29"/>
      <c r="H278" s="29"/>
      <c r="I278" s="23"/>
    </row>
    <row r="279" spans="1:9" ht="20.25" hidden="1" x14ac:dyDescent="0.25">
      <c r="A279" s="28"/>
      <c r="B279" s="29"/>
      <c r="C279" s="29"/>
      <c r="D279" s="29"/>
      <c r="E279" s="29"/>
      <c r="F279" s="29"/>
      <c r="G279" s="29"/>
      <c r="H279" s="29"/>
      <c r="I279" s="23"/>
    </row>
    <row r="280" spans="1:9" ht="20.25" hidden="1" x14ac:dyDescent="0.25">
      <c r="A280" s="28"/>
      <c r="B280" s="29"/>
      <c r="C280" s="29"/>
      <c r="D280" s="29"/>
      <c r="E280" s="29"/>
      <c r="F280" s="29"/>
      <c r="G280" s="29"/>
      <c r="H280" s="29"/>
      <c r="I280" s="23"/>
    </row>
    <row r="281" spans="1:9" ht="20.25" x14ac:dyDescent="0.25">
      <c r="A281" s="28"/>
      <c r="B281" s="29"/>
      <c r="C281" s="29"/>
      <c r="D281" s="29"/>
      <c r="E281" s="29"/>
      <c r="F281" s="29"/>
      <c r="G281" s="29"/>
      <c r="H281" s="29"/>
      <c r="I281" s="23"/>
    </row>
    <row r="282" spans="1:9" ht="20.25" x14ac:dyDescent="0.25">
      <c r="A282" s="28"/>
      <c r="B282" s="29"/>
      <c r="C282" s="29"/>
      <c r="D282" s="29"/>
      <c r="E282" s="29"/>
      <c r="F282" s="29"/>
      <c r="G282" s="29"/>
      <c r="H282" s="29"/>
      <c r="I282" s="23"/>
    </row>
    <row r="283" spans="1:9" ht="20.25" x14ac:dyDescent="0.25">
      <c r="A283" s="28"/>
      <c r="B283" s="29"/>
      <c r="C283" s="29"/>
      <c r="D283" s="29"/>
      <c r="E283" s="29"/>
      <c r="F283" s="29"/>
      <c r="G283" s="29"/>
      <c r="H283" s="29"/>
      <c r="I283" s="23"/>
    </row>
    <row r="284" spans="1:9" ht="20.25" x14ac:dyDescent="0.25">
      <c r="A284" s="28"/>
      <c r="B284" s="29"/>
      <c r="C284" s="29"/>
      <c r="D284" s="29"/>
      <c r="E284" s="29"/>
      <c r="F284" s="29"/>
      <c r="G284" s="29"/>
      <c r="H284" s="29"/>
      <c r="I284" s="23"/>
    </row>
    <row r="285" spans="1:9" ht="20.25" x14ac:dyDescent="0.25">
      <c r="A285" s="28"/>
      <c r="B285" s="29"/>
      <c r="C285" s="29"/>
      <c r="D285" s="29"/>
      <c r="E285" s="29"/>
      <c r="F285" s="29"/>
      <c r="G285" s="29"/>
      <c r="H285" s="29"/>
      <c r="I285" s="23"/>
    </row>
    <row r="286" spans="1:9" ht="20.25" x14ac:dyDescent="0.25">
      <c r="A286" s="28"/>
      <c r="B286" s="29"/>
      <c r="C286" s="29"/>
      <c r="D286" s="29"/>
      <c r="E286" s="29"/>
      <c r="F286" s="29"/>
      <c r="G286" s="29"/>
      <c r="H286" s="29"/>
      <c r="I286" s="23"/>
    </row>
    <row r="287" spans="1:9" ht="20.25" x14ac:dyDescent="0.25">
      <c r="A287" s="28"/>
      <c r="B287" s="29"/>
      <c r="C287" s="29"/>
      <c r="D287" s="29"/>
      <c r="E287" s="29"/>
      <c r="F287" s="29"/>
      <c r="G287" s="29"/>
      <c r="H287" s="29"/>
      <c r="I287" s="23"/>
    </row>
    <row r="288" spans="1:9" ht="20.25" x14ac:dyDescent="0.25">
      <c r="A288" s="30"/>
      <c r="B288" s="31"/>
      <c r="C288" s="31"/>
      <c r="D288" s="31"/>
      <c r="E288" s="31"/>
      <c r="F288" s="31"/>
      <c r="G288" s="31"/>
      <c r="H288" s="31"/>
      <c r="I288" s="24"/>
    </row>
    <row r="289" spans="1:9" ht="20.25" x14ac:dyDescent="0.25">
      <c r="A289" s="131" t="s">
        <v>211</v>
      </c>
      <c r="B289" s="132"/>
      <c r="C289" s="132"/>
      <c r="D289" s="132"/>
      <c r="E289" s="132"/>
      <c r="F289" s="132"/>
      <c r="G289" s="132"/>
      <c r="H289" s="132"/>
      <c r="I289" s="133"/>
    </row>
    <row r="290" spans="1:9" ht="20.25" x14ac:dyDescent="0.25">
      <c r="A290" s="26"/>
      <c r="B290" s="27"/>
      <c r="C290" s="27"/>
      <c r="D290" s="27"/>
      <c r="E290" s="27"/>
      <c r="F290" s="27"/>
      <c r="G290" s="27"/>
      <c r="H290" s="27"/>
      <c r="I290" s="22"/>
    </row>
    <row r="291" spans="1:9" ht="20.25" x14ac:dyDescent="0.25">
      <c r="A291" s="28"/>
      <c r="B291" s="29"/>
      <c r="C291" s="29"/>
      <c r="D291" s="29"/>
      <c r="E291" s="29"/>
      <c r="F291" s="29"/>
      <c r="G291" s="29"/>
      <c r="H291" s="29"/>
      <c r="I291" s="23"/>
    </row>
    <row r="292" spans="1:9" ht="20.25" x14ac:dyDescent="0.25">
      <c r="A292" s="28"/>
      <c r="B292" s="29"/>
      <c r="C292" s="29"/>
      <c r="D292" s="29"/>
      <c r="E292" s="29"/>
      <c r="F292" s="29"/>
      <c r="G292" s="29"/>
      <c r="H292" s="29"/>
      <c r="I292" s="23"/>
    </row>
    <row r="293" spans="1:9" ht="20.25" x14ac:dyDescent="0.25">
      <c r="A293" s="28"/>
      <c r="B293" s="29"/>
      <c r="C293" s="29"/>
      <c r="D293" s="29"/>
      <c r="E293" s="29"/>
      <c r="F293" s="29"/>
      <c r="G293" s="29"/>
      <c r="H293" s="29"/>
      <c r="I293" s="23"/>
    </row>
    <row r="294" spans="1:9" ht="20.25" x14ac:dyDescent="0.25">
      <c r="A294" s="28"/>
      <c r="B294" s="29"/>
      <c r="C294" s="29"/>
      <c r="D294" s="29"/>
      <c r="E294" s="29"/>
      <c r="F294" s="29"/>
      <c r="G294" s="29"/>
      <c r="H294" s="29"/>
      <c r="I294" s="23"/>
    </row>
    <row r="295" spans="1:9" ht="20.25" x14ac:dyDescent="0.25">
      <c r="A295" s="28"/>
      <c r="B295" s="29"/>
      <c r="C295" s="29"/>
      <c r="D295" s="29"/>
      <c r="E295" s="29"/>
      <c r="F295" s="29"/>
      <c r="G295" s="29"/>
      <c r="H295" s="29"/>
      <c r="I295" s="23"/>
    </row>
    <row r="296" spans="1:9" ht="20.25" x14ac:dyDescent="0.25">
      <c r="A296" s="28"/>
      <c r="B296" s="29"/>
      <c r="C296" s="29"/>
      <c r="D296" s="29"/>
      <c r="E296" s="29"/>
      <c r="F296" s="29"/>
      <c r="G296" s="29"/>
      <c r="H296" s="29"/>
      <c r="I296" s="23"/>
    </row>
    <row r="297" spans="1:9" ht="20.25" x14ac:dyDescent="0.25">
      <c r="A297" s="28"/>
      <c r="B297" s="29"/>
      <c r="C297" s="29"/>
      <c r="D297" s="29"/>
      <c r="E297" s="29"/>
      <c r="F297" s="29"/>
      <c r="G297" s="29"/>
      <c r="H297" s="29"/>
      <c r="I297" s="23"/>
    </row>
    <row r="298" spans="1:9" ht="20.25" x14ac:dyDescent="0.25">
      <c r="A298" s="28"/>
      <c r="B298" s="29"/>
      <c r="C298" s="29"/>
      <c r="D298" s="29"/>
      <c r="E298" s="29"/>
      <c r="F298" s="29"/>
      <c r="G298" s="29"/>
      <c r="H298" s="29"/>
      <c r="I298" s="23"/>
    </row>
    <row r="299" spans="1:9" ht="20.25" x14ac:dyDescent="0.25">
      <c r="A299" s="28"/>
      <c r="B299" s="29"/>
      <c r="C299" s="29"/>
      <c r="D299" s="29"/>
      <c r="E299" s="29"/>
      <c r="F299" s="29"/>
      <c r="G299" s="29"/>
      <c r="H299" s="29"/>
      <c r="I299" s="23"/>
    </row>
    <row r="300" spans="1:9" ht="20.25" x14ac:dyDescent="0.25">
      <c r="A300" s="28"/>
      <c r="B300" s="29"/>
      <c r="C300" s="29"/>
      <c r="D300" s="29"/>
      <c r="E300" s="29"/>
      <c r="F300" s="29"/>
      <c r="G300" s="29"/>
      <c r="H300" s="29"/>
      <c r="I300" s="23"/>
    </row>
    <row r="301" spans="1:9" ht="20.25" x14ac:dyDescent="0.25">
      <c r="A301" s="28"/>
      <c r="B301" s="29"/>
      <c r="C301" s="29"/>
      <c r="D301" s="29"/>
      <c r="E301" s="29"/>
      <c r="F301" s="29"/>
      <c r="G301" s="29"/>
      <c r="H301" s="29"/>
      <c r="I301" s="23"/>
    </row>
    <row r="302" spans="1:9" ht="20.25" x14ac:dyDescent="0.25">
      <c r="A302" s="28"/>
      <c r="B302" s="29"/>
      <c r="C302" s="29"/>
      <c r="D302" s="29"/>
      <c r="E302" s="29"/>
      <c r="F302" s="29"/>
      <c r="G302" s="29"/>
      <c r="H302" s="29"/>
      <c r="I302" s="23"/>
    </row>
    <row r="303" spans="1:9" ht="20.25" x14ac:dyDescent="0.25">
      <c r="A303" s="28"/>
      <c r="B303" s="29"/>
      <c r="C303" s="29"/>
      <c r="D303" s="29"/>
      <c r="E303" s="29"/>
      <c r="F303" s="29"/>
      <c r="G303" s="29"/>
      <c r="H303" s="29"/>
      <c r="I303" s="23"/>
    </row>
    <row r="304" spans="1:9" ht="20.25" x14ac:dyDescent="0.25">
      <c r="A304" s="28"/>
      <c r="B304" s="29"/>
      <c r="C304" s="29"/>
      <c r="D304" s="29"/>
      <c r="E304" s="29"/>
      <c r="F304" s="29"/>
      <c r="G304" s="29"/>
      <c r="H304" s="29"/>
      <c r="I304" s="23"/>
    </row>
    <row r="305" spans="1:9" ht="20.25" x14ac:dyDescent="0.25">
      <c r="A305" s="28"/>
      <c r="B305" s="29"/>
      <c r="C305" s="29"/>
      <c r="D305" s="29"/>
      <c r="E305" s="29"/>
      <c r="F305" s="29"/>
      <c r="G305" s="29"/>
      <c r="H305" s="29"/>
      <c r="I305" s="23"/>
    </row>
    <row r="306" spans="1:9" ht="20.25" x14ac:dyDescent="0.25">
      <c r="A306" s="28"/>
      <c r="B306" s="29"/>
      <c r="C306" s="29"/>
      <c r="D306" s="29"/>
      <c r="E306" s="29"/>
      <c r="F306" s="29"/>
      <c r="G306" s="29"/>
      <c r="H306" s="29"/>
      <c r="I306" s="23"/>
    </row>
    <row r="307" spans="1:9" ht="20.25" x14ac:dyDescent="0.25">
      <c r="A307" s="28"/>
      <c r="B307" s="29"/>
      <c r="C307" s="29"/>
      <c r="D307" s="29"/>
      <c r="E307" s="29"/>
      <c r="F307" s="29"/>
      <c r="G307" s="29"/>
      <c r="H307" s="29"/>
      <c r="I307" s="23"/>
    </row>
    <row r="308" spans="1:9" ht="20.25" x14ac:dyDescent="0.25">
      <c r="A308" s="28"/>
      <c r="B308" s="29"/>
      <c r="C308" s="29"/>
      <c r="D308" s="29"/>
      <c r="E308" s="29"/>
      <c r="F308" s="29"/>
      <c r="G308" s="29"/>
      <c r="H308" s="29"/>
      <c r="I308" s="23"/>
    </row>
    <row r="309" spans="1:9" ht="20.25" x14ac:dyDescent="0.25">
      <c r="A309" s="28"/>
      <c r="B309" s="29"/>
      <c r="C309" s="29"/>
      <c r="D309" s="29"/>
      <c r="E309" s="29"/>
      <c r="F309" s="29"/>
      <c r="G309" s="29"/>
      <c r="H309" s="29"/>
      <c r="I309" s="23"/>
    </row>
    <row r="310" spans="1:9" ht="20.25" x14ac:dyDescent="0.25">
      <c r="A310" s="28"/>
      <c r="B310" s="29"/>
      <c r="C310" s="29"/>
      <c r="D310" s="29"/>
      <c r="E310" s="29"/>
      <c r="F310" s="29"/>
      <c r="G310" s="29"/>
      <c r="H310" s="29"/>
      <c r="I310" s="23"/>
    </row>
    <row r="311" spans="1:9" ht="20.25" x14ac:dyDescent="0.25">
      <c r="A311" s="28"/>
      <c r="B311" s="29"/>
      <c r="C311" s="29"/>
      <c r="D311" s="29"/>
      <c r="E311" s="29"/>
      <c r="F311" s="29"/>
      <c r="G311" s="29"/>
      <c r="H311" s="29"/>
      <c r="I311" s="23"/>
    </row>
    <row r="312" spans="1:9" ht="20.25" x14ac:dyDescent="0.25">
      <c r="A312" s="28"/>
      <c r="B312" s="29"/>
      <c r="C312" s="29"/>
      <c r="D312" s="29"/>
      <c r="E312" s="29"/>
      <c r="F312" s="29"/>
      <c r="G312" s="29"/>
      <c r="H312" s="29"/>
      <c r="I312" s="23"/>
    </row>
    <row r="313" spans="1:9" ht="20.25" x14ac:dyDescent="0.25">
      <c r="A313" s="28"/>
      <c r="B313" s="29"/>
      <c r="C313" s="29"/>
      <c r="D313" s="29"/>
      <c r="E313" s="29"/>
      <c r="F313" s="29"/>
      <c r="G313" s="29"/>
      <c r="H313" s="29"/>
      <c r="I313" s="23"/>
    </row>
    <row r="314" spans="1:9" ht="20.25" x14ac:dyDescent="0.25">
      <c r="A314" s="28"/>
      <c r="B314" s="29"/>
      <c r="C314" s="29"/>
      <c r="D314" s="29"/>
      <c r="E314" s="29"/>
      <c r="F314" s="29"/>
      <c r="G314" s="29"/>
      <c r="H314" s="29"/>
      <c r="I314" s="23"/>
    </row>
    <row r="315" spans="1:9" ht="45" customHeight="1" x14ac:dyDescent="0.25">
      <c r="A315" s="28"/>
      <c r="B315" s="29"/>
      <c r="C315" s="29"/>
      <c r="D315" s="29"/>
      <c r="E315" s="29"/>
      <c r="F315" s="29"/>
      <c r="G315" s="29"/>
      <c r="H315" s="29"/>
      <c r="I315" s="23"/>
    </row>
    <row r="316" spans="1:9" ht="20.25" x14ac:dyDescent="0.25">
      <c r="A316" s="28"/>
      <c r="B316" s="29"/>
      <c r="C316" s="29"/>
      <c r="D316" s="29"/>
      <c r="E316" s="29"/>
      <c r="F316" s="29"/>
      <c r="G316" s="29"/>
      <c r="H316" s="29"/>
      <c r="I316" s="23"/>
    </row>
    <row r="317" spans="1:9" ht="20.25" x14ac:dyDescent="0.25">
      <c r="A317" s="28"/>
      <c r="B317" s="29"/>
      <c r="C317" s="29"/>
      <c r="D317" s="29"/>
      <c r="E317" s="29"/>
      <c r="F317" s="29"/>
      <c r="G317" s="29"/>
      <c r="H317" s="29"/>
      <c r="I317" s="23"/>
    </row>
    <row r="318" spans="1:9" ht="20.25" x14ac:dyDescent="0.25">
      <c r="A318" s="28"/>
      <c r="B318" s="29"/>
      <c r="C318" s="29"/>
      <c r="D318" s="29"/>
      <c r="E318" s="29"/>
      <c r="F318" s="29"/>
      <c r="G318" s="29"/>
      <c r="H318" s="29"/>
      <c r="I318" s="23"/>
    </row>
    <row r="319" spans="1:9" ht="20.25" x14ac:dyDescent="0.25">
      <c r="A319" s="28"/>
      <c r="B319" s="29"/>
      <c r="C319" s="29"/>
      <c r="D319" s="29"/>
      <c r="E319" s="29"/>
      <c r="F319" s="29"/>
      <c r="G319" s="29"/>
      <c r="H319" s="29"/>
      <c r="I319" s="23"/>
    </row>
    <row r="320" spans="1:9" ht="103.5" customHeight="1" x14ac:dyDescent="0.25">
      <c r="A320" s="28"/>
      <c r="B320" s="29"/>
      <c r="C320" s="29"/>
      <c r="D320" s="29"/>
      <c r="E320" s="29"/>
      <c r="F320" s="29"/>
      <c r="G320" s="29"/>
      <c r="H320" s="29"/>
      <c r="I320" s="23"/>
    </row>
    <row r="321" spans="1:9" ht="20.25" x14ac:dyDescent="0.25">
      <c r="A321" s="28"/>
      <c r="B321" s="29"/>
      <c r="C321" s="29"/>
      <c r="D321" s="29"/>
      <c r="E321" s="29"/>
      <c r="F321" s="29"/>
      <c r="G321" s="29"/>
      <c r="H321" s="29"/>
      <c r="I321" s="23"/>
    </row>
    <row r="322" spans="1:9" ht="20.25" x14ac:dyDescent="0.25">
      <c r="A322" s="28"/>
      <c r="B322" s="29"/>
      <c r="C322" s="29"/>
      <c r="D322" s="29"/>
      <c r="E322" s="29"/>
      <c r="F322" s="29"/>
      <c r="G322" s="29"/>
      <c r="H322" s="29"/>
      <c r="I322" s="23"/>
    </row>
    <row r="323" spans="1:9" ht="20.25" x14ac:dyDescent="0.25">
      <c r="A323" s="28"/>
      <c r="B323" s="29"/>
      <c r="C323" s="29"/>
      <c r="D323" s="29"/>
      <c r="E323" s="29"/>
      <c r="F323" s="29"/>
      <c r="G323" s="29"/>
      <c r="H323" s="29"/>
      <c r="I323" s="23"/>
    </row>
    <row r="324" spans="1:9" ht="20.25" x14ac:dyDescent="0.25">
      <c r="A324" s="28"/>
      <c r="B324" s="29"/>
      <c r="C324" s="29"/>
      <c r="D324" s="29"/>
      <c r="E324" s="29"/>
      <c r="F324" s="29"/>
      <c r="G324" s="29"/>
      <c r="H324" s="29"/>
      <c r="I324" s="23"/>
    </row>
    <row r="325" spans="1:9" ht="20.25" x14ac:dyDescent="0.25">
      <c r="A325" s="28"/>
      <c r="B325" s="29"/>
      <c r="C325" s="29"/>
      <c r="D325" s="29"/>
      <c r="E325" s="29"/>
      <c r="F325" s="29"/>
      <c r="G325" s="29"/>
      <c r="H325" s="29"/>
      <c r="I325" s="23"/>
    </row>
    <row r="326" spans="1:9" ht="20.25" x14ac:dyDescent="0.25">
      <c r="A326" s="28"/>
      <c r="B326" s="29"/>
      <c r="C326" s="29"/>
      <c r="D326" s="29"/>
      <c r="E326" s="29"/>
      <c r="F326" s="29"/>
      <c r="G326" s="29"/>
      <c r="H326" s="29"/>
      <c r="I326" s="23"/>
    </row>
    <row r="327" spans="1:9" ht="20.25" x14ac:dyDescent="0.25">
      <c r="A327" s="28"/>
      <c r="B327" s="29"/>
      <c r="C327" s="29"/>
      <c r="D327" s="29"/>
      <c r="E327" s="29"/>
      <c r="F327" s="29"/>
      <c r="G327" s="29"/>
      <c r="H327" s="29"/>
      <c r="I327" s="23"/>
    </row>
    <row r="328" spans="1:9" ht="20.25" x14ac:dyDescent="0.25">
      <c r="A328" s="28"/>
      <c r="B328" s="29"/>
      <c r="C328" s="29"/>
      <c r="D328" s="29"/>
      <c r="E328" s="29"/>
      <c r="F328" s="29"/>
      <c r="G328" s="29"/>
      <c r="H328" s="29"/>
      <c r="I328" s="23"/>
    </row>
    <row r="329" spans="1:9" ht="20.25" x14ac:dyDescent="0.25">
      <c r="A329" s="28"/>
      <c r="B329" s="29"/>
      <c r="C329" s="29"/>
      <c r="D329" s="29"/>
      <c r="E329" s="29"/>
      <c r="F329" s="29"/>
      <c r="G329" s="29"/>
      <c r="H329" s="29"/>
      <c r="I329" s="23"/>
    </row>
    <row r="330" spans="1:9" ht="20.25" x14ac:dyDescent="0.25">
      <c r="A330" s="28"/>
      <c r="B330" s="29"/>
      <c r="C330" s="29"/>
      <c r="D330" s="29"/>
      <c r="E330" s="29"/>
      <c r="F330" s="29"/>
      <c r="G330" s="29"/>
      <c r="H330" s="29"/>
      <c r="I330" s="23"/>
    </row>
    <row r="331" spans="1:9" ht="20.25" x14ac:dyDescent="0.25">
      <c r="A331" s="30"/>
      <c r="B331" s="31"/>
      <c r="C331" s="31"/>
      <c r="D331" s="31"/>
      <c r="E331" s="31"/>
      <c r="F331" s="31"/>
      <c r="G331" s="31"/>
      <c r="H331" s="31"/>
      <c r="I331" s="24"/>
    </row>
    <row r="332" spans="1:9" ht="20.25" x14ac:dyDescent="0.25">
      <c r="A332" s="131" t="s">
        <v>82</v>
      </c>
      <c r="B332" s="132"/>
      <c r="C332" s="132"/>
      <c r="D332" s="132"/>
      <c r="E332" s="132"/>
      <c r="F332" s="132"/>
      <c r="G332" s="132"/>
      <c r="H332" s="132"/>
      <c r="I332" s="133"/>
    </row>
    <row r="333" spans="1:9" ht="20.25" x14ac:dyDescent="0.25">
      <c r="A333" s="26"/>
      <c r="B333" s="27"/>
      <c r="C333" s="27"/>
      <c r="D333" s="27"/>
      <c r="E333" s="27"/>
      <c r="F333" s="27"/>
      <c r="G333" s="27"/>
      <c r="H333" s="27"/>
      <c r="I333" s="22"/>
    </row>
    <row r="334" spans="1:9" ht="20.25" x14ac:dyDescent="0.25">
      <c r="A334" s="28"/>
      <c r="B334" s="29"/>
      <c r="C334" s="29"/>
      <c r="D334" s="29"/>
      <c r="E334" s="29"/>
      <c r="F334" s="29"/>
      <c r="G334" s="29"/>
      <c r="H334" s="29"/>
      <c r="I334" s="23"/>
    </row>
    <row r="335" spans="1:9" ht="20.25" x14ac:dyDescent="0.25">
      <c r="A335" s="28"/>
      <c r="B335" s="29"/>
      <c r="C335" s="29"/>
      <c r="D335" s="29"/>
      <c r="E335" s="29"/>
      <c r="F335" s="29"/>
      <c r="G335" s="29"/>
      <c r="H335" s="29"/>
      <c r="I335" s="23"/>
    </row>
    <row r="336" spans="1:9" ht="20.25" x14ac:dyDescent="0.25">
      <c r="A336" s="28"/>
      <c r="B336" s="29"/>
      <c r="C336" s="29"/>
      <c r="D336" s="29"/>
      <c r="E336" s="29"/>
      <c r="F336" s="29"/>
      <c r="G336" s="29"/>
      <c r="H336" s="29"/>
      <c r="I336" s="23"/>
    </row>
    <row r="337" spans="1:9" ht="20.25" x14ac:dyDescent="0.25">
      <c r="A337" s="28"/>
      <c r="B337" s="29"/>
      <c r="C337" s="29"/>
      <c r="D337" s="29"/>
      <c r="E337" s="29"/>
      <c r="F337" s="29"/>
      <c r="G337" s="29"/>
      <c r="H337" s="29"/>
      <c r="I337" s="23"/>
    </row>
    <row r="338" spans="1:9" ht="20.25" x14ac:dyDescent="0.25">
      <c r="A338" s="28"/>
      <c r="B338" s="29"/>
      <c r="C338" s="29"/>
      <c r="D338" s="29"/>
      <c r="E338" s="29"/>
      <c r="F338" s="29"/>
      <c r="G338" s="29"/>
      <c r="H338" s="29"/>
      <c r="I338" s="23"/>
    </row>
    <row r="339" spans="1:9" ht="20.25" x14ac:dyDescent="0.25">
      <c r="A339" s="28"/>
      <c r="B339" s="29"/>
      <c r="C339" s="29"/>
      <c r="D339" s="29"/>
      <c r="E339" s="29"/>
      <c r="F339" s="29"/>
      <c r="G339" s="29"/>
      <c r="H339" s="29"/>
      <c r="I339" s="23"/>
    </row>
    <row r="340" spans="1:9" ht="20.25" x14ac:dyDescent="0.25">
      <c r="A340" s="28"/>
      <c r="B340" s="29"/>
      <c r="C340" s="29"/>
      <c r="D340" s="29"/>
      <c r="E340" s="29"/>
      <c r="F340" s="29"/>
      <c r="G340" s="29"/>
      <c r="H340" s="29"/>
      <c r="I340" s="23"/>
    </row>
    <row r="341" spans="1:9" ht="20.25" x14ac:dyDescent="0.25">
      <c r="A341" s="28"/>
      <c r="B341" s="29"/>
      <c r="C341" s="29"/>
      <c r="D341" s="29"/>
      <c r="E341" s="29"/>
      <c r="F341" s="29"/>
      <c r="G341" s="29"/>
      <c r="H341" s="29"/>
      <c r="I341" s="23"/>
    </row>
    <row r="342" spans="1:9" ht="20.25" x14ac:dyDescent="0.25">
      <c r="A342" s="28"/>
      <c r="B342" s="29"/>
      <c r="C342" s="29"/>
      <c r="D342" s="29"/>
      <c r="E342" s="29"/>
      <c r="F342" s="29"/>
      <c r="G342" s="29"/>
      <c r="H342" s="29"/>
      <c r="I342" s="23"/>
    </row>
    <row r="343" spans="1:9" ht="20.25" x14ac:dyDescent="0.25">
      <c r="A343" s="28"/>
      <c r="B343" s="29"/>
      <c r="C343" s="29"/>
      <c r="D343" s="29"/>
      <c r="E343" s="29"/>
      <c r="F343" s="29"/>
      <c r="G343" s="29"/>
      <c r="H343" s="29"/>
      <c r="I343" s="23"/>
    </row>
    <row r="344" spans="1:9" ht="20.25" x14ac:dyDescent="0.25">
      <c r="A344" s="28"/>
      <c r="B344" s="29"/>
      <c r="C344" s="29"/>
      <c r="D344" s="29"/>
      <c r="E344" s="29"/>
      <c r="F344" s="29"/>
      <c r="G344" s="29"/>
      <c r="H344" s="29"/>
      <c r="I344" s="23"/>
    </row>
    <row r="345" spans="1:9" ht="20.25" x14ac:dyDescent="0.25">
      <c r="A345" s="28"/>
      <c r="B345" s="29"/>
      <c r="C345" s="29"/>
      <c r="D345" s="29"/>
      <c r="E345" s="29"/>
      <c r="F345" s="29"/>
      <c r="G345" s="29"/>
      <c r="H345" s="29"/>
      <c r="I345" s="23"/>
    </row>
    <row r="346" spans="1:9" ht="20.25" x14ac:dyDescent="0.25">
      <c r="A346" s="28"/>
      <c r="B346" s="29"/>
      <c r="C346" s="29"/>
      <c r="D346" s="29"/>
      <c r="E346" s="29"/>
      <c r="F346" s="29"/>
      <c r="G346" s="29"/>
      <c r="H346" s="29"/>
      <c r="I346" s="23"/>
    </row>
    <row r="347" spans="1:9" ht="20.25" x14ac:dyDescent="0.25">
      <c r="A347" s="28"/>
      <c r="B347" s="29"/>
      <c r="C347" s="29"/>
      <c r="D347" s="29"/>
      <c r="E347" s="29"/>
      <c r="F347" s="29"/>
      <c r="G347" s="29"/>
      <c r="H347" s="29"/>
      <c r="I347" s="23"/>
    </row>
    <row r="348" spans="1:9" ht="20.25" x14ac:dyDescent="0.25">
      <c r="A348" s="28"/>
      <c r="B348" s="29"/>
      <c r="C348" s="29"/>
      <c r="D348" s="29"/>
      <c r="E348" s="29"/>
      <c r="F348" s="29"/>
      <c r="G348" s="29"/>
      <c r="H348" s="29"/>
      <c r="I348" s="23"/>
    </row>
    <row r="349" spans="1:9" ht="20.25" x14ac:dyDescent="0.25">
      <c r="A349" s="28"/>
      <c r="B349" s="29"/>
      <c r="C349" s="29"/>
      <c r="D349" s="29"/>
      <c r="E349" s="29"/>
      <c r="F349" s="29"/>
      <c r="G349" s="29"/>
      <c r="H349" s="29"/>
      <c r="I349" s="23"/>
    </row>
    <row r="350" spans="1:9" ht="20.25" x14ac:dyDescent="0.25">
      <c r="A350" s="28"/>
      <c r="B350" s="29"/>
      <c r="C350" s="29"/>
      <c r="D350" s="29"/>
      <c r="E350" s="29"/>
      <c r="F350" s="29"/>
      <c r="G350" s="29"/>
      <c r="H350" s="29"/>
      <c r="I350" s="23"/>
    </row>
    <row r="351" spans="1:9" ht="20.25" x14ac:dyDescent="0.25">
      <c r="A351" s="28"/>
      <c r="B351" s="29"/>
      <c r="C351" s="29"/>
      <c r="D351" s="29"/>
      <c r="E351" s="29"/>
      <c r="F351" s="29"/>
      <c r="G351" s="29"/>
      <c r="H351" s="29"/>
      <c r="I351" s="23"/>
    </row>
    <row r="352" spans="1:9" ht="20.25" x14ac:dyDescent="0.25">
      <c r="A352" s="28"/>
      <c r="B352" s="29"/>
      <c r="C352" s="29"/>
      <c r="D352" s="29"/>
      <c r="E352" s="29"/>
      <c r="F352" s="29"/>
      <c r="G352" s="29"/>
      <c r="H352" s="29"/>
      <c r="I352" s="23"/>
    </row>
    <row r="353" spans="1:9" ht="20.25" x14ac:dyDescent="0.25">
      <c r="A353" s="28"/>
      <c r="B353" s="29"/>
      <c r="C353" s="29"/>
      <c r="D353" s="29"/>
      <c r="E353" s="29"/>
      <c r="F353" s="29"/>
      <c r="G353" s="29"/>
      <c r="H353" s="29"/>
      <c r="I353" s="23"/>
    </row>
    <row r="354" spans="1:9" ht="20.25" x14ac:dyDescent="0.25">
      <c r="A354" s="28"/>
      <c r="B354" s="29"/>
      <c r="C354" s="29"/>
      <c r="D354" s="29"/>
      <c r="E354" s="29"/>
      <c r="F354" s="29"/>
      <c r="G354" s="29"/>
      <c r="H354" s="29"/>
      <c r="I354" s="23"/>
    </row>
    <row r="355" spans="1:9" ht="20.25" x14ac:dyDescent="0.25">
      <c r="A355" s="28"/>
      <c r="B355" s="29"/>
      <c r="C355" s="29"/>
      <c r="D355" s="29"/>
      <c r="E355" s="29"/>
      <c r="F355" s="29"/>
      <c r="G355" s="29"/>
      <c r="H355" s="29"/>
      <c r="I355" s="23"/>
    </row>
    <row r="356" spans="1:9" ht="20.25" x14ac:dyDescent="0.25">
      <c r="A356" s="28"/>
      <c r="B356" s="29"/>
      <c r="C356" s="29"/>
      <c r="D356" s="29"/>
      <c r="E356" s="29"/>
      <c r="F356" s="29"/>
      <c r="G356" s="29"/>
      <c r="H356" s="29"/>
      <c r="I356" s="23"/>
    </row>
    <row r="357" spans="1:9" ht="20.25" x14ac:dyDescent="0.25">
      <c r="A357" s="28"/>
      <c r="B357" s="29"/>
      <c r="C357" s="29"/>
      <c r="D357" s="29"/>
      <c r="E357" s="29"/>
      <c r="F357" s="29"/>
      <c r="G357" s="29"/>
      <c r="H357" s="29"/>
      <c r="I357" s="23"/>
    </row>
    <row r="358" spans="1:9" ht="20.25" x14ac:dyDescent="0.25">
      <c r="A358" s="28"/>
      <c r="B358" s="29"/>
      <c r="C358" s="29"/>
      <c r="D358" s="29"/>
      <c r="E358" s="29"/>
      <c r="F358" s="29"/>
      <c r="G358" s="29"/>
      <c r="H358" s="29"/>
      <c r="I358" s="23"/>
    </row>
    <row r="359" spans="1:9" ht="45" customHeight="1" x14ac:dyDescent="0.25">
      <c r="A359" s="28"/>
      <c r="B359" s="29"/>
      <c r="C359" s="29"/>
      <c r="D359" s="29"/>
      <c r="E359" s="29"/>
      <c r="F359" s="29"/>
      <c r="G359" s="29"/>
      <c r="H359" s="29"/>
      <c r="I359" s="23"/>
    </row>
    <row r="360" spans="1:9" ht="20.25" x14ac:dyDescent="0.25">
      <c r="A360" s="28"/>
      <c r="B360" s="29"/>
      <c r="C360" s="29"/>
      <c r="D360" s="29"/>
      <c r="E360" s="29"/>
      <c r="F360" s="29"/>
      <c r="G360" s="29"/>
      <c r="H360" s="29"/>
      <c r="I360" s="23"/>
    </row>
    <row r="361" spans="1:9" ht="17.100000000000001" customHeight="1" x14ac:dyDescent="0.25">
      <c r="A361" s="80" t="s">
        <v>27</v>
      </c>
      <c r="B361" s="80"/>
      <c r="C361" s="80"/>
      <c r="D361" s="80"/>
      <c r="E361" s="80"/>
      <c r="F361" s="80"/>
      <c r="G361" s="80"/>
      <c r="H361" s="80"/>
      <c r="I361" s="80"/>
    </row>
    <row r="362" spans="1:9" ht="20.25" x14ac:dyDescent="0.25">
      <c r="A362" s="142" t="s">
        <v>84</v>
      </c>
      <c r="B362" s="143"/>
      <c r="C362" s="143"/>
      <c r="D362" s="143"/>
      <c r="E362" s="143"/>
      <c r="F362" s="143"/>
      <c r="G362" s="143"/>
      <c r="H362" s="143"/>
      <c r="I362" s="144"/>
    </row>
    <row r="363" spans="1:9" ht="20.25" x14ac:dyDescent="0.25">
      <c r="A363" s="145" t="s">
        <v>85</v>
      </c>
      <c r="B363" s="146"/>
      <c r="C363" s="146"/>
      <c r="D363" s="146"/>
      <c r="E363" s="146"/>
      <c r="F363" s="146"/>
      <c r="G363" s="146"/>
      <c r="H363" s="146"/>
      <c r="I363" s="147"/>
    </row>
    <row r="364" spans="1:9" ht="50.45" customHeight="1" x14ac:dyDescent="0.25">
      <c r="A364" s="145" t="s">
        <v>86</v>
      </c>
      <c r="B364" s="146"/>
      <c r="C364" s="146"/>
      <c r="D364" s="146"/>
      <c r="E364" s="146"/>
      <c r="F364" s="146"/>
      <c r="G364" s="146"/>
      <c r="H364" s="146"/>
      <c r="I364" s="147"/>
    </row>
    <row r="365" spans="1:9" ht="44.45" customHeight="1" x14ac:dyDescent="0.25">
      <c r="A365" s="145" t="s">
        <v>87</v>
      </c>
      <c r="B365" s="146"/>
      <c r="C365" s="146"/>
      <c r="D365" s="146"/>
      <c r="E365" s="146"/>
      <c r="F365" s="146"/>
      <c r="G365" s="146"/>
      <c r="H365" s="146"/>
      <c r="I365" s="147"/>
    </row>
    <row r="366" spans="1:9" ht="20.25" x14ac:dyDescent="0.25">
      <c r="A366" s="145" t="s">
        <v>88</v>
      </c>
      <c r="B366" s="146"/>
      <c r="C366" s="146"/>
      <c r="D366" s="146"/>
      <c r="E366" s="146"/>
      <c r="F366" s="146"/>
      <c r="G366" s="146"/>
      <c r="H366" s="146"/>
      <c r="I366" s="147"/>
    </row>
    <row r="367" spans="1:9" ht="20.25" x14ac:dyDescent="0.25">
      <c r="A367" s="145" t="s">
        <v>89</v>
      </c>
      <c r="B367" s="146"/>
      <c r="C367" s="146"/>
      <c r="D367" s="146"/>
      <c r="E367" s="146"/>
      <c r="F367" s="146"/>
      <c r="G367" s="146"/>
      <c r="H367" s="146"/>
      <c r="I367" s="147"/>
    </row>
    <row r="368" spans="1:9" ht="66" customHeight="1" x14ac:dyDescent="0.25">
      <c r="A368" s="145" t="s">
        <v>90</v>
      </c>
      <c r="B368" s="146"/>
      <c r="C368" s="146"/>
      <c r="D368" s="146"/>
      <c r="E368" s="146"/>
      <c r="F368" s="146"/>
      <c r="G368" s="146"/>
      <c r="H368" s="146"/>
      <c r="I368" s="147"/>
    </row>
    <row r="369" spans="1:9" ht="46.15" customHeight="1" x14ac:dyDescent="0.25">
      <c r="A369" s="145" t="s">
        <v>91</v>
      </c>
      <c r="B369" s="146"/>
      <c r="C369" s="146"/>
      <c r="D369" s="146"/>
      <c r="E369" s="146"/>
      <c r="F369" s="146"/>
      <c r="G369" s="146"/>
      <c r="H369" s="146"/>
      <c r="I369" s="147"/>
    </row>
    <row r="370" spans="1:9" ht="20.25" x14ac:dyDescent="0.25">
      <c r="A370" s="148" t="s">
        <v>92</v>
      </c>
      <c r="B370" s="149"/>
      <c r="C370" s="149"/>
      <c r="D370" s="149"/>
      <c r="E370" s="149"/>
      <c r="F370" s="149"/>
      <c r="G370" s="149"/>
      <c r="H370" s="149"/>
      <c r="I370" s="150"/>
    </row>
    <row r="371" spans="1:9" ht="73.5" customHeight="1" x14ac:dyDescent="0.25">
      <c r="A371" s="139" t="s">
        <v>33</v>
      </c>
      <c r="B371" s="139"/>
      <c r="C371" s="139"/>
      <c r="D371" s="2" t="s">
        <v>4</v>
      </c>
      <c r="E371" s="20" t="s">
        <v>292</v>
      </c>
      <c r="F371" s="13" t="s">
        <v>10</v>
      </c>
      <c r="G371" s="2" t="s">
        <v>4</v>
      </c>
      <c r="H371" s="140"/>
      <c r="I371" s="140"/>
    </row>
  </sheetData>
  <mergeCells count="475">
    <mergeCell ref="A93:C93"/>
    <mergeCell ref="A94:C94"/>
    <mergeCell ref="C109:D109"/>
    <mergeCell ref="F109:G109"/>
    <mergeCell ref="H109:I109"/>
    <mergeCell ref="A108:B109"/>
    <mergeCell ref="C108:D108"/>
    <mergeCell ref="F108:G108"/>
    <mergeCell ref="H108:I108"/>
    <mergeCell ref="A101:C101"/>
    <mergeCell ref="H101:I101"/>
    <mergeCell ref="A100:C100"/>
    <mergeCell ref="A222:A232"/>
    <mergeCell ref="F151:G151"/>
    <mergeCell ref="C142:D142"/>
    <mergeCell ref="F142:G142"/>
    <mergeCell ref="C148:D148"/>
    <mergeCell ref="C218:D218"/>
    <mergeCell ref="F218:G218"/>
    <mergeCell ref="C220:D220"/>
    <mergeCell ref="F220:G220"/>
    <mergeCell ref="F193:G193"/>
    <mergeCell ref="F148:G148"/>
    <mergeCell ref="C194:D194"/>
    <mergeCell ref="F194:G194"/>
    <mergeCell ref="A170:I170"/>
    <mergeCell ref="A171:B178"/>
    <mergeCell ref="C171:D171"/>
    <mergeCell ref="F171:G171"/>
    <mergeCell ref="C172:D172"/>
    <mergeCell ref="F172:G172"/>
    <mergeCell ref="C173:D173"/>
    <mergeCell ref="F173:G173"/>
    <mergeCell ref="C174:D174"/>
    <mergeCell ref="A210:B220"/>
    <mergeCell ref="C219:D219"/>
    <mergeCell ref="F219:G219"/>
    <mergeCell ref="A188:I188"/>
    <mergeCell ref="A189:B196"/>
    <mergeCell ref="C189:D189"/>
    <mergeCell ref="C190:D190"/>
    <mergeCell ref="A206:I206"/>
    <mergeCell ref="C205:D205"/>
    <mergeCell ref="F205:G205"/>
    <mergeCell ref="C196:D196"/>
    <mergeCell ref="F196:G196"/>
    <mergeCell ref="F189:G189"/>
    <mergeCell ref="F190:G190"/>
    <mergeCell ref="C191:D191"/>
    <mergeCell ref="A179:I179"/>
    <mergeCell ref="A180:B187"/>
    <mergeCell ref="C180:D180"/>
    <mergeCell ref="F180:G180"/>
    <mergeCell ref="C181:D181"/>
    <mergeCell ref="F181:G181"/>
    <mergeCell ref="C182:D182"/>
    <mergeCell ref="F182:G182"/>
    <mergeCell ref="C183:D183"/>
    <mergeCell ref="F183:G183"/>
    <mergeCell ref="C184:D184"/>
    <mergeCell ref="C185:D185"/>
    <mergeCell ref="C186:D186"/>
    <mergeCell ref="F186:G186"/>
    <mergeCell ref="C187:D187"/>
    <mergeCell ref="F187:G187"/>
    <mergeCell ref="E184:I185"/>
    <mergeCell ref="J41:K41"/>
    <mergeCell ref="C57:I57"/>
    <mergeCell ref="C201:D201"/>
    <mergeCell ref="F201:G201"/>
    <mergeCell ref="C202:D202"/>
    <mergeCell ref="C203:D203"/>
    <mergeCell ref="F203:G203"/>
    <mergeCell ref="C204:D204"/>
    <mergeCell ref="F204:G204"/>
    <mergeCell ref="E202:I202"/>
    <mergeCell ref="F191:G191"/>
    <mergeCell ref="C192:D192"/>
    <mergeCell ref="F192:G192"/>
    <mergeCell ref="C193:D193"/>
    <mergeCell ref="F174:G174"/>
    <mergeCell ref="C175:D175"/>
    <mergeCell ref="C176:D176"/>
    <mergeCell ref="C177:D177"/>
    <mergeCell ref="F177:G177"/>
    <mergeCell ref="C178:D178"/>
    <mergeCell ref="F178:G178"/>
    <mergeCell ref="C195:D195"/>
    <mergeCell ref="F195:G195"/>
    <mergeCell ref="E175:I176"/>
    <mergeCell ref="J3:J4"/>
    <mergeCell ref="A45:B45"/>
    <mergeCell ref="C45:D45"/>
    <mergeCell ref="E45:G45"/>
    <mergeCell ref="H45:I45"/>
    <mergeCell ref="C50:E50"/>
    <mergeCell ref="H50:I50"/>
    <mergeCell ref="C52:I52"/>
    <mergeCell ref="A208:I208"/>
    <mergeCell ref="A207:I207"/>
    <mergeCell ref="C147:D147"/>
    <mergeCell ref="F149:G149"/>
    <mergeCell ref="C150:D150"/>
    <mergeCell ref="F150:G150"/>
    <mergeCell ref="A143:I143"/>
    <mergeCell ref="C151:D151"/>
    <mergeCell ref="A197:I197"/>
    <mergeCell ref="A198:B205"/>
    <mergeCell ref="C198:D198"/>
    <mergeCell ref="F198:G198"/>
    <mergeCell ref="C199:D199"/>
    <mergeCell ref="F199:G199"/>
    <mergeCell ref="C200:D200"/>
    <mergeCell ref="F200:G200"/>
    <mergeCell ref="M117:N117"/>
    <mergeCell ref="C168:D168"/>
    <mergeCell ref="F168:G168"/>
    <mergeCell ref="C169:D169"/>
    <mergeCell ref="F169:G169"/>
    <mergeCell ref="E135:I138"/>
    <mergeCell ref="C133:D133"/>
    <mergeCell ref="F133:G133"/>
    <mergeCell ref="F140:G140"/>
    <mergeCell ref="F141:G141"/>
    <mergeCell ref="F166:G166"/>
    <mergeCell ref="F167:G167"/>
    <mergeCell ref="C160:D160"/>
    <mergeCell ref="F160:G160"/>
    <mergeCell ref="A161:I161"/>
    <mergeCell ref="C162:D162"/>
    <mergeCell ref="F162:G162"/>
    <mergeCell ref="C163:D163"/>
    <mergeCell ref="F163:G163"/>
    <mergeCell ref="C144:D144"/>
    <mergeCell ref="C166:D166"/>
    <mergeCell ref="C167:D167"/>
    <mergeCell ref="A152:I152"/>
    <mergeCell ref="C157:D157"/>
    <mergeCell ref="C158:D158"/>
    <mergeCell ref="F158:G158"/>
    <mergeCell ref="C159:D159"/>
    <mergeCell ref="C146:D146"/>
    <mergeCell ref="F159:G159"/>
    <mergeCell ref="C165:D165"/>
    <mergeCell ref="F165:G165"/>
    <mergeCell ref="C153:D153"/>
    <mergeCell ref="E153:I156"/>
    <mergeCell ref="E4:F4"/>
    <mergeCell ref="G3:H4"/>
    <mergeCell ref="I3:I4"/>
    <mergeCell ref="C15:E15"/>
    <mergeCell ref="C16:E16"/>
    <mergeCell ref="C17:E17"/>
    <mergeCell ref="C18:E18"/>
    <mergeCell ref="C19:E19"/>
    <mergeCell ref="C20:E20"/>
    <mergeCell ref="A4:C4"/>
    <mergeCell ref="E10:I10"/>
    <mergeCell ref="A9:C9"/>
    <mergeCell ref="E9:I9"/>
    <mergeCell ref="H8:I8"/>
    <mergeCell ref="H20:I20"/>
    <mergeCell ref="A14:I14"/>
    <mergeCell ref="A8:C8"/>
    <mergeCell ref="A10:A12"/>
    <mergeCell ref="E11:I11"/>
    <mergeCell ref="E12:I12"/>
    <mergeCell ref="H7:I7"/>
    <mergeCell ref="A6:I6"/>
    <mergeCell ref="A13:C13"/>
    <mergeCell ref="A113:I113"/>
    <mergeCell ref="F107:G107"/>
    <mergeCell ref="F110:G110"/>
    <mergeCell ref="F111:G111"/>
    <mergeCell ref="A107:B107"/>
    <mergeCell ref="C107:D107"/>
    <mergeCell ref="C110:D110"/>
    <mergeCell ref="C111:D111"/>
    <mergeCell ref="A102:I102"/>
    <mergeCell ref="C112:D112"/>
    <mergeCell ref="F112:G112"/>
    <mergeCell ref="H112:I112"/>
    <mergeCell ref="A110:B111"/>
    <mergeCell ref="A103:F103"/>
    <mergeCell ref="C83:D83"/>
    <mergeCell ref="A82:B82"/>
    <mergeCell ref="H46:I46"/>
    <mergeCell ref="H56:I56"/>
    <mergeCell ref="A44:B44"/>
    <mergeCell ref="A46:B46"/>
    <mergeCell ref="A47:B47"/>
    <mergeCell ref="E46:G46"/>
    <mergeCell ref="E44:G44"/>
    <mergeCell ref="E47:G47"/>
    <mergeCell ref="C44:D44"/>
    <mergeCell ref="C46:D46"/>
    <mergeCell ref="C47:D47"/>
    <mergeCell ref="C55:E55"/>
    <mergeCell ref="C56:E56"/>
    <mergeCell ref="C234:I234"/>
    <mergeCell ref="A233:I233"/>
    <mergeCell ref="A90:I90"/>
    <mergeCell ref="A91:C91"/>
    <mergeCell ref="H91:I91"/>
    <mergeCell ref="C225:D225"/>
    <mergeCell ref="F225:G225"/>
    <mergeCell ref="C226:D226"/>
    <mergeCell ref="F226:G226"/>
    <mergeCell ref="C228:D228"/>
    <mergeCell ref="A134:I134"/>
    <mergeCell ref="C139:D139"/>
    <mergeCell ref="H100:I100"/>
    <mergeCell ref="A96:C96"/>
    <mergeCell ref="H96:I96"/>
    <mergeCell ref="A97:C97"/>
    <mergeCell ref="H97:I97"/>
    <mergeCell ref="A95:C95"/>
    <mergeCell ref="H95:I95"/>
    <mergeCell ref="A92:C92"/>
    <mergeCell ref="C164:D164"/>
    <mergeCell ref="F164:G164"/>
    <mergeCell ref="F139:G139"/>
    <mergeCell ref="C229:D229"/>
    <mergeCell ref="C82:D82"/>
    <mergeCell ref="A88:B88"/>
    <mergeCell ref="C88:D88"/>
    <mergeCell ref="G39:H39"/>
    <mergeCell ref="A40:C40"/>
    <mergeCell ref="H51:I51"/>
    <mergeCell ref="C49:I49"/>
    <mergeCell ref="C72:D72"/>
    <mergeCell ref="A73:B73"/>
    <mergeCell ref="C73:D73"/>
    <mergeCell ref="C67:D67"/>
    <mergeCell ref="A68:B68"/>
    <mergeCell ref="C68:D68"/>
    <mergeCell ref="F77:G77"/>
    <mergeCell ref="F75:G75"/>
    <mergeCell ref="F76:G76"/>
    <mergeCell ref="A77:B77"/>
    <mergeCell ref="C77:D77"/>
    <mergeCell ref="A75:C76"/>
    <mergeCell ref="D75:D76"/>
    <mergeCell ref="F78:G89"/>
    <mergeCell ref="A89:B89"/>
    <mergeCell ref="C89:D89"/>
    <mergeCell ref="A83:B83"/>
    <mergeCell ref="A221:I221"/>
    <mergeCell ref="C27:E27"/>
    <mergeCell ref="C28:E28"/>
    <mergeCell ref="H15:I15"/>
    <mergeCell ref="A35:C35"/>
    <mergeCell ref="H35:I35"/>
    <mergeCell ref="C135:D135"/>
    <mergeCell ref="C136:D136"/>
    <mergeCell ref="H47:I47"/>
    <mergeCell ref="H44:I44"/>
    <mergeCell ref="C128:D128"/>
    <mergeCell ref="F128:G128"/>
    <mergeCell ref="C129:D129"/>
    <mergeCell ref="C132:D132"/>
    <mergeCell ref="F132:G132"/>
    <mergeCell ref="F129:G129"/>
    <mergeCell ref="C130:D130"/>
    <mergeCell ref="F130:G130"/>
    <mergeCell ref="C140:D140"/>
    <mergeCell ref="A115:I115"/>
    <mergeCell ref="H92:I92"/>
    <mergeCell ref="C51:E51"/>
    <mergeCell ref="C69:D69"/>
    <mergeCell ref="A70:B70"/>
    <mergeCell ref="A1:I1"/>
    <mergeCell ref="A5:C5"/>
    <mergeCell ref="A236:C236"/>
    <mergeCell ref="H28:I28"/>
    <mergeCell ref="H29:I29"/>
    <mergeCell ref="A38:I38"/>
    <mergeCell ref="H55:I55"/>
    <mergeCell ref="A43:I43"/>
    <mergeCell ref="A48:I48"/>
    <mergeCell ref="A106:I106"/>
    <mergeCell ref="H104:I104"/>
    <mergeCell ref="A2:C2"/>
    <mergeCell ref="E2:F2"/>
    <mergeCell ref="A42:C42"/>
    <mergeCell ref="H42:I42"/>
    <mergeCell ref="E5:F5"/>
    <mergeCell ref="E13:I13"/>
    <mergeCell ref="A7:C7"/>
    <mergeCell ref="A162:B169"/>
    <mergeCell ref="C154:D154"/>
    <mergeCell ref="C155:D155"/>
    <mergeCell ref="C156:D156"/>
    <mergeCell ref="A144:B151"/>
    <mergeCell ref="A153:B160"/>
    <mergeCell ref="A371:C371"/>
    <mergeCell ref="H371:I371"/>
    <mergeCell ref="A235:I235"/>
    <mergeCell ref="E237:I237"/>
    <mergeCell ref="A362:I362"/>
    <mergeCell ref="A368:I368"/>
    <mergeCell ref="A369:I369"/>
    <mergeCell ref="A370:I370"/>
    <mergeCell ref="A363:I363"/>
    <mergeCell ref="A364:I364"/>
    <mergeCell ref="A365:I365"/>
    <mergeCell ref="A366:I366"/>
    <mergeCell ref="A237:C237"/>
    <mergeCell ref="A361:I361"/>
    <mergeCell ref="A367:I367"/>
    <mergeCell ref="A332:I332"/>
    <mergeCell ref="E236:I236"/>
    <mergeCell ref="A238:C238"/>
    <mergeCell ref="E238:I238"/>
    <mergeCell ref="A289:I289"/>
    <mergeCell ref="G2:H2"/>
    <mergeCell ref="G5:H5"/>
    <mergeCell ref="H16:I16"/>
    <mergeCell ref="H36:I36"/>
    <mergeCell ref="A36:C36"/>
    <mergeCell ref="A41:C41"/>
    <mergeCell ref="A39:C39"/>
    <mergeCell ref="H17:I17"/>
    <mergeCell ref="H18:I18"/>
    <mergeCell ref="A3:C3"/>
    <mergeCell ref="E3:F3"/>
    <mergeCell ref="A26:I26"/>
    <mergeCell ref="H27:I27"/>
    <mergeCell ref="G41:H41"/>
    <mergeCell ref="C29:E29"/>
    <mergeCell ref="C30:E30"/>
    <mergeCell ref="C23:I23"/>
    <mergeCell ref="C21:E21"/>
    <mergeCell ref="C22:E22"/>
    <mergeCell ref="C25:I25"/>
    <mergeCell ref="C24:I24"/>
    <mergeCell ref="A37:C37"/>
    <mergeCell ref="A34:I34"/>
    <mergeCell ref="H31:I31"/>
    <mergeCell ref="C232:D232"/>
    <mergeCell ref="F232:G232"/>
    <mergeCell ref="C223:D223"/>
    <mergeCell ref="F223:G223"/>
    <mergeCell ref="C227:D227"/>
    <mergeCell ref="F227:G227"/>
    <mergeCell ref="C222:D222"/>
    <mergeCell ref="F222:G222"/>
    <mergeCell ref="F228:G228"/>
    <mergeCell ref="C224:D224"/>
    <mergeCell ref="F224:G224"/>
    <mergeCell ref="F229:G229"/>
    <mergeCell ref="C230:D230"/>
    <mergeCell ref="F230:G230"/>
    <mergeCell ref="C231:D231"/>
    <mergeCell ref="F231:G231"/>
    <mergeCell ref="C131:D131"/>
    <mergeCell ref="F131:G131"/>
    <mergeCell ref="C216:D216"/>
    <mergeCell ref="F216:G216"/>
    <mergeCell ref="C217:D217"/>
    <mergeCell ref="F217:G217"/>
    <mergeCell ref="C215:D215"/>
    <mergeCell ref="F215:G215"/>
    <mergeCell ref="A209:I209"/>
    <mergeCell ref="C210:D210"/>
    <mergeCell ref="E144:I147"/>
    <mergeCell ref="C211:D211"/>
    <mergeCell ref="F211:G211"/>
    <mergeCell ref="C212:D212"/>
    <mergeCell ref="F212:G212"/>
    <mergeCell ref="C213:D213"/>
    <mergeCell ref="F213:G213"/>
    <mergeCell ref="C137:D137"/>
    <mergeCell ref="C138:D138"/>
    <mergeCell ref="A135:B142"/>
    <mergeCell ref="C149:D149"/>
    <mergeCell ref="C145:D145"/>
    <mergeCell ref="C141:D141"/>
    <mergeCell ref="F157:G157"/>
    <mergeCell ref="A116:I116"/>
    <mergeCell ref="C214:D214"/>
    <mergeCell ref="F214:G214"/>
    <mergeCell ref="F210:G210"/>
    <mergeCell ref="A117:I117"/>
    <mergeCell ref="A119:B126"/>
    <mergeCell ref="C122:D122"/>
    <mergeCell ref="F122:G122"/>
    <mergeCell ref="C123:D123"/>
    <mergeCell ref="F123:G123"/>
    <mergeCell ref="C124:D124"/>
    <mergeCell ref="F124:G124"/>
    <mergeCell ref="A118:I118"/>
    <mergeCell ref="C119:D119"/>
    <mergeCell ref="C121:D121"/>
    <mergeCell ref="F121:G121"/>
    <mergeCell ref="C125:D125"/>
    <mergeCell ref="F125:G125"/>
    <mergeCell ref="C126:D126"/>
    <mergeCell ref="F126:G126"/>
    <mergeCell ref="C120:D120"/>
    <mergeCell ref="F120:G120"/>
    <mergeCell ref="A128:B133"/>
    <mergeCell ref="A127:I127"/>
    <mergeCell ref="F119:G119"/>
    <mergeCell ref="A58:I58"/>
    <mergeCell ref="A59:C60"/>
    <mergeCell ref="D59:D60"/>
    <mergeCell ref="F59:G59"/>
    <mergeCell ref="F60:G60"/>
    <mergeCell ref="A61:B61"/>
    <mergeCell ref="C61:D61"/>
    <mergeCell ref="F61:G61"/>
    <mergeCell ref="A62:B62"/>
    <mergeCell ref="C62:D62"/>
    <mergeCell ref="F62:G73"/>
    <mergeCell ref="H62:I73"/>
    <mergeCell ref="A63:B63"/>
    <mergeCell ref="C63:D63"/>
    <mergeCell ref="A64:B64"/>
    <mergeCell ref="C64:D64"/>
    <mergeCell ref="A65:B65"/>
    <mergeCell ref="C65:D65"/>
    <mergeCell ref="A66:B66"/>
    <mergeCell ref="C66:D66"/>
    <mergeCell ref="A67:B67"/>
    <mergeCell ref="A72:B72"/>
    <mergeCell ref="F114:G114"/>
    <mergeCell ref="A114:B114"/>
    <mergeCell ref="C114:D114"/>
    <mergeCell ref="H21:I21"/>
    <mergeCell ref="H22:I22"/>
    <mergeCell ref="H37:I37"/>
    <mergeCell ref="A98:C98"/>
    <mergeCell ref="H98:I98"/>
    <mergeCell ref="A99:C99"/>
    <mergeCell ref="H99:I99"/>
    <mergeCell ref="H107:I107"/>
    <mergeCell ref="H110:I110"/>
    <mergeCell ref="H111:I111"/>
    <mergeCell ref="A105:F105"/>
    <mergeCell ref="H105:I105"/>
    <mergeCell ref="H103:I103"/>
    <mergeCell ref="A104:F104"/>
    <mergeCell ref="A84:B84"/>
    <mergeCell ref="C84:D84"/>
    <mergeCell ref="A85:B85"/>
    <mergeCell ref="C85:D85"/>
    <mergeCell ref="A86:B86"/>
    <mergeCell ref="C86:D86"/>
    <mergeCell ref="A87:B87"/>
    <mergeCell ref="C87:D87"/>
    <mergeCell ref="J17:K17"/>
    <mergeCell ref="C54:I54"/>
    <mergeCell ref="A78:B78"/>
    <mergeCell ref="C78:D78"/>
    <mergeCell ref="A79:B79"/>
    <mergeCell ref="C79:D79"/>
    <mergeCell ref="A80:B80"/>
    <mergeCell ref="C80:D80"/>
    <mergeCell ref="A81:B81"/>
    <mergeCell ref="C81:D81"/>
    <mergeCell ref="A74:I74"/>
    <mergeCell ref="H32:I32"/>
    <mergeCell ref="G40:H40"/>
    <mergeCell ref="C31:E31"/>
    <mergeCell ref="C32:E32"/>
    <mergeCell ref="C33:I33"/>
    <mergeCell ref="C53:I53"/>
    <mergeCell ref="H30:I30"/>
    <mergeCell ref="H19:I19"/>
    <mergeCell ref="C70:D70"/>
    <mergeCell ref="A71:B71"/>
    <mergeCell ref="C71:D71"/>
    <mergeCell ref="H78:I89"/>
    <mergeCell ref="A69:B69"/>
  </mergeCells>
  <hyperlinks>
    <hyperlink ref="C24"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5" manualBreakCount="5">
    <brk id="73" max="16383" man="1"/>
    <brk id="232" max="16383" man="1"/>
    <brk id="234" max="8" man="1"/>
    <brk id="288" max="8" man="1"/>
    <brk id="331" max="8"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Welcome</cp:lastModifiedBy>
  <cp:lastPrinted>2025-08-06T06:16:37Z</cp:lastPrinted>
  <dcterms:created xsi:type="dcterms:W3CDTF">2010-11-23T11:42:48Z</dcterms:created>
  <dcterms:modified xsi:type="dcterms:W3CDTF">2025-08-06T10:34:59Z</dcterms:modified>
</cp:coreProperties>
</file>