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defaultThemeVersion="124226"/>
  <mc:AlternateContent xmlns:mc="http://schemas.openxmlformats.org/markup-compatibility/2006">
    <mc:Choice Requires="x15">
      <x15ac:absPath xmlns:x15ac="http://schemas.microsoft.com/office/spreadsheetml/2010/11/ac" url="D:\aug 25\GHF\OLD\"/>
    </mc:Choice>
  </mc:AlternateContent>
  <xr:revisionPtr revIDLastSave="0" documentId="13_ncr:1_{C02F6C14-BCCE-4BC6-9D8F-63C6DEF42E59}" xr6:coauthVersionLast="47" xr6:coauthVersionMax="47" xr10:uidLastSave="{00000000-0000-0000-0000-000000000000}"/>
  <bookViews>
    <workbookView xWindow="-120" yWindow="-120" windowWidth="20730" windowHeight="11160" xr2:uid="{00000000-000D-0000-FFFF-FFFF00000000}"/>
  </bookViews>
  <sheets>
    <sheet name="Report" sheetId="3" r:id="rId1"/>
  </sheets>
  <definedNames>
    <definedName name="_xlnm.Print_Area" localSheetId="0">Report!$A$1:$I$497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15" i="3" l="1"/>
  <c r="K114" i="3"/>
  <c r="K113" i="3"/>
  <c r="K112" i="3"/>
  <c r="K111" i="3"/>
  <c r="C109" i="3"/>
  <c r="C110" i="3" s="1"/>
  <c r="C111" i="3" s="1"/>
  <c r="J2" i="3"/>
  <c r="E392" i="3"/>
  <c r="I104" i="3"/>
  <c r="E117" i="3" l="1"/>
  <c r="E115" i="3"/>
  <c r="E113" i="3"/>
  <c r="E111" i="3"/>
  <c r="K108" i="3"/>
  <c r="K109" i="3" s="1"/>
  <c r="K106" i="3"/>
  <c r="E108" i="3"/>
  <c r="K105" i="3"/>
  <c r="E114" i="3"/>
  <c r="E112" i="3"/>
  <c r="E109" i="3"/>
  <c r="K107" i="3"/>
  <c r="C106" i="3" s="1"/>
  <c r="F106" i="3" s="1"/>
  <c r="E110" i="3"/>
  <c r="E107" i="3"/>
  <c r="E116" i="3"/>
  <c r="M99" i="3"/>
  <c r="K97" i="3"/>
  <c r="K96" i="3"/>
  <c r="K95" i="3"/>
  <c r="C93" i="3"/>
  <c r="C94" i="3" s="1"/>
  <c r="C95" i="3" s="1"/>
  <c r="I88" i="3"/>
  <c r="K110" i="3" l="1"/>
  <c r="K115" i="3" s="1"/>
  <c r="E106" i="3"/>
  <c r="E100" i="3"/>
  <c r="E92" i="3"/>
  <c r="K89" i="3"/>
  <c r="E98" i="3"/>
  <c r="E96" i="3"/>
  <c r="E93" i="3"/>
  <c r="K91" i="3"/>
  <c r="C90" i="3" s="1"/>
  <c r="F90" i="3" s="1"/>
  <c r="F118" i="3" s="1"/>
  <c r="E94" i="3"/>
  <c r="E91" i="3"/>
  <c r="E101" i="3"/>
  <c r="E99" i="3"/>
  <c r="E97" i="3"/>
  <c r="E95" i="3"/>
  <c r="K92" i="3"/>
  <c r="K93" i="3" s="1"/>
  <c r="K98" i="3" s="1"/>
  <c r="K90" i="3"/>
  <c r="J103" i="3" l="1"/>
  <c r="H106" i="3" s="1"/>
  <c r="K94" i="3"/>
  <c r="K99" i="3" s="1"/>
  <c r="E90" i="3"/>
  <c r="J87" i="3" l="1"/>
  <c r="H90" i="3" s="1"/>
  <c r="H74" i="3"/>
  <c r="K82" i="3" l="1"/>
  <c r="K81" i="3"/>
  <c r="K80" i="3"/>
  <c r="I72" i="3"/>
  <c r="K75" i="3" l="1"/>
  <c r="C74" i="3" s="1"/>
  <c r="K73" i="3"/>
  <c r="E83" i="3"/>
  <c r="E81" i="3"/>
  <c r="E79" i="3"/>
  <c r="E77" i="3"/>
  <c r="E85" i="3"/>
  <c r="K76" i="3"/>
  <c r="K77" i="3" s="1"/>
  <c r="K78" i="3" s="1"/>
  <c r="K79" i="3" s="1"/>
  <c r="E84" i="3"/>
  <c r="E82" i="3"/>
  <c r="E80" i="3"/>
  <c r="E78" i="3"/>
  <c r="E76" i="3"/>
  <c r="K74" i="3"/>
  <c r="H58" i="3"/>
  <c r="K83" i="3" l="1"/>
  <c r="C75" i="3" s="1"/>
  <c r="E75" i="3" s="1"/>
  <c r="E74" i="3"/>
  <c r="A384" i="3"/>
  <c r="A378" i="3"/>
  <c r="A372" i="3"/>
  <c r="A366" i="3"/>
  <c r="A362" i="3"/>
  <c r="A358" i="3"/>
  <c r="A354" i="3"/>
  <c r="A351" i="3"/>
  <c r="A320" i="3"/>
  <c r="A316" i="3"/>
  <c r="A312" i="3"/>
  <c r="A324" i="3"/>
  <c r="A342" i="3"/>
  <c r="A336" i="3"/>
  <c r="A330" i="3"/>
  <c r="A308" i="3"/>
  <c r="F388" i="3"/>
  <c r="I388" i="3" s="1"/>
  <c r="F387" i="3"/>
  <c r="I387" i="3" s="1"/>
  <c r="F385" i="3"/>
  <c r="I385" i="3" s="1"/>
  <c r="F384" i="3"/>
  <c r="I384" i="3" s="1"/>
  <c r="F382" i="3"/>
  <c r="I382" i="3" s="1"/>
  <c r="F381" i="3"/>
  <c r="I381" i="3" s="1"/>
  <c r="F378" i="3"/>
  <c r="I378" i="3" s="1"/>
  <c r="F380" i="3"/>
  <c r="I380" i="3" s="1"/>
  <c r="F379" i="3"/>
  <c r="I379" i="3" s="1"/>
  <c r="F376" i="3"/>
  <c r="I376" i="3" s="1"/>
  <c r="F375" i="3"/>
  <c r="I375" i="3" s="1"/>
  <c r="F373" i="3"/>
  <c r="I373" i="3" s="1"/>
  <c r="F372" i="3"/>
  <c r="I372" i="3" s="1"/>
  <c r="F369" i="3"/>
  <c r="F370" i="3"/>
  <c r="F366" i="3"/>
  <c r="F364" i="3"/>
  <c r="I364" i="3" s="1"/>
  <c r="F363" i="3"/>
  <c r="I363" i="3" s="1"/>
  <c r="F362" i="3"/>
  <c r="I362" i="3" s="1"/>
  <c r="F368" i="3"/>
  <c r="F367" i="3"/>
  <c r="F360" i="3"/>
  <c r="I360" i="3" s="1"/>
  <c r="F359" i="3"/>
  <c r="I359" i="3" s="1"/>
  <c r="F356" i="3"/>
  <c r="F355" i="3"/>
  <c r="F358" i="3"/>
  <c r="I358" i="3" s="1"/>
  <c r="F354" i="3"/>
  <c r="F352" i="3"/>
  <c r="F351" i="3"/>
  <c r="F346" i="3"/>
  <c r="I346" i="3" s="1"/>
  <c r="K345" i="3"/>
  <c r="F345" i="3"/>
  <c r="I345" i="3" s="1"/>
  <c r="F344" i="3"/>
  <c r="I344" i="3" s="1"/>
  <c r="F343" i="3"/>
  <c r="I343" i="3" s="1"/>
  <c r="F342" i="3"/>
  <c r="I342" i="3" s="1"/>
  <c r="F340" i="3"/>
  <c r="I340" i="3" s="1"/>
  <c r="F339" i="3"/>
  <c r="I339" i="3" s="1"/>
  <c r="F336" i="3"/>
  <c r="I336" i="3" s="1"/>
  <c r="K339" i="3"/>
  <c r="F338" i="3"/>
  <c r="I338" i="3" s="1"/>
  <c r="F337" i="3"/>
  <c r="I337" i="3" s="1"/>
  <c r="F334" i="3"/>
  <c r="I334" i="3" s="1"/>
  <c r="F333" i="3"/>
  <c r="I333" i="3" s="1"/>
  <c r="F330" i="3"/>
  <c r="I330" i="3" s="1"/>
  <c r="F328" i="3"/>
  <c r="F327" i="3"/>
  <c r="K327" i="3"/>
  <c r="F324" i="3"/>
  <c r="F74" i="3" l="1"/>
  <c r="J71" i="3" s="1"/>
  <c r="H140" i="3"/>
  <c r="F140" i="3"/>
  <c r="F322" i="3"/>
  <c r="I322" i="3" s="1"/>
  <c r="F321" i="3"/>
  <c r="I321" i="3" s="1"/>
  <c r="F320" i="3"/>
  <c r="I320" i="3" s="1"/>
  <c r="F316" i="3"/>
  <c r="I316" i="3" s="1"/>
  <c r="F326" i="3"/>
  <c r="F325" i="3"/>
  <c r="F318" i="3"/>
  <c r="I318" i="3" s="1"/>
  <c r="F317" i="3"/>
  <c r="I317" i="3" s="1"/>
  <c r="F314" i="3"/>
  <c r="F313" i="3"/>
  <c r="F309" i="3"/>
  <c r="F312" i="3"/>
  <c r="K312" i="3"/>
  <c r="L312" i="3" s="1"/>
  <c r="F310" i="3"/>
  <c r="K309" i="3"/>
  <c r="L309" i="3" s="1"/>
  <c r="F139" i="3" l="1"/>
  <c r="H139" i="3"/>
  <c r="J141" i="3" l="1"/>
  <c r="I328" i="3"/>
  <c r="I327" i="3"/>
  <c r="I326" i="3"/>
  <c r="I325" i="3"/>
  <c r="I324" i="3"/>
  <c r="I314" i="3"/>
  <c r="I313" i="3"/>
  <c r="I312" i="3"/>
  <c r="I310" i="3"/>
  <c r="I309" i="3"/>
  <c r="I139" i="3" l="1"/>
  <c r="H132" i="3"/>
  <c r="H131" i="3"/>
  <c r="J20" i="3" l="1"/>
  <c r="N57" i="3"/>
  <c r="N56" i="3"/>
  <c r="I369" i="3"/>
  <c r="I370" i="3"/>
  <c r="I366" i="3"/>
  <c r="I367" i="3"/>
  <c r="I368" i="3"/>
  <c r="I355" i="3"/>
  <c r="I356" i="3"/>
  <c r="I354" i="3"/>
  <c r="I352" i="3"/>
  <c r="F302" i="3"/>
  <c r="I302" i="3" s="1"/>
  <c r="F301" i="3"/>
  <c r="I301" i="3" s="1"/>
  <c r="C300" i="3"/>
  <c r="F298" i="3"/>
  <c r="I298" i="3" s="1"/>
  <c r="F297" i="3"/>
  <c r="I297" i="3" s="1"/>
  <c r="F296" i="3"/>
  <c r="I296" i="3" s="1"/>
  <c r="F295" i="3"/>
  <c r="I295" i="3" s="1"/>
  <c r="A295" i="3"/>
  <c r="A296" i="3" s="1"/>
  <c r="A297" i="3" s="1"/>
  <c r="F289" i="3"/>
  <c r="I289" i="3" s="1"/>
  <c r="F288" i="3"/>
  <c r="I288" i="3" s="1"/>
  <c r="F287" i="3"/>
  <c r="I287" i="3" s="1"/>
  <c r="F286" i="3"/>
  <c r="I286" i="3" s="1"/>
  <c r="F282" i="3"/>
  <c r="I282" i="3" s="1"/>
  <c r="F281" i="3"/>
  <c r="I281" i="3" s="1"/>
  <c r="F278" i="3"/>
  <c r="I278" i="3" s="1"/>
  <c r="F277" i="3"/>
  <c r="I277" i="3" s="1"/>
  <c r="F293" i="3"/>
  <c r="I293" i="3" s="1"/>
  <c r="F292" i="3"/>
  <c r="I292" i="3" s="1"/>
  <c r="C291" i="3"/>
  <c r="A286" i="3"/>
  <c r="A287" i="3" s="1"/>
  <c r="A288" i="3" s="1"/>
  <c r="F284" i="3"/>
  <c r="I284" i="3" s="1"/>
  <c r="F283" i="3"/>
  <c r="I283" i="3" s="1"/>
  <c r="F280" i="3"/>
  <c r="I280" i="3" s="1"/>
  <c r="C280" i="3"/>
  <c r="C281" i="3" s="1"/>
  <c r="F279" i="3"/>
  <c r="I279" i="3" s="1"/>
  <c r="A277" i="3"/>
  <c r="A278" i="3" s="1"/>
  <c r="A279" i="3" s="1"/>
  <c r="A280" i="3" s="1"/>
  <c r="A281" i="3" s="1"/>
  <c r="A282" i="3" s="1"/>
  <c r="A283" i="3" s="1"/>
  <c r="A284" i="3" s="1"/>
  <c r="F274" i="3"/>
  <c r="I274" i="3" s="1"/>
  <c r="F275" i="3"/>
  <c r="I275" i="3" s="1"/>
  <c r="F271" i="3"/>
  <c r="I271" i="3" s="1"/>
  <c r="F270" i="3"/>
  <c r="I270" i="3" s="1"/>
  <c r="F269" i="3"/>
  <c r="I269" i="3" s="1"/>
  <c r="F268" i="3"/>
  <c r="I268" i="3" s="1"/>
  <c r="F264" i="3"/>
  <c r="I264" i="3" s="1"/>
  <c r="F266" i="3"/>
  <c r="I266" i="3" s="1"/>
  <c r="F265" i="3"/>
  <c r="I265" i="3" s="1"/>
  <c r="F263" i="3"/>
  <c r="I263" i="3" s="1"/>
  <c r="F262" i="3"/>
  <c r="I262" i="3" s="1"/>
  <c r="F261" i="3"/>
  <c r="I261" i="3" s="1"/>
  <c r="F260" i="3"/>
  <c r="I260" i="3" s="1"/>
  <c r="F259" i="3"/>
  <c r="I259" i="3" s="1"/>
  <c r="F256" i="3"/>
  <c r="I256" i="3" s="1"/>
  <c r="F255" i="3"/>
  <c r="I255" i="3" s="1"/>
  <c r="F254" i="3"/>
  <c r="I254" i="3" s="1"/>
  <c r="F253" i="3"/>
  <c r="I253" i="3" s="1"/>
  <c r="F251" i="3"/>
  <c r="I251" i="3" s="1"/>
  <c r="F250" i="3"/>
  <c r="C273" i="3"/>
  <c r="A268" i="3"/>
  <c r="A269" i="3" s="1"/>
  <c r="A270" i="3" s="1"/>
  <c r="A272" i="3" s="1"/>
  <c r="A273" i="3" s="1"/>
  <c r="A274" i="3" s="1"/>
  <c r="A275" i="3" s="1"/>
  <c r="C262" i="3"/>
  <c r="C263" i="3" s="1"/>
  <c r="A259" i="3"/>
  <c r="A260" i="3" s="1"/>
  <c r="A261" i="3" s="1"/>
  <c r="A262" i="3" s="1"/>
  <c r="A263" i="3" s="1"/>
  <c r="A264" i="3" s="1"/>
  <c r="A265" i="3" s="1"/>
  <c r="A266" i="3" s="1"/>
  <c r="A253" i="3"/>
  <c r="A254" i="3" s="1"/>
  <c r="A255" i="3" s="1"/>
  <c r="A256" i="3" s="1"/>
  <c r="A250" i="3"/>
  <c r="A251" i="3" s="1"/>
  <c r="F245" i="3"/>
  <c r="I245" i="3" s="1"/>
  <c r="F242" i="3"/>
  <c r="I242" i="3" s="1"/>
  <c r="F241" i="3"/>
  <c r="I241" i="3" s="1"/>
  <c r="F240" i="3"/>
  <c r="I240" i="3" s="1"/>
  <c r="F238" i="3"/>
  <c r="I238" i="3" s="1"/>
  <c r="F237" i="3"/>
  <c r="I237" i="3" s="1"/>
  <c r="F236" i="3"/>
  <c r="I236" i="3" s="1"/>
  <c r="F235" i="3"/>
  <c r="I235" i="3" s="1"/>
  <c r="F234" i="3"/>
  <c r="I234" i="3" s="1"/>
  <c r="F233" i="3"/>
  <c r="I233" i="3" s="1"/>
  <c r="F228" i="3"/>
  <c r="I228" i="3" s="1"/>
  <c r="F231" i="3"/>
  <c r="I231" i="3" s="1"/>
  <c r="F227" i="3"/>
  <c r="I227" i="3" s="1"/>
  <c r="F226" i="3"/>
  <c r="I226" i="3" s="1"/>
  <c r="F220" i="3"/>
  <c r="I220" i="3" s="1"/>
  <c r="F223" i="3"/>
  <c r="I223" i="3" s="1"/>
  <c r="F222" i="3"/>
  <c r="I222" i="3" s="1"/>
  <c r="F224" i="3"/>
  <c r="I224" i="3" s="1"/>
  <c r="F221" i="3"/>
  <c r="I221" i="3" s="1"/>
  <c r="F219" i="3"/>
  <c r="I219" i="3" s="1"/>
  <c r="F217" i="3"/>
  <c r="I217" i="3" s="1"/>
  <c r="F210" i="3"/>
  <c r="I210" i="3" s="1"/>
  <c r="F214" i="3"/>
  <c r="I214" i="3" s="1"/>
  <c r="F213" i="3"/>
  <c r="I213" i="3" s="1"/>
  <c r="F212" i="3"/>
  <c r="I212" i="3" s="1"/>
  <c r="F209" i="3"/>
  <c r="I209" i="3" s="1"/>
  <c r="F208" i="3"/>
  <c r="I208" i="3" s="1"/>
  <c r="F207" i="3"/>
  <c r="I207" i="3" s="1"/>
  <c r="F206" i="3"/>
  <c r="I206" i="3" s="1"/>
  <c r="F205" i="3"/>
  <c r="I205" i="3" s="1"/>
  <c r="F202" i="3"/>
  <c r="I202" i="3" s="1"/>
  <c r="F199" i="3"/>
  <c r="I199" i="3" s="1"/>
  <c r="F201" i="3"/>
  <c r="I201" i="3" s="1"/>
  <c r="F200" i="3"/>
  <c r="I200" i="3" s="1"/>
  <c r="F197" i="3"/>
  <c r="I197" i="3" s="1"/>
  <c r="F196" i="3"/>
  <c r="C243" i="3"/>
  <c r="C244" i="3" s="1"/>
  <c r="A240" i="3"/>
  <c r="A241" i="3" s="1"/>
  <c r="A242" i="3" s="1"/>
  <c r="A243" i="3" s="1"/>
  <c r="A244" i="3" s="1"/>
  <c r="A245" i="3" s="1"/>
  <c r="C236" i="3"/>
  <c r="C237" i="3" s="1"/>
  <c r="A233" i="3"/>
  <c r="A234" i="3" s="1"/>
  <c r="A235" i="3" s="1"/>
  <c r="A236" i="3" s="1"/>
  <c r="A237" i="3" s="1"/>
  <c r="A238" i="3" s="1"/>
  <c r="C229" i="3"/>
  <c r="C230" i="3" s="1"/>
  <c r="A226" i="3"/>
  <c r="A227" i="3" s="1"/>
  <c r="A228" i="3" s="1"/>
  <c r="A229" i="3" s="1"/>
  <c r="A230" i="3" s="1"/>
  <c r="A231" i="3" s="1"/>
  <c r="C222" i="3"/>
  <c r="C223" i="3" s="1"/>
  <c r="A219" i="3"/>
  <c r="A220" i="3" s="1"/>
  <c r="A221" i="3" s="1"/>
  <c r="A222" i="3" s="1"/>
  <c r="A223" i="3" s="1"/>
  <c r="A224" i="3" s="1"/>
  <c r="C215" i="3"/>
  <c r="C216" i="3" s="1"/>
  <c r="A212" i="3"/>
  <c r="A213" i="3" s="1"/>
  <c r="A214" i="3" s="1"/>
  <c r="A215" i="3" s="1"/>
  <c r="A216" i="3" s="1"/>
  <c r="A217" i="3" s="1"/>
  <c r="C208" i="3"/>
  <c r="C209" i="3" s="1"/>
  <c r="A205" i="3"/>
  <c r="A206" i="3" s="1"/>
  <c r="A207" i="3" s="1"/>
  <c r="A208" i="3" s="1"/>
  <c r="A209" i="3" s="1"/>
  <c r="A210" i="3" s="1"/>
  <c r="A199" i="3"/>
  <c r="A200" i="3" s="1"/>
  <c r="A201" i="3" s="1"/>
  <c r="A202" i="3" s="1"/>
  <c r="A196" i="3"/>
  <c r="A197" i="3" s="1"/>
  <c r="F189" i="3"/>
  <c r="I189" i="3" s="1"/>
  <c r="F188" i="3"/>
  <c r="I188" i="3" s="1"/>
  <c r="F187" i="3"/>
  <c r="I187" i="3" s="1"/>
  <c r="C190" i="3"/>
  <c r="C191" i="3" s="1"/>
  <c r="A187" i="3"/>
  <c r="A188" i="3" s="1"/>
  <c r="A189" i="3" s="1"/>
  <c r="A190" i="3" s="1"/>
  <c r="A191" i="3" s="1"/>
  <c r="F185" i="3"/>
  <c r="I185" i="3" s="1"/>
  <c r="F182" i="3"/>
  <c r="I182" i="3" s="1"/>
  <c r="F181" i="3"/>
  <c r="I181" i="3" s="1"/>
  <c r="F184" i="3"/>
  <c r="I184" i="3" s="1"/>
  <c r="F183" i="3"/>
  <c r="I183" i="3" s="1"/>
  <c r="C184" i="3"/>
  <c r="C185" i="3" s="1"/>
  <c r="A181" i="3"/>
  <c r="A182" i="3" s="1"/>
  <c r="A183" i="3" s="1"/>
  <c r="A184" i="3" s="1"/>
  <c r="A185" i="3" s="1"/>
  <c r="F177" i="3"/>
  <c r="I177" i="3" s="1"/>
  <c r="C178" i="3"/>
  <c r="C179" i="3" s="1"/>
  <c r="F176" i="3"/>
  <c r="I176" i="3" s="1"/>
  <c r="F175" i="3"/>
  <c r="I175" i="3" s="1"/>
  <c r="A175" i="3"/>
  <c r="A176" i="3" s="1"/>
  <c r="A177" i="3" s="1"/>
  <c r="A178" i="3" s="1"/>
  <c r="A179" i="3" s="1"/>
  <c r="F173" i="3"/>
  <c r="I173" i="3" s="1"/>
  <c r="F172" i="3"/>
  <c r="I172" i="3" s="1"/>
  <c r="C172" i="3"/>
  <c r="C173" i="3" s="1"/>
  <c r="F171" i="3"/>
  <c r="I171" i="3" s="1"/>
  <c r="F170" i="3"/>
  <c r="I170" i="3" s="1"/>
  <c r="F169" i="3"/>
  <c r="I169" i="3" s="1"/>
  <c r="A169" i="3"/>
  <c r="A170" i="3" s="1"/>
  <c r="A171" i="3" s="1"/>
  <c r="A172" i="3" s="1"/>
  <c r="A173" i="3" s="1"/>
  <c r="C166" i="3"/>
  <c r="C167" i="3" s="1"/>
  <c r="F165" i="3"/>
  <c r="I165" i="3" s="1"/>
  <c r="F164" i="3"/>
  <c r="I164" i="3" s="1"/>
  <c r="F163" i="3"/>
  <c r="I163" i="3" s="1"/>
  <c r="A163" i="3"/>
  <c r="A164" i="3" s="1"/>
  <c r="A165" i="3" s="1"/>
  <c r="A166" i="3" s="1"/>
  <c r="A167" i="3" s="1"/>
  <c r="F159" i="3"/>
  <c r="I159" i="3" s="1"/>
  <c r="F158" i="3"/>
  <c r="I158" i="3" s="1"/>
  <c r="F157" i="3"/>
  <c r="I157" i="3" s="1"/>
  <c r="F160" i="3"/>
  <c r="I160" i="3" s="1"/>
  <c r="F161" i="3"/>
  <c r="I161" i="3" s="1"/>
  <c r="C160" i="3"/>
  <c r="C161" i="3" s="1"/>
  <c r="A157" i="3"/>
  <c r="A158" i="3" s="1"/>
  <c r="A159" i="3" s="1"/>
  <c r="A160" i="3" s="1"/>
  <c r="A161" i="3" s="1"/>
  <c r="F152" i="3"/>
  <c r="I152" i="3" s="1"/>
  <c r="F154" i="3"/>
  <c r="I154" i="3" s="1"/>
  <c r="F153" i="3"/>
  <c r="I153" i="3" s="1"/>
  <c r="A152" i="3"/>
  <c r="A153" i="3" s="1"/>
  <c r="A154" i="3" s="1"/>
  <c r="F150" i="3"/>
  <c r="F149" i="3"/>
  <c r="H138" i="3" l="1"/>
  <c r="I351" i="3"/>
  <c r="I140" i="3" s="1"/>
  <c r="F136" i="3"/>
  <c r="H137" i="3"/>
  <c r="F137" i="3"/>
  <c r="I196" i="3"/>
  <c r="F138" i="3"/>
  <c r="I137" i="3"/>
  <c r="I250" i="3"/>
  <c r="I138" i="3" s="1"/>
  <c r="H136" i="3"/>
  <c r="A299" i="3"/>
  <c r="A300" i="3" s="1"/>
  <c r="A301" i="3" s="1"/>
  <c r="A302" i="3" s="1"/>
  <c r="A298" i="3"/>
  <c r="A290" i="3"/>
  <c r="A291" i="3" s="1"/>
  <c r="A292" i="3" s="1"/>
  <c r="A293" i="3" s="1"/>
  <c r="A289" i="3"/>
  <c r="A271" i="3"/>
  <c r="F141" i="3" l="1"/>
  <c r="H141" i="3"/>
  <c r="K66" i="3" l="1"/>
  <c r="K65" i="3"/>
  <c r="K64" i="3"/>
  <c r="I56" i="3"/>
  <c r="K59" i="3" l="1"/>
  <c r="C58" i="3" s="1"/>
  <c r="E65" i="3"/>
  <c r="K57" i="3"/>
  <c r="E67" i="3"/>
  <c r="E64" i="3"/>
  <c r="K58" i="3"/>
  <c r="E63" i="3"/>
  <c r="E69" i="3"/>
  <c r="E68" i="3"/>
  <c r="E62" i="3"/>
  <c r="E61" i="3"/>
  <c r="K60" i="3"/>
  <c r="K61" i="3" s="1"/>
  <c r="K62" i="3" s="1"/>
  <c r="K63" i="3" s="1"/>
  <c r="E66" i="3"/>
  <c r="E60" i="3"/>
  <c r="E58" i="3" l="1"/>
  <c r="K67" i="3"/>
  <c r="C59" i="3" s="1"/>
  <c r="E59" i="3" s="1"/>
  <c r="F58" i="3" l="1"/>
  <c r="H119" i="3" s="1"/>
  <c r="J55" i="3" l="1"/>
  <c r="I4" i="3" l="1"/>
  <c r="A149" i="3" l="1"/>
  <c r="A150" i="3" s="1"/>
  <c r="E393" i="3" l="1"/>
  <c r="H133" i="3"/>
  <c r="I150" i="3" l="1"/>
  <c r="I149" i="3"/>
  <c r="I136" i="3" s="1"/>
  <c r="I141" i="3" s="1"/>
  <c r="E394" i="3" l="1"/>
</calcChain>
</file>

<file path=xl/sharedStrings.xml><?xml version="1.0" encoding="utf-8"?>
<sst xmlns="http://schemas.openxmlformats.org/spreadsheetml/2006/main" count="825" uniqueCount="317">
  <si>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</si>
  <si>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</si>
  <si>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</si>
  <si>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</si>
  <si>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</si>
  <si>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</si>
  <si>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</si>
  <si>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</si>
  <si>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</si>
  <si>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</si>
  <si>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</si>
  <si>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</si>
  <si>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</si>
  <si>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</si>
  <si>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</si>
  <si>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</si>
  <si>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</si>
  <si>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</si>
  <si>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</si>
  <si>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</si>
  <si>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</si>
  <si>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</si>
  <si>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</si>
  <si>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</si>
  <si>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</si>
  <si>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</si>
  <si>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</si>
  <si>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</si>
  <si>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</si>
  <si>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</si>
  <si>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</si>
  <si>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</si>
  <si>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</si>
  <si>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</si>
  <si>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</si>
  <si>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</si>
  <si>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</si>
  <si>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</si>
  <si>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</si>
  <si>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</si>
  <si>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</si>
  <si>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</si>
  <si>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</si>
  <si>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</si>
  <si>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</si>
  <si>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</si>
  <si>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</si>
  <si>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</si>
  <si>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</si>
  <si>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</si>
  <si>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</si>
  <si>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</si>
  <si>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</si>
  <si>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</si>
  <si>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</si>
  <si>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</si>
  <si>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</si>
  <si>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</si>
  <si>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</si>
  <si>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</si>
  <si>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</si>
  <si>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</si>
  <si>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</si>
  <si>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</si>
  <si>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</si>
  <si>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</si>
  <si>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</si>
  <si>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</si>
  <si>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</si>
  <si>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</si>
  <si>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Environmental Clearance Details</t>
  </si>
  <si>
    <t>Airport Authority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</si>
  <si>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</si>
  <si>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</si>
  <si>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</si>
  <si>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</si>
  <si>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</si>
  <si>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</si>
  <si>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</si>
  <si>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</si>
  <si>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</si>
  <si>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</si>
  <si>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</si>
  <si>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</si>
  <si>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</si>
  <si>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</si>
  <si>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</si>
  <si>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</si>
  <si>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</si>
  <si>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</si>
  <si>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</si>
  <si>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</si>
  <si>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</si>
  <si>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</si>
  <si>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</si>
  <si>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</si>
  <si>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</si>
  <si>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</si>
  <si>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</si>
  <si>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</si>
  <si>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</si>
  <si>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</si>
  <si>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</si>
  <si>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Description</t>
  </si>
  <si>
    <t>Gross Carpet area</t>
  </si>
  <si>
    <t>Attached Terrace area</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</si>
  <si>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</si>
  <si>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</si>
  <si>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</si>
  <si>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</si>
  <si>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</si>
  <si>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</si>
  <si>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</si>
  <si>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</si>
  <si>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</si>
  <si>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</si>
  <si>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</si>
  <si>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</si>
  <si>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</si>
  <si>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</si>
  <si>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</si>
  <si>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</si>
  <si>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</si>
  <si>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</si>
  <si>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</si>
  <si>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</si>
  <si>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</si>
  <si>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</si>
  <si>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</si>
  <si>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</si>
  <si>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</si>
  <si>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</si>
  <si>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</si>
  <si>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</si>
  <si>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</si>
  <si>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</si>
  <si>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</si>
  <si>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</si>
  <si>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</si>
  <si>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</si>
  <si>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</si>
  <si>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</si>
  <si>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</si>
  <si>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</si>
  <si>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</si>
  <si>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</si>
  <si>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</si>
  <si>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</si>
  <si>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</si>
  <si>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</si>
  <si>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</si>
  <si>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</si>
  <si>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</si>
  <si>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</si>
  <si>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</si>
  <si>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</si>
  <si>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</si>
  <si>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</si>
  <si>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</si>
  <si>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</si>
  <si>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</si>
  <si>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</si>
  <si>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</si>
  <si>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</si>
  <si>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</si>
  <si>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</si>
  <si>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</si>
  <si>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</si>
  <si>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</si>
  <si>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</si>
  <si>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</si>
  <si>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</si>
  <si>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</si>
  <si>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</si>
  <si>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</si>
  <si>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</si>
  <si>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</si>
  <si>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</si>
  <si>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</si>
  <si>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</si>
  <si>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</si>
  <si>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</si>
  <si>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</si>
  <si>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</si>
  <si>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</si>
  <si>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</si>
  <si>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</si>
  <si>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</si>
  <si>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Floor Rise Per Sq. Ft.
(on Carpet area)</t>
  </si>
  <si>
    <t>Date &amp; Time of Site Visit</t>
  </si>
  <si>
    <t xml:space="preserve">Door &amp; Window Frames </t>
  </si>
  <si>
    <t>Ext.Plaster</t>
  </si>
  <si>
    <t>Plumb.&amp; Electri.</t>
  </si>
  <si>
    <t>Painting</t>
  </si>
  <si>
    <t>Approved Layout &amp; Floor Plans, CC, RERA certificate, NOC</t>
  </si>
  <si>
    <t>Building No. 2, CTS NO. 784-1, 785,.., 793 &amp; 848, Village - Nahur, Mulund link road, Mulund (W), Mumbai - 4000080.</t>
  </si>
  <si>
    <t>15/03/2019 - D, E, F Wing &amp; 14/03/2022 - G Wing</t>
  </si>
  <si>
    <t>D, E, F Wing - P51800019950
G Wing - P51800033845</t>
  </si>
  <si>
    <t>ICICI
IFSC Code - ICIC0000038</t>
  </si>
  <si>
    <t>Wing - G</t>
  </si>
  <si>
    <t>Wing - D, E &amp; F</t>
  </si>
  <si>
    <t xml:space="preserve">2Basement + Gr/St + 1st to 4th Podium + 5th to 47th Floor
</t>
  </si>
  <si>
    <t>2Basement + Gr/St + 1st to 4th Podium + 5th to 47th Floor</t>
  </si>
  <si>
    <t xml:space="preserve">2Basement + Gr/St + 1st to 4th Podium + 5th to 47th Floor
</t>
  </si>
  <si>
    <t>Atmosphere Realty Pvt Ltd</t>
  </si>
  <si>
    <t>Plot No - 808, Building Name - Krushal Commercial Complex, Street Name - G M Road, Locality - Chembur (West)</t>
  </si>
  <si>
    <t>Upper</t>
  </si>
  <si>
    <t>.4 KM from Nahur Bus Stop</t>
  </si>
  <si>
    <t xml:space="preserve">1.1 KM from Nahur Railway Station
</t>
  </si>
  <si>
    <t>1. Approx. 1.6 KM from D Mart.
2. Approx. 2.4KM from Mulund Main Market.</t>
  </si>
  <si>
    <t xml:space="preserve">Building No. 2,on Plot Bearing  CTS No.- 784-1, 785, 786, 787, 788, 790, 791, 792-A, 793 &amp; 848 Of Village Nahur At Goregaon, Mulund Link Road, Mulund (W), Mumbai - 4000080.
</t>
  </si>
  <si>
    <t>Road</t>
  </si>
  <si>
    <t>Building No.1</t>
  </si>
  <si>
    <t>Mulund - Goregaon Link Rd</t>
  </si>
  <si>
    <t>Open Plot</t>
  </si>
  <si>
    <t>The Gateway Mulund</t>
  </si>
  <si>
    <t>Fire NOC Details</t>
  </si>
  <si>
    <t>CHE/ES/1321/T/337(NEW)-CFO
Date: 07/02/2020</t>
  </si>
  <si>
    <t>CHE/ES/1321/T/337(NEW)/SWM/1/Amend
Dated - 03/11/2021</t>
  </si>
  <si>
    <t>Solid Waste Management Department NOC Details</t>
  </si>
  <si>
    <t>Railway NOC Details</t>
  </si>
  <si>
    <t>BB/W/6561/NOC/MLND/1223/DB
Date: 09/06/2021</t>
  </si>
  <si>
    <t>Residential</t>
  </si>
  <si>
    <t>SNCR/WEST/B/090721/574103
Date:28/09/2021</t>
  </si>
  <si>
    <t>SEIAA-EC-0000002339
Date: 24/01/2020</t>
  </si>
  <si>
    <t>2nd &amp; 1st Basement Floor for Parking</t>
  </si>
  <si>
    <t>Ground/Stilt Floor for Parking</t>
  </si>
  <si>
    <t xml:space="preserve">1st Floor (Podium) for Residential </t>
  </si>
  <si>
    <t>2BHK</t>
  </si>
  <si>
    <t>2nd &amp; 3rd Floor (Podium)</t>
  </si>
  <si>
    <t>4th Floor (Podium) for Amenities (Yogalaya)</t>
  </si>
  <si>
    <t>5th to 7th, 9th to 14th,16th to 21st, 23rd to 28th, 30th to 34th Floor</t>
  </si>
  <si>
    <t>2.5BHK</t>
  </si>
  <si>
    <t>3BHK</t>
  </si>
  <si>
    <t>8th, 15th, 22nd &amp; 29th Floor (Part Refuge Area)</t>
  </si>
  <si>
    <t>Refuge Area</t>
  </si>
  <si>
    <t>35th Floor</t>
  </si>
  <si>
    <t>36th Floor (Part Refuge &amp; Store Area)</t>
  </si>
  <si>
    <t>Refuge &amp; Store Area</t>
  </si>
  <si>
    <t xml:space="preserve">37th to 42nd &amp; 44th to 47th Floor </t>
  </si>
  <si>
    <t>43rd Floor (Part Refuge &amp; Store Area)</t>
  </si>
  <si>
    <t>Part Refuge &amp; Store Area</t>
  </si>
  <si>
    <t>5th to 7th, 9th to 14th,16th to 21st, 23rd to 28th, 30th to 33rd Floor</t>
  </si>
  <si>
    <t>34th &amp; 35th Floor</t>
  </si>
  <si>
    <t>36th Floor (Part Refuge Area)</t>
  </si>
  <si>
    <t>5th to 7th, 9th to 14th,16th to 21st, 23rd to 28th, 30th to 35th Floor</t>
  </si>
  <si>
    <t>43rd Floor (Part Refuge Area)</t>
  </si>
  <si>
    <t>Wing D</t>
  </si>
  <si>
    <t>Wing E</t>
  </si>
  <si>
    <t>Wing F</t>
  </si>
  <si>
    <t>Flats</t>
  </si>
  <si>
    <t>As Per RERA - Flats =  1250</t>
  </si>
  <si>
    <t>On Carpet area</t>
  </si>
  <si>
    <t>23500 to 25000</t>
  </si>
  <si>
    <t>B Wing</t>
  </si>
  <si>
    <t>A Wing</t>
  </si>
  <si>
    <t>A2</t>
  </si>
  <si>
    <t>A3</t>
  </si>
  <si>
    <t>A1</t>
  </si>
  <si>
    <t>A4</t>
  </si>
  <si>
    <t>A5</t>
  </si>
  <si>
    <t>Flat No. (As per plan)</t>
  </si>
  <si>
    <t>B3</t>
  </si>
  <si>
    <t>B2</t>
  </si>
  <si>
    <t>B1</t>
  </si>
  <si>
    <t>B4</t>
  </si>
  <si>
    <t>B5</t>
  </si>
  <si>
    <t>Wing G (A Wing)</t>
  </si>
  <si>
    <t>Wing G (B Wing)</t>
  </si>
  <si>
    <t>50/- (From 2nd floor)</t>
  </si>
  <si>
    <t>D Wing - Ciana</t>
  </si>
  <si>
    <t>E Wing - Auris</t>
  </si>
  <si>
    <t>F Wing - Azure</t>
  </si>
  <si>
    <t>G Wing - Solis</t>
  </si>
  <si>
    <r>
      <rPr>
        <b/>
        <sz val="16"/>
        <rFont val="Times New Roman"/>
        <family val="1"/>
      </rPr>
      <t>Wadhwa Atmosphere O2</t>
    </r>
    <r>
      <rPr>
        <sz val="16"/>
        <rFont val="Times New Roman"/>
        <family val="1"/>
      </rPr>
      <t xml:space="preserve"> (Wing D, E, F and G)</t>
    </r>
  </si>
  <si>
    <t>Wing F = 2Basement + Gr/St + 1st to 4th Podium + 5th to 47th Floor</t>
  </si>
  <si>
    <t>Wing D &amp; E = 2Basement + Gr/St + 1st to 4th Podium + 5th to 47th Floor</t>
  </si>
  <si>
    <t>Location Link</t>
  </si>
  <si>
    <t>https://goo.gl/maps/kAkLMJE3nvxikFAq8?coh=178572&amp;entry=tt</t>
  </si>
  <si>
    <t>About 0.27 KM from Somani Foundation School</t>
  </si>
  <si>
    <t>About 0.5KM form Fortis Hospital Mulund</t>
  </si>
  <si>
    <t>CHE/ES/1321/T/337(NEW</t>
  </si>
  <si>
    <t>CHE/ES/1321/T/337(NEW)
Date: 30/12/2021
CHE/ES/1321/T/337(NEW)
Date: 12/04/2023</t>
  </si>
  <si>
    <t>2Basement + Gr/St + 1st to 4th Podium + 5th to 32nd Floor</t>
  </si>
  <si>
    <t>8th, 15th &amp; 22nd Floor (Part Refuge Area)</t>
  </si>
  <si>
    <t>25th to 28th, 30th to 32nd Floor</t>
  </si>
  <si>
    <t>29th Floor (Part Refuge Area)</t>
  </si>
  <si>
    <t>balcony from 25th</t>
  </si>
  <si>
    <t>Flats = 1101</t>
  </si>
  <si>
    <t xml:space="preserve">CHE/ES/1321/T/337(NEW)
Date: 12/04/2023
</t>
  </si>
  <si>
    <t>Floor</t>
  </si>
  <si>
    <t>1st Floor (Podium) For Part Residential  &amp; Parking</t>
  </si>
  <si>
    <t>2nd Floor (Podium) For Part Residential  &amp; Parking</t>
  </si>
  <si>
    <t>3rd Floor (Podium)For Part Residential  &amp; Parking</t>
  </si>
  <si>
    <t>4th Floor (Podium) For Part Residential  &amp; Parking</t>
  </si>
  <si>
    <t>5th to 7th, 9th to 14th,16th to 21st, 23rd &amp; 24th Floor For Residential</t>
  </si>
  <si>
    <t>3rd Floor (Podium) For Part Residential  &amp; Parking</t>
  </si>
  <si>
    <t>External Plaster</t>
  </si>
  <si>
    <t>External Plumbing, Elevation and Waterproofing</t>
  </si>
  <si>
    <t>Wooden Work</t>
  </si>
  <si>
    <t>Electrical &amp; Sanitary fittings</t>
  </si>
  <si>
    <t xml:space="preserve">OC Details
Approved upto : 
OC Details
Approved upto : </t>
  </si>
  <si>
    <t>CHE/ES/1321/T/337(NEW)/OCC/1/New
Dated - 27/09/2023
Wing D &amp; E = 2B + Gr/Stilt + 1st to 47th Floor
CHE/ES/1321/T/337(NEW)/OCC/2/New 
Date: 24/09/2024
Part occupation to building no. 2 i.e. Full occupation to F wing comprising of 2 level Basement + part stilt &amp; part ground floor +1st to 47th upper residential floors with Podium Parking Building from 1st (Pt.) to 3rd (Pt.) Podium floors.</t>
  </si>
  <si>
    <t>CHE/ES/1321/T/337(NEW)/FCC/6/Amend
Date: 26/06/2023
Valid Up to Date: 28/10/2024
Valid Up to: Full CC is re endorsed for Residential Wings ‘D’, ‘E’ &amp; ‘F’ i.e., upto top of 47th upper floor + LMR/OHT and for Commercial Wing i.e., upto top of 18th floor + LMR/OHT and further CC is granted upto top of 20th floor for Wing ‘G’ by restricting temporary structure area admeasuring 762.68 sq.mt and set back area admeasuring 6079.80 sq.mt as per last approved plans dated 12.04.2023.</t>
  </si>
  <si>
    <t>Approved Plan Details
Approved Plan Details 
For (Wing G)</t>
  </si>
  <si>
    <t>Ms.Sakshi 9088766829</t>
  </si>
  <si>
    <t>CHE/ES/1321/T/337(NEW)/FCC/8/Amend
Date: 13/03/2025
Valid Up to Date: 28/10/2025
Valid Up to: This CC is re-endorsed and further CC is granted upto top of 32nd floor for Wing ‘G’ by restricting temporary structure area admeasuring 762.68 sqm and one time set back area admeasuring 900.45 Sqm + 2081.50 Sqm respectively along with its proportionate fungible area as per last approved plans dated 29.01.2025.</t>
  </si>
  <si>
    <t>1. Wing D, E &amp; F = All work completed. OC Received.
    Wing G = Construction work is in process at the time of Visit. Internal visit was not allowed.
2. We considered  Saleable area as per our calculation.
3. We considered Carpet area as per Approved Plan.
4. We considered Gross carpet area = Net carpet + Balcony.
5. We have considered rate by verifying it from market inquire.
6. Car parking is subjected to authentic documentation.
7. On Site, we meet Ms.Sakshi 9088766829.
8. We have updated Approved Layout plan, Floor plan (i.e for Wing G) &amp; CC from MCGM site (on 18/11/2023).
9. We have updated OC (Wing D &amp; E) from MCGM site (on 11/02/2024).
10. We have updated OC (Wing F) from MCGM site (on 21/11/2024). 
11. We have updated the revised construction table on dated 21/11/2024, which is shared with us by the Godrej officials.
12. We have updated CC from MCGM site on 05/06/2025.
13. Please provide revised approved plans.</t>
  </si>
  <si>
    <t>D, E, F Wing -  Completed
G Wing -  31/12/2028</t>
  </si>
  <si>
    <t>Mr. Nainesh Tambe</t>
  </si>
  <si>
    <t>06/08/2025 at 03:50PM</t>
  </si>
  <si>
    <t>Ms Trupti</t>
  </si>
  <si>
    <t xml:space="preserve">Mr. Suraj Khare
</t>
  </si>
  <si>
    <t xml:space="preserve">Municipal Corporation Of Greater Mumbai (MCGM)
</t>
  </si>
  <si>
    <t>Wing G (Wing B) = 2Basement + Gr/St + 1st to 4th Podium + 5th to 47th Floor</t>
  </si>
  <si>
    <t>Wing G (Wing A) = 2Basement + Gr/St + 1st to 4th Podium + 5th to 47th Floor</t>
  </si>
  <si>
    <t>Wing G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</si>
</sst>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000000"/>
      <name val="Times New Roman"/>
      <family val="1"/>
    </font>
    <font>
      <sz val="16"/>
      <color theme="1"/>
      <name val="Calibri"/>
      <family val="2"/>
      <scheme val="minor"/>
    </font>
    <font>
      <b/>
      <sz val="18"/>
      <color indexed="8"/>
      <name val="Times New Roman"/>
      <family val="1"/>
    </font>
    <font>
      <u/>
      <sz val="11"/>
      <color theme="10"/>
      <name val="Calibri"/>
      <family val="2"/>
    </font>
    <font>
      <u/>
      <sz val="14"/>
      <color theme="10"/>
      <name val="Calibri"/>
      <family val="2"/>
    </font>
    <font>
      <sz val="14"/>
      <name val="Times New Roman"/>
      <family val="1"/>
    </font>
  </fonts>
  <fills count="6">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6"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1" fillId="0" borderId="0" applyNumberFormat="0" applyFill="0" applyBorder="0" applyAlignment="0" applyProtection="0"/>
  </cellStyleXfs>
  <cellXfs count="181">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8" fillId="0" borderId="0" xfId="0" applyFont="1" applyProtection="1">
      <protection hidden="1"/>
    </xf>
    <xf numFmtId="9" fontId="8" fillId="0" borderId="0" xfId="0" applyNumberFormat="1" applyFont="1" applyProtection="1">
      <protection hidden="1"/>
    </xf>
    <xf numFmtId="0" fontId="8" fillId="0" borderId="18" xfId="0" applyFont="1" applyBorder="1" applyProtection="1">
      <protection hidden="1"/>
    </xf>
    <xf numFmtId="0" fontId="8" fillId="0" borderId="17" xfId="0" applyFont="1" applyBorder="1" applyProtection="1">
      <protection hidden="1"/>
    </xf>
    <xf numFmtId="1" fontId="9" fillId="0" borderId="17" xfId="0" applyNumberFormat="1" applyFont="1" applyBorder="1"/>
    <xf numFmtId="1" fontId="9" fillId="0" borderId="17" xfId="0" applyNumberFormat="1" applyFont="1" applyBorder="1" applyAlignment="1">
      <alignment horizontal="right"/>
    </xf>
    <xf numFmtId="1" fontId="9"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14" fontId="4" fillId="4" borderId="1" xfId="0" applyNumberFormat="1" applyFont="1" applyFill="1" applyBorder="1" applyAlignment="1">
      <alignment horizontal="left" vertical="top" wrapText="1"/>
    </xf>
    <xf numFmtId="0" fontId="3" fillId="4" borderId="1" xfId="0" applyFont="1" applyFill="1" applyBorder="1" applyAlignment="1">
      <alignment vertical="top" wrapText="1"/>
    </xf>
    <xf numFmtId="1" fontId="4" fillId="4" borderId="1" xfId="1" applyNumberFormat="1" applyFont="1" applyFill="1" applyBorder="1" applyAlignment="1">
      <alignment horizontal="center" vertical="center" wrapText="1"/>
    </xf>
    <xf numFmtId="0" fontId="2" fillId="0" borderId="1" xfId="0" applyFont="1" applyBorder="1" applyAlignment="1">
      <alignment horizontal="left" vertical="top" wrapText="1"/>
    </xf>
    <xf numFmtId="14" fontId="3" fillId="0" borderId="0" xfId="0" applyNumberFormat="1" applyFont="1" applyAlignment="1">
      <alignment vertical="top"/>
    </xf>
    <xf numFmtId="0" fontId="4" fillId="0" borderId="1" xfId="0" applyFont="1" applyBorder="1" applyAlignment="1">
      <alignment horizontal="left" vertical="top" wrapText="1"/>
    </xf>
    <xf numFmtId="0" fontId="2" fillId="0" borderId="1" xfId="0" applyFont="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0" applyFont="1" applyFill="1" applyBorder="1" applyAlignment="1">
      <alignment horizontal="left" vertical="top" wrapText="1"/>
    </xf>
    <xf numFmtId="0" fontId="2" fillId="4" borderId="1" xfId="0" applyFont="1" applyFill="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4" borderId="7" xfId="0" applyFont="1" applyFill="1" applyBorder="1" applyAlignment="1">
      <alignment horizontal="left" vertical="top" wrapText="1"/>
    </xf>
    <xf numFmtId="0" fontId="4" fillId="4" borderId="11" xfId="0" applyFont="1" applyFill="1" applyBorder="1" applyAlignment="1">
      <alignment horizontal="left" vertical="top" wrapText="1"/>
    </xf>
    <xf numFmtId="0" fontId="4" fillId="4" borderId="14" xfId="0" applyFont="1" applyFill="1" applyBorder="1" applyAlignment="1">
      <alignment horizontal="left" vertical="top" wrapText="1"/>
    </xf>
    <xf numFmtId="0" fontId="4" fillId="4" borderId="15" xfId="0"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0" fontId="2" fillId="2" borderId="1" xfId="0" applyFont="1" applyFill="1" applyBorder="1" applyAlignment="1">
      <alignment horizontal="center" vertical="top"/>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2" fillId="4" borderId="2" xfId="1" applyNumberFormat="1" applyFont="1" applyFill="1" applyBorder="1" applyAlignment="1">
      <alignment horizontal="center" vertical="center" wrapText="1"/>
    </xf>
    <xf numFmtId="1" fontId="2" fillId="4" borderId="3" xfId="1" applyNumberFormat="1" applyFont="1" applyFill="1" applyBorder="1" applyAlignment="1">
      <alignment horizontal="center" vertical="center" wrapText="1"/>
    </xf>
    <xf numFmtId="1" fontId="2" fillId="4" borderId="15" xfId="1" applyNumberFormat="1" applyFont="1" applyFill="1" applyBorder="1" applyAlignment="1">
      <alignment horizontal="center" vertical="center" wrapText="1"/>
    </xf>
    <xf numFmtId="1" fontId="4" fillId="4" borderId="1" xfId="1" applyNumberFormat="1" applyFont="1" applyFill="1" applyBorder="1" applyAlignment="1">
      <alignment horizontal="center" vertical="center" wrapText="1"/>
    </xf>
    <xf numFmtId="1" fontId="4" fillId="4" borderId="2" xfId="1" applyNumberFormat="1" applyFont="1" applyFill="1" applyBorder="1" applyAlignment="1">
      <alignment horizontal="center" vertical="center" wrapText="1"/>
    </xf>
    <xf numFmtId="1" fontId="4"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10" fillId="4" borderId="2"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4" fillId="4" borderId="2" xfId="1" applyNumberFormat="1" applyFont="1" applyFill="1" applyBorder="1" applyAlignment="1">
      <alignment horizontal="center" vertical="top" wrapText="1"/>
    </xf>
    <xf numFmtId="1" fontId="4" fillId="4" borderId="5" xfId="1" applyNumberFormat="1" applyFont="1" applyFill="1" applyBorder="1" applyAlignment="1">
      <alignment horizontal="center"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11" xfId="0" applyFont="1" applyFill="1" applyBorder="1" applyAlignment="1">
      <alignment horizontal="center" vertical="top" wrapText="1"/>
    </xf>
    <xf numFmtId="1" fontId="5" fillId="0" borderId="1" xfId="1" applyNumberFormat="1" applyFont="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1"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1" xfId="0" applyFont="1" applyFill="1" applyBorder="1" applyAlignment="1">
      <alignment horizontal="center" vertical="top" wrapText="1"/>
    </xf>
    <xf numFmtId="9" fontId="2" fillId="4" borderId="1" xfId="1" applyNumberFormat="1" applyFont="1" applyFill="1" applyBorder="1" applyAlignment="1" applyProtection="1">
      <alignment horizontal="left" vertical="top" wrapText="1"/>
      <protection hidden="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4" borderId="1" xfId="0" applyFont="1" applyFill="1" applyBorder="1" applyAlignment="1">
      <alignment horizontal="left" vertical="top"/>
    </xf>
    <xf numFmtId="0" fontId="4" fillId="0" borderId="1" xfId="0" applyFont="1" applyBorder="1" applyAlignment="1">
      <alignment horizontal="left" vertical="top"/>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2" borderId="8" xfId="0" applyFont="1" applyFill="1" applyBorder="1" applyAlignment="1">
      <alignment horizontal="center" vertical="top"/>
    </xf>
    <xf numFmtId="0" fontId="2" fillId="2" borderId="5"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left"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14" fontId="4" fillId="4" borderId="2" xfId="0" applyNumberFormat="1" applyFont="1" applyFill="1" applyBorder="1" applyAlignment="1">
      <alignment horizontal="left" vertical="top" wrapText="1"/>
    </xf>
    <xf numFmtId="14" fontId="4" fillId="4" borderId="3"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4" xfId="0" applyFont="1" applyFill="1" applyBorder="1" applyAlignment="1">
      <alignment horizontal="left" vertical="top" wrapText="1"/>
    </xf>
    <xf numFmtId="0" fontId="12" fillId="4" borderId="2" xfId="2" applyFont="1" applyFill="1" applyBorder="1" applyAlignment="1">
      <alignment horizontal="left" vertical="top" wrapText="1"/>
    </xf>
    <xf numFmtId="0" fontId="13" fillId="4" borderId="3" xfId="0" applyFont="1" applyFill="1" applyBorder="1" applyAlignment="1">
      <alignment horizontal="left" vertical="top" wrapText="1"/>
    </xf>
    <xf numFmtId="0" fontId="13" fillId="4" borderId="5" xfId="0" applyFont="1" applyFill="1" applyBorder="1" applyAlignment="1">
      <alignment horizontal="left" vertical="top" wrapText="1"/>
    </xf>
    <xf numFmtId="9" fontId="2" fillId="5" borderId="1" xfId="1" applyNumberFormat="1" applyFont="1" applyFill="1" applyBorder="1" applyAlignment="1" applyProtection="1">
      <alignment horizontal="center" vertical="center" wrapText="1"/>
      <protection hidden="1"/>
    </xf>
    <xf numFmtId="9" fontId="2" fillId="5" borderId="2" xfId="1" applyNumberFormat="1" applyFont="1" applyFill="1" applyBorder="1" applyAlignment="1" applyProtection="1">
      <alignment horizontal="center" vertical="center" wrapText="1"/>
      <protection hidden="1"/>
    </xf>
    <xf numFmtId="9" fontId="2" fillId="5" borderId="3" xfId="1" applyNumberFormat="1" applyFont="1" applyFill="1" applyBorder="1" applyAlignment="1" applyProtection="1">
      <alignment horizontal="center" vertical="center" wrapText="1"/>
      <protection hidden="1"/>
    </xf>
    <xf numFmtId="9" fontId="2" fillId="5" borderId="5" xfId="1" applyNumberFormat="1" applyFont="1" applyFill="1" applyBorder="1" applyAlignment="1" applyProtection="1">
      <alignment horizontal="center" vertical="center" wrapText="1"/>
      <protection hidden="1"/>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5</xdr:col>
      <xdr:colOff>179929</xdr:colOff>
      <xdr:row>450</xdr:row>
      <xdr:rowOff>131210</xdr:rowOff>
    </xdr:from>
    <xdr:to>
      <xdr:col>8</xdr:col>
      <xdr:colOff>1275929</xdr:colOff>
      <xdr:row>465</xdr:row>
      <xdr:rowOff>225180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5424282" y="129962563"/>
          <a:ext cx="4637059" cy="3960000"/>
        </a:xfrm>
        <a:prstGeom prst="rect">
          <a:avLst/>
        </a:prstGeom>
        <a:ln>
          <a:solidFill>
            <a:schemeClr val="tx1"/>
          </a:solidFill>
        </a:ln>
      </xdr:spPr>
    </xdr:pic>
    <xdr:clientData/>
  </xdr:twoCellAnchor>
  <xdr:twoCellAnchor editAs="oneCell">
    <xdr:from>
      <xdr:col>0</xdr:col>
      <xdr:colOff>501724</xdr:colOff>
      <xdr:row>450</xdr:row>
      <xdr:rowOff>145676</xdr:rowOff>
    </xdr:from>
    <xdr:to>
      <xdr:col>4</xdr:col>
      <xdr:colOff>1751913</xdr:colOff>
      <xdr:row>465</xdr:row>
      <xdr:rowOff>239646</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501724" y="129977029"/>
          <a:ext cx="4679189" cy="3960000"/>
        </a:xfrm>
        <a:prstGeom prst="rect">
          <a:avLst/>
        </a:prstGeom>
        <a:ln>
          <a:solidFill>
            <a:schemeClr val="tx1"/>
          </a:solidFill>
        </a:ln>
      </xdr:spPr>
    </xdr:pic>
    <xdr:clientData/>
  </xdr:twoCellAnchor>
  <xdr:twoCellAnchor>
    <xdr:from>
      <xdr:col>9</xdr:col>
      <xdr:colOff>451437</xdr:colOff>
      <xdr:row>394</xdr:row>
      <xdr:rowOff>3360</xdr:rowOff>
    </xdr:from>
    <xdr:to>
      <xdr:col>26</xdr:col>
      <xdr:colOff>103137</xdr:colOff>
      <xdr:row>439</xdr:row>
      <xdr:rowOff>130468</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10861702" y="131706095"/>
          <a:ext cx="10218847" cy="11725197"/>
          <a:chOff x="136073" y="122200305"/>
          <a:chExt cx="10196435" cy="11764737"/>
        </a:xfrm>
      </xdr:grpSpPr>
      <xdr:pic>
        <xdr:nvPicPr>
          <xdr:cNvPr id="16" name="Picture 15" descr="https://vsjcllp.vsjadon.com/upload/insp-236096-1525.jpg">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5334001" y="130832677"/>
            <a:ext cx="2353780" cy="31160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7" name="Picture 16" descr="https://vsjcllp.vsjadon.com/upload/insp-236096-843.jp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36073" y="122200305"/>
            <a:ext cx="3336225" cy="443592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1" name="Picture 20" descr="https://vsjcllp.vsjadon.com/upload/insp-236096-849.jpg">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3788229" y="126783192"/>
            <a:ext cx="2960917" cy="39369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https://vsjcllp.vsjadon.com/upload/insp-236096-851.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7015844" y="122205750"/>
            <a:ext cx="3316664" cy="443592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3" name="Picture 22" descr="https://vsjcllp.vsjadon.com/upload/insp-236096-860.jpg">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575959" y="122208471"/>
            <a:ext cx="3336225" cy="443592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36096-871.jp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707571" y="126764141"/>
            <a:ext cx="2960917" cy="39369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https://vsjcllp.vsjadon.com/upload/insp-236096-874.jpg">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2846613" y="130835399"/>
            <a:ext cx="2353780" cy="312964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descr="https://vsjcllp.vsjadon.com/upload/insp-236096-931.jpg">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6863441" y="126783191"/>
            <a:ext cx="2960917" cy="39369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1053354</xdr:colOff>
      <xdr:row>395</xdr:row>
      <xdr:rowOff>22411</xdr:rowOff>
    </xdr:from>
    <xdr:to>
      <xdr:col>8</xdr:col>
      <xdr:colOff>705970</xdr:colOff>
      <xdr:row>438</xdr:row>
      <xdr:rowOff>89647</xdr:rowOff>
    </xdr:to>
    <xdr:grpSp>
      <xdr:nvGrpSpPr>
        <xdr:cNvPr id="14" name="Group 13">
          <a:extLst>
            <a:ext uri="{FF2B5EF4-FFF2-40B4-BE49-F238E27FC236}">
              <a16:creationId xmlns:a16="http://schemas.microsoft.com/office/drawing/2014/main" id="{1B624673-3752-481C-A410-4623AE76B303}"/>
            </a:ext>
          </a:extLst>
        </xdr:cNvPr>
        <xdr:cNvGrpSpPr/>
      </xdr:nvGrpSpPr>
      <xdr:grpSpPr>
        <a:xfrm>
          <a:off x="1053354" y="131982882"/>
          <a:ext cx="8438028" cy="11149853"/>
          <a:chOff x="548040" y="333965"/>
          <a:chExt cx="5882939" cy="8344002"/>
        </a:xfrm>
      </xdr:grpSpPr>
      <xdr:pic>
        <xdr:nvPicPr>
          <xdr:cNvPr id="15" name="Picture 14">
            <a:extLst>
              <a:ext uri="{FF2B5EF4-FFF2-40B4-BE49-F238E27FC236}">
                <a16:creationId xmlns:a16="http://schemas.microsoft.com/office/drawing/2014/main" id="{D3FBFAA0-74B2-4D8A-B693-5E2583743E78}"/>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548040" y="333965"/>
            <a:ext cx="2880000" cy="3829318"/>
          </a:xfrm>
          <a:prstGeom prst="rect">
            <a:avLst/>
          </a:prstGeom>
          <a:ln>
            <a:solidFill>
              <a:schemeClr val="tx1"/>
            </a:solidFill>
          </a:ln>
        </xdr:spPr>
      </xdr:pic>
      <xdr:pic>
        <xdr:nvPicPr>
          <xdr:cNvPr id="18" name="Picture 17">
            <a:extLst>
              <a:ext uri="{FF2B5EF4-FFF2-40B4-BE49-F238E27FC236}">
                <a16:creationId xmlns:a16="http://schemas.microsoft.com/office/drawing/2014/main" id="{A45BD042-B323-49A2-9765-8FDFBB3F128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550979" y="346339"/>
            <a:ext cx="2880000" cy="3829318"/>
          </a:xfrm>
          <a:prstGeom prst="rect">
            <a:avLst/>
          </a:prstGeom>
          <a:ln>
            <a:solidFill>
              <a:schemeClr val="tx1"/>
            </a:solidFill>
          </a:ln>
        </xdr:spPr>
      </xdr:pic>
      <xdr:pic>
        <xdr:nvPicPr>
          <xdr:cNvPr id="19" name="Picture 18">
            <a:extLst>
              <a:ext uri="{FF2B5EF4-FFF2-40B4-BE49-F238E27FC236}">
                <a16:creationId xmlns:a16="http://schemas.microsoft.com/office/drawing/2014/main" id="{9CDC6C7D-589E-4A85-B657-FD28A8F12D07}"/>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532768" y="4271005"/>
            <a:ext cx="1895272" cy="2520000"/>
          </a:xfrm>
          <a:prstGeom prst="rect">
            <a:avLst/>
          </a:prstGeom>
          <a:ln>
            <a:solidFill>
              <a:schemeClr val="tx1"/>
            </a:solidFill>
          </a:ln>
        </xdr:spPr>
      </xdr:pic>
      <xdr:pic>
        <xdr:nvPicPr>
          <xdr:cNvPr id="20" name="Picture 19">
            <a:extLst>
              <a:ext uri="{FF2B5EF4-FFF2-40B4-BE49-F238E27FC236}">
                <a16:creationId xmlns:a16="http://schemas.microsoft.com/office/drawing/2014/main" id="{8E2EA83F-B36F-4A4B-BC7C-574E11CB0871}"/>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558792" y="4271005"/>
            <a:ext cx="1895272" cy="2520000"/>
          </a:xfrm>
          <a:prstGeom prst="rect">
            <a:avLst/>
          </a:prstGeom>
          <a:ln>
            <a:solidFill>
              <a:schemeClr val="tx1"/>
            </a:solidFill>
          </a:ln>
        </xdr:spPr>
      </xdr:pic>
      <xdr:pic>
        <xdr:nvPicPr>
          <xdr:cNvPr id="27" name="Picture 26">
            <a:extLst>
              <a:ext uri="{FF2B5EF4-FFF2-40B4-BE49-F238E27FC236}">
                <a16:creationId xmlns:a16="http://schemas.microsoft.com/office/drawing/2014/main" id="{82FECACD-2476-46DA-BBC8-DB16C321839D}"/>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2074274" y="6877967"/>
            <a:ext cx="1353766" cy="1800000"/>
          </a:xfrm>
          <a:prstGeom prst="rect">
            <a:avLst/>
          </a:prstGeom>
          <a:ln>
            <a:solidFill>
              <a:schemeClr val="tx1"/>
            </a:solidFill>
          </a:ln>
        </xdr:spPr>
      </xdr:pic>
      <xdr:pic>
        <xdr:nvPicPr>
          <xdr:cNvPr id="28" name="Picture 27">
            <a:extLst>
              <a:ext uri="{FF2B5EF4-FFF2-40B4-BE49-F238E27FC236}">
                <a16:creationId xmlns:a16="http://schemas.microsoft.com/office/drawing/2014/main" id="{DE9F0834-CD94-4658-BF79-F36EFCC838A6}"/>
              </a:ext>
            </a:extLst>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3558792" y="6877967"/>
            <a:ext cx="1353766" cy="180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kAkLMJE3nvxikFAq8?coh=178572&amp;entry=tt"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497"/>
  <sheetViews>
    <sheetView tabSelected="1" view="pageBreakPreview" topLeftCell="A76" zoomScale="85" zoomScaleNormal="85" zoomScaleSheetLayoutView="85" zoomScalePageLayoutView="55" workbookViewId="0">
      <selection activeCell="A86" sqref="A86:XFD86"/>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customWidth="1"/>
    <col min="8" max="8" width="24.42578125" style="1" customWidth="1"/>
    <col min="9" max="9" width="24.42578125" style="14" customWidth="1"/>
    <col min="10" max="10" width="33.85546875" style="1" customWidth="1"/>
    <col min="11" max="11" width="15.7109375" style="1" bestFit="1" customWidth="1"/>
    <col min="12" max="20" width="9.140625" style="1"/>
    <col min="21" max="23" width="0" style="1" hidden="1" customWidth="1"/>
    <col min="24" max="26" width="9.140625" style="1"/>
    <col min="27" max="27" width="7.85546875" style="1" customWidth="1"/>
    <col min="28" max="16384" width="9.140625" style="1"/>
  </cols>
  <sheetData>
    <row r="1" spans="1:11" ht="20.25" x14ac:dyDescent="0.25">
      <c r="A1" s="121" t="s">
        <v>43</v>
      </c>
      <c r="B1" s="122"/>
      <c r="C1" s="122"/>
      <c r="D1" s="122"/>
      <c r="E1" s="122"/>
      <c r="F1" s="122"/>
      <c r="G1" s="122"/>
      <c r="H1" s="122"/>
      <c r="I1" s="123"/>
    </row>
    <row r="2" spans="1:11" ht="42" customHeight="1" x14ac:dyDescent="0.25">
      <c r="A2" s="150" t="s">
        <v>11</v>
      </c>
      <c r="B2" s="150"/>
      <c r="C2" s="150"/>
      <c r="D2" s="4" t="s">
        <v>4</v>
      </c>
      <c r="E2" s="151" t="s">
        <v>95</v>
      </c>
      <c r="F2" s="151"/>
      <c r="G2" s="124" t="s">
        <v>15</v>
      </c>
      <c r="H2" s="124"/>
      <c r="I2" s="56">
        <v>45874</v>
      </c>
      <c r="J2" s="1">
        <f>K2-I2</f>
        <v>1</v>
      </c>
      <c r="K2" s="60">
        <v>45875</v>
      </c>
    </row>
    <row r="3" spans="1:11" ht="42.75" customHeight="1" x14ac:dyDescent="0.25">
      <c r="A3" s="118" t="s">
        <v>44</v>
      </c>
      <c r="B3" s="119"/>
      <c r="C3" s="120"/>
      <c r="D3" s="21" t="s">
        <v>4</v>
      </c>
      <c r="E3" s="125" t="s">
        <v>274</v>
      </c>
      <c r="F3" s="128"/>
      <c r="G3" s="124" t="s">
        <v>189</v>
      </c>
      <c r="H3" s="124"/>
      <c r="I3" s="56" t="s">
        <v>310</v>
      </c>
    </row>
    <row r="4" spans="1:11" ht="43.5" customHeight="1" x14ac:dyDescent="0.25">
      <c r="A4" s="118" t="s">
        <v>41</v>
      </c>
      <c r="B4" s="119"/>
      <c r="C4" s="120"/>
      <c r="D4" s="28" t="s">
        <v>4</v>
      </c>
      <c r="E4" s="125" t="s">
        <v>311</v>
      </c>
      <c r="F4" s="126"/>
      <c r="G4" s="124" t="s">
        <v>38</v>
      </c>
      <c r="H4" s="124"/>
      <c r="I4" s="18" t="str">
        <f ca="1">TEXT(TODAY(),"DD/MM/YYYY")</f>
        <v>07/08/2025</v>
      </c>
      <c r="J4" s="125" t="s">
        <v>305</v>
      </c>
      <c r="K4" s="126"/>
    </row>
    <row r="5" spans="1:11" ht="20.25" x14ac:dyDescent="0.25">
      <c r="A5" s="84" t="s">
        <v>45</v>
      </c>
      <c r="B5" s="84"/>
      <c r="C5" s="84"/>
      <c r="D5" s="84"/>
      <c r="E5" s="84"/>
      <c r="F5" s="84"/>
      <c r="G5" s="84"/>
      <c r="H5" s="84"/>
      <c r="I5" s="146"/>
    </row>
    <row r="6" spans="1:11" ht="43.5" customHeight="1" x14ac:dyDescent="0.25">
      <c r="A6" s="152" t="s">
        <v>34</v>
      </c>
      <c r="B6" s="152"/>
      <c r="C6" s="152"/>
      <c r="D6" s="2" t="s">
        <v>4</v>
      </c>
      <c r="E6" s="22" t="s">
        <v>106</v>
      </c>
      <c r="F6" s="21" t="s">
        <v>40</v>
      </c>
      <c r="G6" s="2" t="s">
        <v>4</v>
      </c>
      <c r="H6" s="66" t="s">
        <v>312</v>
      </c>
      <c r="I6" s="66"/>
    </row>
    <row r="7" spans="1:11" ht="39.75" customHeight="1" x14ac:dyDescent="0.25">
      <c r="A7" s="152" t="s">
        <v>47</v>
      </c>
      <c r="B7" s="152"/>
      <c r="C7" s="152"/>
      <c r="D7" s="2" t="s">
        <v>4</v>
      </c>
      <c r="E7" s="5" t="s">
        <v>204</v>
      </c>
      <c r="F7" s="21" t="s">
        <v>48</v>
      </c>
      <c r="G7" s="2" t="s">
        <v>4</v>
      </c>
      <c r="H7" s="125" t="s">
        <v>204</v>
      </c>
      <c r="I7" s="126"/>
      <c r="K7" s="60">
        <v>45617</v>
      </c>
    </row>
    <row r="8" spans="1:11" ht="45" customHeight="1" x14ac:dyDescent="0.25">
      <c r="A8" s="152" t="s">
        <v>49</v>
      </c>
      <c r="B8" s="152"/>
      <c r="C8" s="152"/>
      <c r="D8" s="2" t="s">
        <v>4</v>
      </c>
      <c r="E8" s="153" t="s">
        <v>205</v>
      </c>
      <c r="F8" s="153"/>
      <c r="G8" s="153"/>
      <c r="H8" s="153"/>
      <c r="I8" s="153"/>
    </row>
    <row r="9" spans="1:11" ht="45" customHeight="1" x14ac:dyDescent="0.25">
      <c r="A9" s="124" t="s">
        <v>177</v>
      </c>
      <c r="B9" s="21" t="s">
        <v>4</v>
      </c>
      <c r="C9" s="21" t="s">
        <v>46</v>
      </c>
      <c r="D9" s="2" t="s">
        <v>4</v>
      </c>
      <c r="E9" s="125" t="s">
        <v>195</v>
      </c>
      <c r="F9" s="128"/>
      <c r="G9" s="128"/>
      <c r="H9" s="128"/>
      <c r="I9" s="126"/>
    </row>
    <row r="10" spans="1:11" ht="66" customHeight="1" x14ac:dyDescent="0.25">
      <c r="A10" s="124"/>
      <c r="B10" s="21" t="s">
        <v>4</v>
      </c>
      <c r="C10" s="21" t="s">
        <v>14</v>
      </c>
      <c r="D10" s="2" t="s">
        <v>4</v>
      </c>
      <c r="E10" s="125" t="s">
        <v>210</v>
      </c>
      <c r="F10" s="128"/>
      <c r="G10" s="128"/>
      <c r="H10" s="128"/>
      <c r="I10" s="126"/>
    </row>
    <row r="11" spans="1:11" ht="42" customHeight="1" x14ac:dyDescent="0.25">
      <c r="A11" s="124"/>
      <c r="B11" s="21" t="s">
        <v>4</v>
      </c>
      <c r="C11" s="21" t="s">
        <v>5</v>
      </c>
      <c r="D11" s="2" t="s">
        <v>4</v>
      </c>
      <c r="E11" s="125" t="s">
        <v>195</v>
      </c>
      <c r="F11" s="128"/>
      <c r="G11" s="128"/>
      <c r="H11" s="128"/>
      <c r="I11" s="126"/>
    </row>
    <row r="12" spans="1:11" ht="20.25" x14ac:dyDescent="0.25">
      <c r="A12" s="124" t="s">
        <v>39</v>
      </c>
      <c r="B12" s="124"/>
      <c r="C12" s="124"/>
      <c r="D12" s="2" t="s">
        <v>4</v>
      </c>
      <c r="E12" s="66" t="s">
        <v>194</v>
      </c>
      <c r="F12" s="66"/>
      <c r="G12" s="66"/>
      <c r="H12" s="66"/>
      <c r="I12" s="66"/>
    </row>
    <row r="13" spans="1:11" ht="20.100000000000001" customHeight="1" x14ac:dyDescent="0.25">
      <c r="A13" s="84" t="s">
        <v>50</v>
      </c>
      <c r="B13" s="84"/>
      <c r="C13" s="84"/>
      <c r="D13" s="84"/>
      <c r="E13" s="84"/>
      <c r="F13" s="84"/>
      <c r="G13" s="84"/>
      <c r="H13" s="84"/>
      <c r="I13" s="84"/>
    </row>
    <row r="14" spans="1:11" ht="61.5" customHeight="1" x14ac:dyDescent="0.25">
      <c r="A14" s="21" t="s">
        <v>32</v>
      </c>
      <c r="B14" s="2" t="s">
        <v>4</v>
      </c>
      <c r="C14" s="70" t="s">
        <v>96</v>
      </c>
      <c r="D14" s="173"/>
      <c r="E14" s="71"/>
      <c r="F14" s="17" t="s">
        <v>51</v>
      </c>
      <c r="G14" s="2" t="s">
        <v>4</v>
      </c>
      <c r="H14" s="66" t="s">
        <v>313</v>
      </c>
      <c r="I14" s="66"/>
    </row>
    <row r="15" spans="1:11" ht="40.5" x14ac:dyDescent="0.25">
      <c r="A15" s="21" t="s">
        <v>52</v>
      </c>
      <c r="B15" s="2" t="s">
        <v>4</v>
      </c>
      <c r="C15" s="70" t="s">
        <v>197</v>
      </c>
      <c r="D15" s="173"/>
      <c r="E15" s="71"/>
      <c r="F15" s="21" t="s">
        <v>53</v>
      </c>
      <c r="G15" s="2" t="s">
        <v>4</v>
      </c>
      <c r="H15" s="172" t="s">
        <v>308</v>
      </c>
      <c r="I15" s="66"/>
    </row>
    <row r="16" spans="1:11" ht="40.5" x14ac:dyDescent="0.25">
      <c r="A16" s="50" t="s">
        <v>54</v>
      </c>
      <c r="B16" s="2" t="s">
        <v>4</v>
      </c>
      <c r="C16" s="70" t="s">
        <v>196</v>
      </c>
      <c r="D16" s="173"/>
      <c r="E16" s="71"/>
      <c r="F16" s="21" t="s">
        <v>55</v>
      </c>
      <c r="G16" s="2" t="s">
        <v>4</v>
      </c>
      <c r="H16" s="171">
        <v>43539</v>
      </c>
      <c r="I16" s="126"/>
    </row>
    <row r="17" spans="1:10" ht="60.75" x14ac:dyDescent="0.25">
      <c r="A17" s="50" t="s">
        <v>56</v>
      </c>
      <c r="B17" s="2" t="s">
        <v>4</v>
      </c>
      <c r="C17" s="70" t="s">
        <v>308</v>
      </c>
      <c r="D17" s="173"/>
      <c r="E17" s="71"/>
      <c r="F17" s="21" t="s">
        <v>57</v>
      </c>
      <c r="G17" s="2" t="s">
        <v>4</v>
      </c>
      <c r="H17" s="125" t="s">
        <v>198</v>
      </c>
      <c r="I17" s="126"/>
    </row>
    <row r="18" spans="1:10" ht="40.5" x14ac:dyDescent="0.25">
      <c r="A18" s="50" t="s">
        <v>58</v>
      </c>
      <c r="B18" s="2" t="s">
        <v>4</v>
      </c>
      <c r="C18" s="70" t="s">
        <v>222</v>
      </c>
      <c r="D18" s="173"/>
      <c r="E18" s="71"/>
      <c r="F18" s="21" t="s">
        <v>109</v>
      </c>
      <c r="G18" s="2" t="s">
        <v>4</v>
      </c>
      <c r="H18" s="66">
        <v>55509.5</v>
      </c>
      <c r="I18" s="66"/>
    </row>
    <row r="19" spans="1:10" ht="40.5" x14ac:dyDescent="0.25">
      <c r="A19" s="21" t="s">
        <v>59</v>
      </c>
      <c r="B19" s="2" t="s">
        <v>4</v>
      </c>
      <c r="C19" s="70">
        <v>1</v>
      </c>
      <c r="D19" s="173"/>
      <c r="E19" s="71"/>
      <c r="F19" s="21" t="s">
        <v>108</v>
      </c>
      <c r="G19" s="2" t="s">
        <v>4</v>
      </c>
      <c r="H19" s="66">
        <v>115742.38</v>
      </c>
      <c r="I19" s="66"/>
    </row>
    <row r="20" spans="1:10" ht="40.5" x14ac:dyDescent="0.25">
      <c r="A20" s="21" t="s">
        <v>107</v>
      </c>
      <c r="B20" s="2" t="s">
        <v>4</v>
      </c>
      <c r="C20" s="70">
        <v>115927.64</v>
      </c>
      <c r="D20" s="173"/>
      <c r="E20" s="71"/>
      <c r="F20" s="6" t="s">
        <v>60</v>
      </c>
      <c r="G20" s="2" t="s">
        <v>4</v>
      </c>
      <c r="H20" s="125" t="s">
        <v>251</v>
      </c>
      <c r="I20" s="126"/>
      <c r="J20" s="1">
        <f>217+257+342+434</f>
        <v>1250</v>
      </c>
    </row>
    <row r="21" spans="1:10" ht="40.5" x14ac:dyDescent="0.25">
      <c r="A21" s="21" t="s">
        <v>61</v>
      </c>
      <c r="B21" s="2" t="s">
        <v>4</v>
      </c>
      <c r="C21" s="70" t="s">
        <v>288</v>
      </c>
      <c r="D21" s="173"/>
      <c r="E21" s="71"/>
      <c r="F21" s="21" t="s">
        <v>62</v>
      </c>
      <c r="G21" s="2" t="s">
        <v>4</v>
      </c>
      <c r="H21" s="66" t="s">
        <v>174</v>
      </c>
      <c r="I21" s="66"/>
    </row>
    <row r="22" spans="1:10" ht="20.25" x14ac:dyDescent="0.25">
      <c r="A22" s="50" t="s">
        <v>27</v>
      </c>
      <c r="B22" s="2" t="s">
        <v>4</v>
      </c>
      <c r="C22" s="70">
        <v>19.159922999999999</v>
      </c>
      <c r="D22" s="173"/>
      <c r="E22" s="71"/>
      <c r="F22" s="29" t="s">
        <v>28</v>
      </c>
      <c r="G22" s="29" t="s">
        <v>4</v>
      </c>
      <c r="H22" s="70">
        <v>72.948025000000001</v>
      </c>
      <c r="I22" s="71"/>
    </row>
    <row r="23" spans="1:10" ht="20.25" x14ac:dyDescent="0.25">
      <c r="A23" s="50" t="s">
        <v>277</v>
      </c>
      <c r="B23" s="2" t="s">
        <v>4</v>
      </c>
      <c r="C23" s="174" t="s">
        <v>278</v>
      </c>
      <c r="D23" s="175"/>
      <c r="E23" s="175"/>
      <c r="F23" s="175"/>
      <c r="G23" s="175"/>
      <c r="H23" s="175"/>
      <c r="I23" s="176"/>
    </row>
    <row r="24" spans="1:10" ht="108.75" customHeight="1" x14ac:dyDescent="0.25">
      <c r="A24" s="50" t="s">
        <v>30</v>
      </c>
      <c r="B24" s="2" t="s">
        <v>4</v>
      </c>
      <c r="C24" s="66" t="s">
        <v>110</v>
      </c>
      <c r="D24" s="66"/>
      <c r="E24" s="66"/>
      <c r="F24" s="66"/>
      <c r="G24" s="66"/>
      <c r="H24" s="66"/>
      <c r="I24" s="66"/>
    </row>
    <row r="25" spans="1:10" ht="24" customHeight="1" x14ac:dyDescent="0.25">
      <c r="A25" s="121" t="s">
        <v>23</v>
      </c>
      <c r="B25" s="122"/>
      <c r="C25" s="122"/>
      <c r="D25" s="122"/>
      <c r="E25" s="122"/>
      <c r="F25" s="122"/>
      <c r="G25" s="122"/>
      <c r="H25" s="122"/>
      <c r="I25" s="123"/>
    </row>
    <row r="26" spans="1:10" ht="20.25" x14ac:dyDescent="0.25">
      <c r="A26" s="21" t="s">
        <v>31</v>
      </c>
      <c r="B26" s="2" t="s">
        <v>4</v>
      </c>
      <c r="C26" s="66" t="s">
        <v>97</v>
      </c>
      <c r="D26" s="66"/>
      <c r="E26" s="66"/>
      <c r="F26" s="21" t="s">
        <v>16</v>
      </c>
      <c r="G26" s="2" t="s">
        <v>4</v>
      </c>
      <c r="H26" s="66" t="s">
        <v>206</v>
      </c>
      <c r="I26" s="66"/>
    </row>
    <row r="27" spans="1:10" ht="20.25" x14ac:dyDescent="0.25">
      <c r="A27" s="21" t="s">
        <v>17</v>
      </c>
      <c r="B27" s="2" t="s">
        <v>4</v>
      </c>
      <c r="C27" s="66" t="s">
        <v>113</v>
      </c>
      <c r="D27" s="66"/>
      <c r="E27" s="66"/>
      <c r="F27" s="21" t="s">
        <v>178</v>
      </c>
      <c r="G27" s="2" t="s">
        <v>4</v>
      </c>
      <c r="H27" s="66" t="s">
        <v>176</v>
      </c>
      <c r="I27" s="66"/>
    </row>
    <row r="28" spans="1:10" ht="40.5" x14ac:dyDescent="0.25">
      <c r="A28" s="21" t="s">
        <v>26</v>
      </c>
      <c r="B28" s="2" t="s">
        <v>4</v>
      </c>
      <c r="C28" s="66" t="s">
        <v>112</v>
      </c>
      <c r="D28" s="66"/>
      <c r="E28" s="66"/>
      <c r="F28" s="21" t="s">
        <v>19</v>
      </c>
      <c r="G28" s="2" t="s">
        <v>4</v>
      </c>
      <c r="H28" s="66" t="s">
        <v>207</v>
      </c>
      <c r="I28" s="66"/>
    </row>
    <row r="29" spans="1:10" ht="40.5" x14ac:dyDescent="0.25">
      <c r="A29" s="50" t="s">
        <v>134</v>
      </c>
      <c r="B29" s="2" t="s">
        <v>4</v>
      </c>
      <c r="C29" s="66" t="s">
        <v>279</v>
      </c>
      <c r="D29" s="66"/>
      <c r="E29" s="66"/>
      <c r="F29" s="21" t="s">
        <v>135</v>
      </c>
      <c r="G29" s="2" t="s">
        <v>4</v>
      </c>
      <c r="H29" s="125" t="s">
        <v>280</v>
      </c>
      <c r="I29" s="126"/>
    </row>
    <row r="30" spans="1:10" ht="63.75" customHeight="1" x14ac:dyDescent="0.25">
      <c r="A30" s="21" t="s">
        <v>20</v>
      </c>
      <c r="B30" s="2" t="s">
        <v>4</v>
      </c>
      <c r="C30" s="66" t="s">
        <v>209</v>
      </c>
      <c r="D30" s="66"/>
      <c r="E30" s="66"/>
      <c r="F30" s="21" t="s">
        <v>18</v>
      </c>
      <c r="G30" s="2" t="s">
        <v>4</v>
      </c>
      <c r="H30" s="66" t="s">
        <v>208</v>
      </c>
      <c r="I30" s="66"/>
    </row>
    <row r="31" spans="1:10" ht="21.75" customHeight="1" x14ac:dyDescent="0.25">
      <c r="A31" s="50" t="s">
        <v>140</v>
      </c>
      <c r="B31" s="2" t="s">
        <v>4</v>
      </c>
      <c r="C31" s="66" t="s">
        <v>141</v>
      </c>
      <c r="D31" s="66"/>
      <c r="E31" s="66"/>
      <c r="F31" s="21" t="s">
        <v>142</v>
      </c>
      <c r="G31" s="2" t="s">
        <v>4</v>
      </c>
      <c r="H31" s="125" t="s">
        <v>141</v>
      </c>
      <c r="I31" s="126"/>
    </row>
    <row r="32" spans="1:10" ht="21.75" customHeight="1" x14ac:dyDescent="0.25">
      <c r="A32" s="50" t="s">
        <v>143</v>
      </c>
      <c r="B32" s="2" t="s">
        <v>4</v>
      </c>
      <c r="C32" s="125" t="s">
        <v>141</v>
      </c>
      <c r="D32" s="128"/>
      <c r="E32" s="128"/>
      <c r="F32" s="128"/>
      <c r="G32" s="128"/>
      <c r="H32" s="128"/>
      <c r="I32" s="126"/>
    </row>
    <row r="33" spans="1:10" ht="20.25" x14ac:dyDescent="0.25">
      <c r="A33" s="110" t="s">
        <v>42</v>
      </c>
      <c r="B33" s="111"/>
      <c r="C33" s="111"/>
      <c r="D33" s="111"/>
      <c r="E33" s="111"/>
      <c r="F33" s="111"/>
      <c r="G33" s="111"/>
      <c r="H33" s="111"/>
      <c r="I33" s="147"/>
    </row>
    <row r="34" spans="1:10" ht="40.5" x14ac:dyDescent="0.25">
      <c r="A34" s="118" t="s">
        <v>21</v>
      </c>
      <c r="B34" s="119"/>
      <c r="C34" s="120"/>
      <c r="D34" s="2" t="s">
        <v>4</v>
      </c>
      <c r="E34" s="22" t="s">
        <v>114</v>
      </c>
      <c r="F34" s="21" t="s">
        <v>22</v>
      </c>
      <c r="G34" s="7" t="s">
        <v>4</v>
      </c>
      <c r="H34" s="125" t="s">
        <v>115</v>
      </c>
      <c r="I34" s="126"/>
    </row>
    <row r="35" spans="1:10" ht="40.5" x14ac:dyDescent="0.25">
      <c r="A35" s="118" t="s">
        <v>25</v>
      </c>
      <c r="B35" s="119"/>
      <c r="C35" s="120"/>
      <c r="D35" s="2" t="s">
        <v>4</v>
      </c>
      <c r="E35" s="22" t="s">
        <v>115</v>
      </c>
      <c r="F35" s="8" t="s">
        <v>37</v>
      </c>
      <c r="G35" s="2" t="s">
        <v>4</v>
      </c>
      <c r="H35" s="125" t="s">
        <v>115</v>
      </c>
      <c r="I35" s="126"/>
    </row>
    <row r="36" spans="1:10" ht="40.5" x14ac:dyDescent="0.25">
      <c r="A36" s="118" t="s">
        <v>36</v>
      </c>
      <c r="B36" s="119"/>
      <c r="C36" s="120"/>
      <c r="D36" s="2" t="s">
        <v>4</v>
      </c>
      <c r="E36" s="5" t="s">
        <v>116</v>
      </c>
      <c r="F36" s="21" t="s">
        <v>24</v>
      </c>
      <c r="G36" s="24" t="s">
        <v>4</v>
      </c>
      <c r="H36" s="125" t="s">
        <v>117</v>
      </c>
      <c r="I36" s="126"/>
    </row>
    <row r="37" spans="1:10" ht="20.25" x14ac:dyDescent="0.25">
      <c r="A37" s="121" t="s">
        <v>0</v>
      </c>
      <c r="B37" s="122"/>
      <c r="C37" s="122"/>
      <c r="D37" s="122"/>
      <c r="E37" s="122"/>
      <c r="F37" s="122"/>
      <c r="G37" s="122"/>
      <c r="H37" s="122"/>
      <c r="I37" s="123"/>
    </row>
    <row r="38" spans="1:10" ht="20.25" x14ac:dyDescent="0.25">
      <c r="A38" s="168" t="s">
        <v>0</v>
      </c>
      <c r="B38" s="170"/>
      <c r="C38" s="169"/>
      <c r="D38" s="2" t="s">
        <v>4</v>
      </c>
      <c r="E38" s="9" t="s">
        <v>1</v>
      </c>
      <c r="F38" s="9" t="s">
        <v>6</v>
      </c>
      <c r="G38" s="168" t="s">
        <v>2</v>
      </c>
      <c r="H38" s="169"/>
      <c r="I38" s="9" t="s">
        <v>3</v>
      </c>
    </row>
    <row r="39" spans="1:10" ht="40.5" x14ac:dyDescent="0.25">
      <c r="A39" s="118" t="s">
        <v>7</v>
      </c>
      <c r="B39" s="119"/>
      <c r="C39" s="120"/>
      <c r="D39" s="2" t="s">
        <v>4</v>
      </c>
      <c r="E39" s="23" t="s">
        <v>214</v>
      </c>
      <c r="F39" s="23" t="s">
        <v>212</v>
      </c>
      <c r="G39" s="144" t="s">
        <v>211</v>
      </c>
      <c r="H39" s="145"/>
      <c r="I39" s="23" t="s">
        <v>213</v>
      </c>
    </row>
    <row r="40" spans="1:10" ht="39.75" customHeight="1" x14ac:dyDescent="0.25">
      <c r="A40" s="118" t="s">
        <v>8</v>
      </c>
      <c r="B40" s="119"/>
      <c r="C40" s="120"/>
      <c r="D40" s="2" t="s">
        <v>4</v>
      </c>
      <c r="E40" s="23" t="s">
        <v>214</v>
      </c>
      <c r="F40" s="23" t="s">
        <v>212</v>
      </c>
      <c r="G40" s="144" t="s">
        <v>211</v>
      </c>
      <c r="H40" s="145"/>
      <c r="I40" s="23" t="s">
        <v>215</v>
      </c>
    </row>
    <row r="41" spans="1:10" ht="20.25" customHeight="1" x14ac:dyDescent="0.25">
      <c r="A41" s="118" t="s">
        <v>12</v>
      </c>
      <c r="B41" s="119"/>
      <c r="C41" s="120"/>
      <c r="D41" s="2" t="s">
        <v>4</v>
      </c>
      <c r="E41" s="18" t="s">
        <v>112</v>
      </c>
      <c r="F41" s="21" t="s">
        <v>13</v>
      </c>
      <c r="G41" s="2" t="s">
        <v>4</v>
      </c>
      <c r="H41" s="125" t="s">
        <v>111</v>
      </c>
      <c r="I41" s="126"/>
    </row>
    <row r="42" spans="1:10" ht="20.25" x14ac:dyDescent="0.25">
      <c r="A42" s="121" t="s">
        <v>63</v>
      </c>
      <c r="B42" s="122"/>
      <c r="C42" s="122"/>
      <c r="D42" s="122"/>
      <c r="E42" s="122"/>
      <c r="F42" s="122"/>
      <c r="G42" s="122"/>
      <c r="H42" s="122"/>
      <c r="I42" s="123"/>
    </row>
    <row r="43" spans="1:10" ht="21" customHeight="1" x14ac:dyDescent="0.25">
      <c r="A43" s="131" t="s">
        <v>64</v>
      </c>
      <c r="B43" s="131"/>
      <c r="C43" s="131" t="s">
        <v>65</v>
      </c>
      <c r="D43" s="131"/>
      <c r="E43" s="131" t="s">
        <v>175</v>
      </c>
      <c r="F43" s="131"/>
      <c r="G43" s="131"/>
      <c r="H43" s="131" t="s">
        <v>66</v>
      </c>
      <c r="I43" s="131"/>
    </row>
    <row r="44" spans="1:10" ht="40.5" customHeight="1" x14ac:dyDescent="0.25">
      <c r="A44" s="132" t="s">
        <v>200</v>
      </c>
      <c r="B44" s="132"/>
      <c r="C44" s="129" t="s">
        <v>98</v>
      </c>
      <c r="D44" s="129"/>
      <c r="E44" s="66" t="s">
        <v>203</v>
      </c>
      <c r="F44" s="66"/>
      <c r="G44" s="66"/>
      <c r="H44" s="66" t="s">
        <v>202</v>
      </c>
      <c r="I44" s="66"/>
    </row>
    <row r="45" spans="1:10" ht="39.75" customHeight="1" x14ac:dyDescent="0.25">
      <c r="A45" s="132" t="s">
        <v>199</v>
      </c>
      <c r="B45" s="132"/>
      <c r="C45" s="129" t="s">
        <v>98</v>
      </c>
      <c r="D45" s="129"/>
      <c r="E45" s="66" t="s">
        <v>201</v>
      </c>
      <c r="F45" s="66"/>
      <c r="G45" s="66"/>
      <c r="H45" s="66" t="s">
        <v>283</v>
      </c>
      <c r="I45" s="66"/>
    </row>
    <row r="46" spans="1:10" ht="20.25" x14ac:dyDescent="0.25">
      <c r="A46" s="84" t="s">
        <v>67</v>
      </c>
      <c r="B46" s="84"/>
      <c r="C46" s="84"/>
      <c r="D46" s="84"/>
      <c r="E46" s="84"/>
      <c r="F46" s="84"/>
      <c r="G46" s="84"/>
      <c r="H46" s="84"/>
      <c r="I46" s="84"/>
    </row>
    <row r="47" spans="1:10" ht="42.75" customHeight="1" x14ac:dyDescent="0.25">
      <c r="A47" s="17" t="s">
        <v>68</v>
      </c>
      <c r="B47" s="17" t="s">
        <v>4</v>
      </c>
      <c r="C47" s="66" t="s">
        <v>112</v>
      </c>
      <c r="D47" s="66"/>
      <c r="E47" s="66"/>
      <c r="F47" s="17" t="s">
        <v>69</v>
      </c>
      <c r="G47" s="17" t="s">
        <v>4</v>
      </c>
      <c r="H47" s="66" t="s">
        <v>289</v>
      </c>
      <c r="I47" s="66"/>
    </row>
    <row r="48" spans="1:10" ht="332.25" customHeight="1" x14ac:dyDescent="0.25">
      <c r="A48" s="68" t="s">
        <v>99</v>
      </c>
      <c r="B48" s="17" t="s">
        <v>4</v>
      </c>
      <c r="C48" s="66" t="s">
        <v>303</v>
      </c>
      <c r="D48" s="66"/>
      <c r="E48" s="66"/>
      <c r="F48" s="68" t="s">
        <v>304</v>
      </c>
      <c r="G48" s="17" t="s">
        <v>4</v>
      </c>
      <c r="H48" s="70" t="s">
        <v>282</v>
      </c>
      <c r="I48" s="71"/>
      <c r="J48" s="1" t="s">
        <v>281</v>
      </c>
    </row>
    <row r="49" spans="1:14" ht="291.75" customHeight="1" x14ac:dyDescent="0.25">
      <c r="A49" s="69"/>
      <c r="B49" s="62"/>
      <c r="C49" s="66" t="s">
        <v>306</v>
      </c>
      <c r="D49" s="67"/>
      <c r="E49" s="67"/>
      <c r="F49" s="69"/>
      <c r="G49" s="61"/>
      <c r="H49" s="72"/>
      <c r="I49" s="73"/>
    </row>
    <row r="50" spans="1:14" ht="374.25" customHeight="1" x14ac:dyDescent="0.25">
      <c r="A50" s="59" t="s">
        <v>301</v>
      </c>
      <c r="B50" s="59" t="s">
        <v>4</v>
      </c>
      <c r="C50" s="67" t="s">
        <v>302</v>
      </c>
      <c r="D50" s="67"/>
      <c r="E50" s="67"/>
      <c r="F50" s="17" t="s">
        <v>70</v>
      </c>
      <c r="G50" s="17" t="s">
        <v>4</v>
      </c>
      <c r="H50" s="66" t="s">
        <v>224</v>
      </c>
      <c r="I50" s="66"/>
    </row>
    <row r="51" spans="1:14" ht="60" customHeight="1" x14ac:dyDescent="0.25">
      <c r="A51" s="17" t="s">
        <v>219</v>
      </c>
      <c r="B51" s="17" t="s">
        <v>4</v>
      </c>
      <c r="C51" s="66" t="s">
        <v>218</v>
      </c>
      <c r="D51" s="66"/>
      <c r="E51" s="66"/>
      <c r="F51" s="17" t="s">
        <v>220</v>
      </c>
      <c r="G51" s="17" t="s">
        <v>4</v>
      </c>
      <c r="H51" s="66" t="s">
        <v>221</v>
      </c>
      <c r="I51" s="66"/>
    </row>
    <row r="52" spans="1:14" ht="45" customHeight="1" x14ac:dyDescent="0.25">
      <c r="A52" s="17" t="s">
        <v>71</v>
      </c>
      <c r="B52" s="17" t="s">
        <v>4</v>
      </c>
      <c r="C52" s="66" t="s">
        <v>223</v>
      </c>
      <c r="D52" s="66"/>
      <c r="E52" s="66"/>
      <c r="F52" s="17" t="s">
        <v>216</v>
      </c>
      <c r="G52" s="17" t="s">
        <v>4</v>
      </c>
      <c r="H52" s="66" t="s">
        <v>217</v>
      </c>
      <c r="I52" s="66"/>
    </row>
    <row r="53" spans="1:14" ht="45" hidden="1" customHeight="1" x14ac:dyDescent="0.25">
      <c r="A53" s="17" t="s">
        <v>72</v>
      </c>
      <c r="B53" s="17" t="s">
        <v>4</v>
      </c>
      <c r="C53" s="66" t="s">
        <v>111</v>
      </c>
      <c r="D53" s="66"/>
      <c r="E53" s="66"/>
      <c r="F53" s="17" t="s">
        <v>70</v>
      </c>
      <c r="G53" s="17" t="s">
        <v>4</v>
      </c>
      <c r="H53" s="66" t="s">
        <v>224</v>
      </c>
      <c r="I53" s="66"/>
    </row>
    <row r="54" spans="1:14" ht="21" thickBot="1" x14ac:dyDescent="0.3">
      <c r="A54" s="84" t="s">
        <v>73</v>
      </c>
      <c r="B54" s="84"/>
      <c r="C54" s="84"/>
      <c r="D54" s="84"/>
      <c r="E54" s="84"/>
      <c r="F54" s="84"/>
      <c r="G54" s="84"/>
      <c r="H54" s="84"/>
      <c r="I54" s="84"/>
    </row>
    <row r="55" spans="1:14" ht="20.25" x14ac:dyDescent="0.3">
      <c r="A55" s="130" t="s">
        <v>276</v>
      </c>
      <c r="B55" s="130"/>
      <c r="C55" s="130"/>
      <c r="D55" s="86" t="s">
        <v>4</v>
      </c>
      <c r="E55" s="53" t="s">
        <v>144</v>
      </c>
      <c r="F55" s="75" t="s">
        <v>130</v>
      </c>
      <c r="G55" s="75"/>
      <c r="H55" s="53" t="s">
        <v>145</v>
      </c>
      <c r="I55" s="53" t="s">
        <v>146</v>
      </c>
      <c r="J55" s="38" t="str">
        <f ca="1">(IF(F58&gt;99%,"All work completed. Please provide OC.",IF(F58&gt;89.8%,"Plinth, RCC, Brick, Plaster, Flooring, Painting work Completed. Finishing work is in process.",IF(F58&lt;94%,(IF(C58=0,"Work not yet Started.",IF(E58=25%,"Piling work in process",IF(E58=50%,"Excavation work in process",IF(E58=100%,"Excavation work Completed. ","0")))&amp;(IF(C59=0%,"",IF(C59=K60,"Footing work is process",IF(C59=K61,"Footing work Completed",IF(C59=K62,"1st Basement Completed",IF(C59=K63,"1st &amp; 2nd Basement Completed",IF(C59=K64,"1st to 3rd Basement Completed",IF(C59=K65,"1st to 4th Basement Completed",IF(C59=K66,"Plinth work is process",IF(C59=K67,"Plinth work completed","0")))))))))))&amp;(IF(C60=(F56+H56+I56),", RCC Slab",IF(C60&gt;0,", RCC upto "&amp;C60&amp;" Slab",""))&amp;(IF(C61=I56,", Brickwork",IF(C61&gt;0,", Brickwork upto "&amp;C61&amp;" Floor",""))&amp;(IF(C62=I56,", Door &amp; Window Frame",IF(C62&gt;0,", Door &amp; Window Frame work upto "&amp;C62&amp;" Floor",""))&amp;(IF(C63=I56,", Internal Plaster",IF(C63&gt;0,", Internal Plaster upto "&amp;C63&amp;" Floor",""))&amp;(IF(C64=I56,", External Plaster",IF(C64&gt;0,", External Plaster upto "&amp;C64&amp;" Floor",""))&amp;(IF(C65=I56,", Plumbing &amp; Electric work",IF(C65&gt;0,", Plumbing &amp; Electric work upto "&amp;C65&amp;" Floor",""))&amp;(IF(C66=I56,", Flooring",IF(C66&gt;0,", Flooring upto "&amp;C66&amp;" Floor",""))&amp;(IF(C67=I56,", Painting",IF(C67&gt;0,", Painting upto "&amp;C67&amp;" Floor",""))&amp;(IF(C68&gt;0,", Finishing upto "&amp;C68&amp;" Floor","")&amp;(IF(C60&gt;0.5," Completed",""))))))))))))))))</f>
        <v>All work completed. Please provide OC.</v>
      </c>
      <c r="K55" s="40"/>
    </row>
    <row r="56" spans="1:14" ht="20.25" x14ac:dyDescent="0.3">
      <c r="A56" s="130"/>
      <c r="B56" s="130"/>
      <c r="C56" s="130"/>
      <c r="D56" s="86"/>
      <c r="E56" s="53">
        <v>2</v>
      </c>
      <c r="F56" s="75">
        <v>1</v>
      </c>
      <c r="G56" s="75"/>
      <c r="H56" s="53">
        <v>0</v>
      </c>
      <c r="I56" s="53">
        <f ca="1">--TRIM(RIGHT(SUBSTITUTE(LEFT(A55,_xlfn.AGGREGATE(16,6,FIND({0,1,2,3,4,5,6,7,8,9},A55,ROW(INDIRECT("1:"&amp;LEN(A55)))),1))," ",REPT(" ",LEN(A55))),LEN(A55)))</f>
        <v>47</v>
      </c>
      <c r="J56" s="39" t="s">
        <v>150</v>
      </c>
      <c r="K56" s="40"/>
      <c r="N56" s="1">
        <f>2+4+1+1+60+12+31+62+20+24</f>
        <v>217</v>
      </c>
    </row>
    <row r="57" spans="1:14" ht="20.25" customHeight="1" x14ac:dyDescent="0.3">
      <c r="A57" s="79" t="s">
        <v>148</v>
      </c>
      <c r="B57" s="79"/>
      <c r="C57" s="79" t="s">
        <v>159</v>
      </c>
      <c r="D57" s="79"/>
      <c r="E57" s="54" t="s">
        <v>160</v>
      </c>
      <c r="F57" s="79" t="s">
        <v>149</v>
      </c>
      <c r="G57" s="79"/>
      <c r="H57" s="49" t="s">
        <v>147</v>
      </c>
      <c r="I57" s="49"/>
      <c r="J57" s="42" t="s">
        <v>161</v>
      </c>
      <c r="K57" s="41">
        <f ca="1">I56*25%</f>
        <v>11.75</v>
      </c>
      <c r="N57" s="1">
        <f>1+4+12+20+62+86+12+60</f>
        <v>257</v>
      </c>
    </row>
    <row r="58" spans="1:14" ht="20.25" customHeight="1" x14ac:dyDescent="0.3">
      <c r="A58" s="74" t="s">
        <v>162</v>
      </c>
      <c r="B58" s="74"/>
      <c r="C58" s="75">
        <f ca="1">K59</f>
        <v>47</v>
      </c>
      <c r="D58" s="75"/>
      <c r="E58" s="55">
        <f ca="1">((100/I56)*C58)/100</f>
        <v>1</v>
      </c>
      <c r="F58" s="74">
        <f ca="1">(((C58/I56*5)+(C59/I56*15)+(40/(F56+H56+I56)*C60)+(10/(I56)*C61)+(5/(I56)*C62)+(2.5/(I56)*C63)+(2.5/I56*C64)+(5/I56*C65)+(2.5/I56*C66)+(2.5/I56*C67)+(5/I56*C68)+(5/I56*C69))/100)</f>
        <v>1</v>
      </c>
      <c r="G58" s="74"/>
      <c r="H58" s="74" t="str">
        <f>J56</f>
        <v>All work Completed. OC Received.</v>
      </c>
      <c r="I58" s="74"/>
      <c r="J58" s="42" t="s">
        <v>151</v>
      </c>
      <c r="K58" s="45">
        <f ca="1">I56*50%</f>
        <v>23.5</v>
      </c>
    </row>
    <row r="59" spans="1:14" ht="20.25" x14ac:dyDescent="0.3">
      <c r="A59" s="74" t="s">
        <v>131</v>
      </c>
      <c r="B59" s="74"/>
      <c r="C59" s="78">
        <f ca="1">K67</f>
        <v>47</v>
      </c>
      <c r="D59" s="75"/>
      <c r="E59" s="55">
        <f ca="1">((100/I56)*C59)/100</f>
        <v>1</v>
      </c>
      <c r="F59" s="74"/>
      <c r="G59" s="74"/>
      <c r="H59" s="74"/>
      <c r="I59" s="74"/>
      <c r="J59" s="42" t="s">
        <v>152</v>
      </c>
      <c r="K59" s="45">
        <f ca="1">I56</f>
        <v>47</v>
      </c>
    </row>
    <row r="60" spans="1:14" ht="21" customHeight="1" x14ac:dyDescent="0.35">
      <c r="A60" s="74" t="s">
        <v>163</v>
      </c>
      <c r="B60" s="74"/>
      <c r="C60" s="75">
        <v>48</v>
      </c>
      <c r="D60" s="75"/>
      <c r="E60" s="55">
        <f ca="1">((100/(F56+H56+I56))*C60)/100</f>
        <v>1</v>
      </c>
      <c r="F60" s="74"/>
      <c r="G60" s="74"/>
      <c r="H60" s="74"/>
      <c r="I60" s="74"/>
      <c r="J60" s="42" t="s">
        <v>153</v>
      </c>
      <c r="K60" s="46">
        <f ca="1">(IF(E56&gt;1,(I56/(E56+2)),I56/4))</f>
        <v>11.75</v>
      </c>
    </row>
    <row r="61" spans="1:14" ht="21" customHeight="1" x14ac:dyDescent="0.35">
      <c r="A61" s="74" t="s">
        <v>164</v>
      </c>
      <c r="B61" s="74"/>
      <c r="C61" s="75">
        <v>47</v>
      </c>
      <c r="D61" s="75"/>
      <c r="E61" s="55">
        <f ca="1">((100/I56)*C61)/100</f>
        <v>1</v>
      </c>
      <c r="F61" s="74"/>
      <c r="G61" s="74"/>
      <c r="H61" s="74"/>
      <c r="I61" s="74"/>
      <c r="J61" s="42" t="s">
        <v>154</v>
      </c>
      <c r="K61" s="46">
        <f ca="1">(IF(E56&gt;1,(I56/(E56+2)+K60),I56/4+K60))</f>
        <v>23.5</v>
      </c>
    </row>
    <row r="62" spans="1:14" ht="21" customHeight="1" x14ac:dyDescent="0.35">
      <c r="A62" s="74" t="s">
        <v>190</v>
      </c>
      <c r="B62" s="74"/>
      <c r="C62" s="75">
        <v>47</v>
      </c>
      <c r="D62" s="75"/>
      <c r="E62" s="55">
        <f ca="1">((100/I56)*C62)/100</f>
        <v>1</v>
      </c>
      <c r="F62" s="74"/>
      <c r="G62" s="74"/>
      <c r="H62" s="74"/>
      <c r="I62" s="74"/>
      <c r="J62" s="42" t="s">
        <v>166</v>
      </c>
      <c r="K62" s="46">
        <f ca="1">(IF(E56&gt;1,(I56/(E56+2)+K61),0))</f>
        <v>35.25</v>
      </c>
    </row>
    <row r="63" spans="1:14" ht="21" customHeight="1" x14ac:dyDescent="0.35">
      <c r="A63" s="74" t="s">
        <v>165</v>
      </c>
      <c r="B63" s="74"/>
      <c r="C63" s="75">
        <v>47</v>
      </c>
      <c r="D63" s="75"/>
      <c r="E63" s="55">
        <f ca="1">((100/I56)*C63)/100</f>
        <v>1</v>
      </c>
      <c r="F63" s="74"/>
      <c r="G63" s="74"/>
      <c r="H63" s="74"/>
      <c r="I63" s="74"/>
      <c r="J63" s="42" t="s">
        <v>167</v>
      </c>
      <c r="K63" s="46">
        <f>(IF(E56&gt;2,(I56/(E56+2)+K62),0))</f>
        <v>0</v>
      </c>
    </row>
    <row r="64" spans="1:14" ht="21" customHeight="1" x14ac:dyDescent="0.35">
      <c r="A64" s="74" t="s">
        <v>191</v>
      </c>
      <c r="B64" s="74"/>
      <c r="C64" s="75">
        <v>47</v>
      </c>
      <c r="D64" s="75"/>
      <c r="E64" s="55">
        <f ca="1">((100/(I56))*C64)/100</f>
        <v>1</v>
      </c>
      <c r="F64" s="74"/>
      <c r="G64" s="74"/>
      <c r="H64" s="74"/>
      <c r="I64" s="74"/>
      <c r="J64" s="42" t="s">
        <v>169</v>
      </c>
      <c r="K64" s="47">
        <f>(IF(E56&gt;3,(I56/(E56+2)+K63),0))</f>
        <v>0</v>
      </c>
    </row>
    <row r="65" spans="1:11" ht="21" customHeight="1" x14ac:dyDescent="0.35">
      <c r="A65" s="74" t="s">
        <v>192</v>
      </c>
      <c r="B65" s="74"/>
      <c r="C65" s="75">
        <v>47</v>
      </c>
      <c r="D65" s="75"/>
      <c r="E65" s="55">
        <f ca="1">((100/(I56))*C65)/100</f>
        <v>1</v>
      </c>
      <c r="F65" s="74"/>
      <c r="G65" s="74"/>
      <c r="H65" s="74"/>
      <c r="I65" s="74"/>
      <c r="J65" s="42" t="s">
        <v>170</v>
      </c>
      <c r="K65" s="46">
        <f>(IF(E56&gt;4,(I56/(E56+2)+K64),0))</f>
        <v>0</v>
      </c>
    </row>
    <row r="66" spans="1:11" ht="21" customHeight="1" x14ac:dyDescent="0.35">
      <c r="A66" s="74" t="s">
        <v>168</v>
      </c>
      <c r="B66" s="74"/>
      <c r="C66" s="75">
        <v>47</v>
      </c>
      <c r="D66" s="75"/>
      <c r="E66" s="55">
        <f ca="1">((100/I56)*C66)/100</f>
        <v>1</v>
      </c>
      <c r="F66" s="74"/>
      <c r="G66" s="74"/>
      <c r="H66" s="74"/>
      <c r="I66" s="74"/>
      <c r="J66" s="42" t="s">
        <v>155</v>
      </c>
      <c r="K66" s="46">
        <f>(IF(E56=1,(I56/(E56+3)+K61),IF(E56=0,(I56/4+K61),IF(E56&gt;1,0))))</f>
        <v>0</v>
      </c>
    </row>
    <row r="67" spans="1:11" ht="21.75" thickBot="1" x14ac:dyDescent="0.4">
      <c r="A67" s="74" t="s">
        <v>193</v>
      </c>
      <c r="B67" s="74"/>
      <c r="C67" s="75">
        <v>47</v>
      </c>
      <c r="D67" s="75"/>
      <c r="E67" s="55">
        <f ca="1">((100/I56)*C67)/100</f>
        <v>1</v>
      </c>
      <c r="F67" s="74"/>
      <c r="G67" s="74"/>
      <c r="H67" s="74"/>
      <c r="I67" s="74"/>
      <c r="J67" s="44" t="s">
        <v>156</v>
      </c>
      <c r="K67" s="48">
        <f ca="1">(IF(E56&gt;1.5,(I56/(E56+2)+K61+MAX(0,K62-K61)+MAX(0,K63-K62)+MAX(0,K64-K63)+MAX(0,K65-K64)+MAX(0,K66-K65)),IF(E56=1,(I56/(E56+3)+K66),IF(E56=0,I56/4+K66))))</f>
        <v>47</v>
      </c>
    </row>
    <row r="68" spans="1:11" ht="20.25" customHeight="1" x14ac:dyDescent="0.25">
      <c r="A68" s="74" t="s">
        <v>171</v>
      </c>
      <c r="B68" s="74"/>
      <c r="C68" s="75">
        <v>47</v>
      </c>
      <c r="D68" s="75"/>
      <c r="E68" s="55">
        <f ca="1">((100/(I56))*C68)/100</f>
        <v>1</v>
      </c>
      <c r="F68" s="74"/>
      <c r="G68" s="74"/>
      <c r="H68" s="74"/>
      <c r="I68" s="74"/>
    </row>
    <row r="69" spans="1:11" ht="20.25" x14ac:dyDescent="0.25">
      <c r="A69" s="74" t="s">
        <v>172</v>
      </c>
      <c r="B69" s="74"/>
      <c r="C69" s="75">
        <v>47</v>
      </c>
      <c r="D69" s="75"/>
      <c r="E69" s="55">
        <f ca="1">((100/(I56))*C69)/100</f>
        <v>1</v>
      </c>
      <c r="F69" s="74"/>
      <c r="G69" s="74"/>
      <c r="H69" s="74"/>
      <c r="I69" s="74"/>
    </row>
    <row r="70" spans="1:11" ht="21" thickBot="1" x14ac:dyDescent="0.3">
      <c r="A70" s="84" t="s">
        <v>73</v>
      </c>
      <c r="B70" s="84"/>
      <c r="C70" s="84"/>
      <c r="D70" s="84"/>
      <c r="E70" s="84"/>
      <c r="F70" s="84"/>
      <c r="G70" s="84"/>
      <c r="H70" s="84"/>
      <c r="I70" s="84"/>
    </row>
    <row r="71" spans="1:11" ht="20.25" customHeight="1" x14ac:dyDescent="0.3">
      <c r="A71" s="85" t="s">
        <v>275</v>
      </c>
      <c r="B71" s="85"/>
      <c r="C71" s="85"/>
      <c r="D71" s="86" t="s">
        <v>4</v>
      </c>
      <c r="E71" s="53" t="s">
        <v>144</v>
      </c>
      <c r="F71" s="75" t="s">
        <v>130</v>
      </c>
      <c r="G71" s="75"/>
      <c r="H71" s="53" t="s">
        <v>145</v>
      </c>
      <c r="I71" s="53" t="s">
        <v>146</v>
      </c>
      <c r="J71" s="38" t="str">
        <f ca="1">(IF(F74&gt;99%,"All work completed. Please provide OC.",IF(F74&gt;89.8%,"Plinth, RCC, Brick, Plaster, Flooring, Wooden, Plumbing, Electrification, etc., work Completed. Finishing work is in process.",IF(F74&lt;94%,(IF(C74=0,"Work not yet Started.",IF(E74=25%,"Piling work in process",IF(E74=50%,"Excavation work in process",IF(E74=100%,"Excavation work Completed. ","0")))&amp;(IF(C75=0%,"",IF(C75=K76,"Footing work is process",IF(C75=K77,"Footing work Completed",IF(C75=K78,"1st Basement Completed",IF(C75=K79,"1st &amp; 2nd Basement Completed",IF(C75=K80,"1st to 3rd Basement Completed",IF(C75=K81,"1st to 4th Basement Completed",IF(C75=K82,"Plinth work is process",IF(C75=K83,"Plinth work completed","0")))))))))))&amp;(IF(C76=(F72+H72+I72),", RCC Slab",IF(C76&gt;0,", RCC upto "&amp;C76&amp;" Slab",""))&amp;(IF(C77=I72,", Brickwork",IF(C77&gt;0,", Brickwork upto "&amp;C77&amp;" Floor",""))&amp;(IF(C78=I72,", Internal Plaster",IF(C78&gt;0,", Internal Plaster upto "&amp;C78&amp;" Floor",""))&amp;(IF(C79=I72,", External Plaster",IF(C79&gt;0,", External Plaster upto "&amp;C79&amp;" Floor",""))&amp;(IF(C80=I72,", External Plumbing, Elevation and Waterproofing",IF(C80&gt;0,", External Plumbing, Elevation and Waterproofing upto "&amp;C80&amp;" Floor",""))&amp;(IF(C81=I72,", Flooring &amp; Fitting",IF(C81&gt;0,", Flooring &amp; Fitting upto "&amp;C81&amp;" Floor",""))&amp;(IF(C82=I72,", Wooden Work",IF(C82&gt;0,", Wooden Work upto "&amp;C82&amp;" Floor",""))&amp;(IF(C83=I72,", Electrical &amp; Sanitary fittings",IF(C83&gt;0,", Electrical &amp; Sanitary fittings upto "&amp;C83&amp;" Floor",""))&amp;(IF(C84&gt;0,", Finishing upto "&amp;C84&amp;" Floor","")&amp;(IF(C76&gt;0.5," Completed",""))))))))))))))))</f>
        <v>All work completed. Please provide OC.</v>
      </c>
      <c r="K71" s="40"/>
    </row>
    <row r="72" spans="1:11" ht="20.25" x14ac:dyDescent="0.3">
      <c r="A72" s="85"/>
      <c r="B72" s="85"/>
      <c r="C72" s="85"/>
      <c r="D72" s="86"/>
      <c r="E72" s="53">
        <v>2</v>
      </c>
      <c r="F72" s="75">
        <v>1</v>
      </c>
      <c r="G72" s="75"/>
      <c r="H72" s="53">
        <v>0</v>
      </c>
      <c r="I72" s="53">
        <f ca="1">--TRIM(RIGHT(SUBSTITUTE(LEFT(A71,_xlfn.AGGREGATE(16,6,FIND({0,1,2,3,4,5,6,7,8,9},A71,ROW(INDIRECT("1:"&amp;LEN(A71)))),1))," ",REPT(" ",LEN(A71))),LEN(A71)))</f>
        <v>47</v>
      </c>
      <c r="J72" s="39" t="s">
        <v>150</v>
      </c>
      <c r="K72" s="40"/>
    </row>
    <row r="73" spans="1:11" ht="20.25" customHeight="1" x14ac:dyDescent="0.3">
      <c r="A73" s="79" t="s">
        <v>148</v>
      </c>
      <c r="B73" s="79"/>
      <c r="C73" s="79" t="s">
        <v>159</v>
      </c>
      <c r="D73" s="79"/>
      <c r="E73" s="54" t="s">
        <v>160</v>
      </c>
      <c r="F73" s="79" t="s">
        <v>149</v>
      </c>
      <c r="G73" s="79"/>
      <c r="H73" s="49" t="s">
        <v>147</v>
      </c>
      <c r="I73" s="49"/>
      <c r="J73" s="42" t="s">
        <v>161</v>
      </c>
      <c r="K73" s="41">
        <f ca="1">I72*25%</f>
        <v>11.75</v>
      </c>
    </row>
    <row r="74" spans="1:11" ht="20.25" customHeight="1" x14ac:dyDescent="0.3">
      <c r="A74" s="74" t="s">
        <v>162</v>
      </c>
      <c r="B74" s="74"/>
      <c r="C74" s="75">
        <f ca="1">K75</f>
        <v>47</v>
      </c>
      <c r="D74" s="75"/>
      <c r="E74" s="55">
        <f ca="1">((100/I72)*C74)/100</f>
        <v>1</v>
      </c>
      <c r="F74" s="74">
        <f ca="1">(((C74/I72*10)+(C75/I72*25)+(25/(F72+H72+I72)*C76)+(5/(I72)*C77)+(2.5/(I72)*C78)+(2.5/(I72)*C79)+(5/I72*C80)+(2.5/I72*C81)+(2.5/I72*C82)+(5/I72*C83)+(10/I72*C84)+(5/I72*C85))/100)</f>
        <v>1</v>
      </c>
      <c r="G74" s="74"/>
      <c r="H74" s="74" t="str">
        <f>J72</f>
        <v>All work Completed. OC Received.</v>
      </c>
      <c r="I74" s="74"/>
      <c r="J74" s="42" t="s">
        <v>151</v>
      </c>
      <c r="K74" s="45">
        <f ca="1">I72*50%</f>
        <v>23.5</v>
      </c>
    </row>
    <row r="75" spans="1:11" ht="20.25" x14ac:dyDescent="0.3">
      <c r="A75" s="74" t="s">
        <v>131</v>
      </c>
      <c r="B75" s="74"/>
      <c r="C75" s="78">
        <f ca="1">K83</f>
        <v>47</v>
      </c>
      <c r="D75" s="75"/>
      <c r="E75" s="55">
        <f ca="1">((100/I72)*C75)/100</f>
        <v>1</v>
      </c>
      <c r="F75" s="74"/>
      <c r="G75" s="74"/>
      <c r="H75" s="74"/>
      <c r="I75" s="74"/>
      <c r="J75" s="42" t="s">
        <v>152</v>
      </c>
      <c r="K75" s="45">
        <f ca="1">I72</f>
        <v>47</v>
      </c>
    </row>
    <row r="76" spans="1:11" ht="21" customHeight="1" x14ac:dyDescent="0.35">
      <c r="A76" s="74" t="s">
        <v>163</v>
      </c>
      <c r="B76" s="74"/>
      <c r="C76" s="75">
        <v>48</v>
      </c>
      <c r="D76" s="75"/>
      <c r="E76" s="55">
        <f ca="1">((100/(F72+H72+I72))*C76)/100</f>
        <v>1</v>
      </c>
      <c r="F76" s="74"/>
      <c r="G76" s="74"/>
      <c r="H76" s="74"/>
      <c r="I76" s="74"/>
      <c r="J76" s="42" t="s">
        <v>153</v>
      </c>
      <c r="K76" s="46">
        <f ca="1">(IF(E72&gt;1,(I72/(E72+2)),I72*0.2))</f>
        <v>11.75</v>
      </c>
    </row>
    <row r="77" spans="1:11" ht="21" customHeight="1" x14ac:dyDescent="0.35">
      <c r="A77" s="74" t="s">
        <v>164</v>
      </c>
      <c r="B77" s="74"/>
      <c r="C77" s="75">
        <v>47</v>
      </c>
      <c r="D77" s="75"/>
      <c r="E77" s="55">
        <f ca="1">((100/I72)*C77)/100</f>
        <v>1</v>
      </c>
      <c r="F77" s="74"/>
      <c r="G77" s="74"/>
      <c r="H77" s="74"/>
      <c r="I77" s="74"/>
      <c r="J77" s="42" t="s">
        <v>154</v>
      </c>
      <c r="K77" s="46">
        <f ca="1">(IF(E72&gt;1,(I72/(E72+2)+K76),I72*0.2+K76))</f>
        <v>23.5</v>
      </c>
    </row>
    <row r="78" spans="1:11" ht="21" customHeight="1" x14ac:dyDescent="0.35">
      <c r="A78" s="76" t="s">
        <v>165</v>
      </c>
      <c r="B78" s="77"/>
      <c r="C78" s="75">
        <v>47</v>
      </c>
      <c r="D78" s="75"/>
      <c r="E78" s="55">
        <f ca="1">((100/I72)*C78)/100</f>
        <v>1</v>
      </c>
      <c r="F78" s="74"/>
      <c r="G78" s="74"/>
      <c r="H78" s="74"/>
      <c r="I78" s="74"/>
      <c r="J78" s="42" t="s">
        <v>166</v>
      </c>
      <c r="K78" s="46">
        <f ca="1">(IF(E72&gt;1,(I72/(E72+2)+K77),0))</f>
        <v>35.25</v>
      </c>
    </row>
    <row r="79" spans="1:11" ht="21" customHeight="1" x14ac:dyDescent="0.35">
      <c r="A79" s="76" t="s">
        <v>297</v>
      </c>
      <c r="B79" s="77"/>
      <c r="C79" s="75">
        <v>47</v>
      </c>
      <c r="D79" s="75"/>
      <c r="E79" s="55">
        <f ca="1">((100/I72)*C79)/100</f>
        <v>1</v>
      </c>
      <c r="F79" s="74"/>
      <c r="G79" s="74"/>
      <c r="H79" s="74"/>
      <c r="I79" s="74"/>
      <c r="J79" s="42" t="s">
        <v>167</v>
      </c>
      <c r="K79" s="46">
        <f>(IF(E72&gt;2,(I72/(E72+2)+K78),0))</f>
        <v>0</v>
      </c>
    </row>
    <row r="80" spans="1:11" ht="57.75" customHeight="1" x14ac:dyDescent="0.35">
      <c r="A80" s="76" t="s">
        <v>298</v>
      </c>
      <c r="B80" s="77"/>
      <c r="C80" s="75">
        <v>47</v>
      </c>
      <c r="D80" s="75"/>
      <c r="E80" s="55">
        <f ca="1">((100/(I72))*C80)/100</f>
        <v>1</v>
      </c>
      <c r="F80" s="74"/>
      <c r="G80" s="74"/>
      <c r="H80" s="74"/>
      <c r="I80" s="74"/>
      <c r="J80" s="42" t="s">
        <v>169</v>
      </c>
      <c r="K80" s="47">
        <f>(IF(E72&gt;3,(I72/(E72+2)+K79),0))</f>
        <v>0</v>
      </c>
    </row>
    <row r="81" spans="1:11" ht="21" x14ac:dyDescent="0.35">
      <c r="A81" s="74" t="s">
        <v>168</v>
      </c>
      <c r="B81" s="74"/>
      <c r="C81" s="75">
        <v>47</v>
      </c>
      <c r="D81" s="75"/>
      <c r="E81" s="55">
        <f ca="1">((100/(I72))*C81)/100</f>
        <v>1</v>
      </c>
      <c r="F81" s="74"/>
      <c r="G81" s="74"/>
      <c r="H81" s="74"/>
      <c r="I81" s="74"/>
      <c r="J81" s="42" t="s">
        <v>170</v>
      </c>
      <c r="K81" s="46">
        <f>(IF(E72&gt;4,(I72/(E72+2)+K80),0))</f>
        <v>0</v>
      </c>
    </row>
    <row r="82" spans="1:11" ht="21" customHeight="1" x14ac:dyDescent="0.35">
      <c r="A82" s="74" t="s">
        <v>299</v>
      </c>
      <c r="B82" s="74"/>
      <c r="C82" s="75">
        <v>47</v>
      </c>
      <c r="D82" s="75"/>
      <c r="E82" s="55">
        <f ca="1">((100/I72)*C82)/100</f>
        <v>1</v>
      </c>
      <c r="F82" s="74"/>
      <c r="G82" s="74"/>
      <c r="H82" s="74"/>
      <c r="I82" s="74"/>
      <c r="J82" s="42" t="s">
        <v>155</v>
      </c>
      <c r="K82" s="46">
        <f>(IF(E72=1,(I72/(E72+3)+K77),IF(E72=0,(I72*0.3+K77),IF(E72&gt;1,0))))</f>
        <v>0</v>
      </c>
    </row>
    <row r="83" spans="1:11" ht="21.75" thickBot="1" x14ac:dyDescent="0.4">
      <c r="A83" s="74" t="s">
        <v>300</v>
      </c>
      <c r="B83" s="74"/>
      <c r="C83" s="75">
        <v>47</v>
      </c>
      <c r="D83" s="75"/>
      <c r="E83" s="55">
        <f ca="1">((100/I72)*C83)/100</f>
        <v>1</v>
      </c>
      <c r="F83" s="74"/>
      <c r="G83" s="74"/>
      <c r="H83" s="74"/>
      <c r="I83" s="74"/>
      <c r="J83" s="44" t="s">
        <v>156</v>
      </c>
      <c r="K83" s="48">
        <f ca="1">(IF(E72&gt;1.5,(I72/(E72+2)+K77+MAX(0,K78-K77)+MAX(0,K79-K78)+MAX(0,K80-K79)+MAX(0,K81-K80)+MAX(0,K82-K81)),IF(E72=1,(I72/(E72+3)+K82),IF(E72=0,I72*0.3+K82))))</f>
        <v>47</v>
      </c>
    </row>
    <row r="84" spans="1:11" ht="20.25" x14ac:dyDescent="0.25">
      <c r="A84" s="74" t="s">
        <v>171</v>
      </c>
      <c r="B84" s="74"/>
      <c r="C84" s="75">
        <v>47</v>
      </c>
      <c r="D84" s="75"/>
      <c r="E84" s="55">
        <f ca="1">((100/(I72))*C84)/100</f>
        <v>1</v>
      </c>
      <c r="F84" s="74"/>
      <c r="G84" s="74"/>
      <c r="H84" s="74"/>
      <c r="I84" s="74"/>
    </row>
    <row r="85" spans="1:11" ht="20.25" x14ac:dyDescent="0.25">
      <c r="A85" s="74" t="s">
        <v>172</v>
      </c>
      <c r="B85" s="74"/>
      <c r="C85" s="75">
        <v>47</v>
      </c>
      <c r="D85" s="75"/>
      <c r="E85" s="55">
        <f ca="1">((100/(I72))*C85)/100</f>
        <v>1</v>
      </c>
      <c r="F85" s="74"/>
      <c r="G85" s="74"/>
      <c r="H85" s="74"/>
      <c r="I85" s="74"/>
    </row>
    <row r="86" spans="1:11" ht="21" thickBot="1" x14ac:dyDescent="0.3">
      <c r="A86" s="84" t="s">
        <v>73</v>
      </c>
      <c r="B86" s="84"/>
      <c r="C86" s="84"/>
      <c r="D86" s="84"/>
      <c r="E86" s="84"/>
      <c r="F86" s="84"/>
      <c r="G86" s="84"/>
      <c r="H86" s="84"/>
      <c r="I86" s="84"/>
    </row>
    <row r="87" spans="1:11" ht="20.25" customHeight="1" x14ac:dyDescent="0.3">
      <c r="A87" s="85" t="s">
        <v>315</v>
      </c>
      <c r="B87" s="85"/>
      <c r="C87" s="85"/>
      <c r="D87" s="86" t="s">
        <v>4</v>
      </c>
      <c r="E87" s="53" t="s">
        <v>144</v>
      </c>
      <c r="F87" s="75" t="s">
        <v>130</v>
      </c>
      <c r="G87" s="75"/>
      <c r="H87" s="53" t="s">
        <v>145</v>
      </c>
      <c r="I87" s="53" t="s">
        <v>146</v>
      </c>
      <c r="J87" s="38" t="str">
        <f ca="1">(IF(F90&gt;99%,"All work completed. Please provide OC.",IF(F90&gt;89.8%,"Plinth, RCC, Brick, Plaster, Flooring, Wooden, Plumbing, Electrification, etc., work Completed. Finishing work is in process.",IF(F90&lt;94%,(IF(C90=0,"Work not yet Started.",IF(E90=25%,"Piling work in process",IF(E90=50%,"Excavation work in process",IF(E90=100%,"Excavation work Completed. ","0")))&amp;(IF(C91=0%,"",IF(C91=K92,"Footing work is process",IF(C91=K93,"Footing work Completed",IF(C91=K94,"1st Basement Completed",IF(C91=K95,"1st &amp; 2nd Basement Completed",IF(C91=K96,"1st to 3rd Basement Completed",IF(C91=K97,"1st to 4th Basement Completed",IF(C91=K98,"Plinth work is process",IF(C91=K99,"Plinth work completed","0")))))))))))&amp;(IF(C92=(F88+H88+I88),", RCC Slab",IF(C92&gt;0,", RCC upto "&amp;C92&amp;" Slab",""))&amp;(IF(C93=I88,", Brickwork",IF(C93&gt;0,", Brickwork upto "&amp;C93&amp;" Floor",""))&amp;(IF(C94=I88,", Internal Plaster",IF(C94&gt;0,", Internal Plaster upto "&amp;C94&amp;" Floor",""))&amp;(IF(C95=I88,", External Plaster",IF(C95&gt;0,", External Plaster upto "&amp;C95&amp;" Floor",""))&amp;(IF(C96=I88,", External Plumbing, Elevation and Waterproofing",IF(C96&gt;0,", External Plumbing, Elevation and Waterproofing upto "&amp;C96&amp;" Floor",""))&amp;(IF(C97=I88,", Flooring &amp; Fitting",IF(C97&gt;0,", Flooring &amp; Fitting upto "&amp;C97&amp;" Floor",""))&amp;(IF(C98=I88,", Wooden Work",IF(C98&gt;0,", Wooden Work upto "&amp;C98&amp;" Floor",""))&amp;(IF(C99=I88,", Electrical &amp; Sanitary fittings",IF(C99&gt;0,", Electrical &amp; Sanitary fittings upto "&amp;C99&amp;" Floor",""))&amp;(IF(C100&gt;0,", Finishing upto "&amp;C100&amp;" Floor","")&amp;(IF(C92&gt;0.5," Completed",""))))))))))))))))</f>
        <v>Excavation work Completed. Plinth work completed, RCC upto 21 Slab, Brickwork upto 20 Floor, Internal Plaster upto 16 Floor, External Plaster upto 16 Floor Completed</v>
      </c>
      <c r="K87" s="40"/>
    </row>
    <row r="88" spans="1:11" ht="45.75" customHeight="1" x14ac:dyDescent="0.3">
      <c r="A88" s="85"/>
      <c r="B88" s="85"/>
      <c r="C88" s="85"/>
      <c r="D88" s="86"/>
      <c r="E88" s="53">
        <v>2</v>
      </c>
      <c r="F88" s="75">
        <v>1</v>
      </c>
      <c r="G88" s="75"/>
      <c r="H88" s="53">
        <v>0</v>
      </c>
      <c r="I88" s="53">
        <f ca="1">--TRIM(RIGHT(SUBSTITUTE(LEFT(A87,_xlfn.AGGREGATE(16,6,FIND({0,1,2,3,4,5,6,7,8,9},A87,ROW(INDIRECT("1:"&amp;LEN(A87)))),1))," ",REPT(" ",LEN(A87))),LEN(A87)))</f>
        <v>47</v>
      </c>
      <c r="J88" s="39" t="s">
        <v>150</v>
      </c>
      <c r="K88" s="40"/>
    </row>
    <row r="89" spans="1:11" ht="20.25" customHeight="1" x14ac:dyDescent="0.3">
      <c r="A89" s="79" t="s">
        <v>148</v>
      </c>
      <c r="B89" s="79"/>
      <c r="C89" s="79" t="s">
        <v>159</v>
      </c>
      <c r="D89" s="79"/>
      <c r="E89" s="54" t="s">
        <v>160</v>
      </c>
      <c r="F89" s="79" t="s">
        <v>149</v>
      </c>
      <c r="G89" s="79"/>
      <c r="H89" s="49" t="s">
        <v>147</v>
      </c>
      <c r="I89" s="49"/>
      <c r="J89" s="42" t="s">
        <v>161</v>
      </c>
      <c r="K89" s="41">
        <f ca="1">I88*25%</f>
        <v>11.75</v>
      </c>
    </row>
    <row r="90" spans="1:11" ht="20.25" customHeight="1" x14ac:dyDescent="0.3">
      <c r="A90" s="74" t="s">
        <v>162</v>
      </c>
      <c r="B90" s="74"/>
      <c r="C90" s="75">
        <f ca="1">K91</f>
        <v>47</v>
      </c>
      <c r="D90" s="75"/>
      <c r="E90" s="55">
        <f ca="1">((100/I88)*C90)/100</f>
        <v>1</v>
      </c>
      <c r="F90" s="74">
        <f ca="1">(((C90/I88*5)+(C91/I88*20)+(25/(F88+H88+I88)*C92)+(5/(I88)*C93)+(2.5/(I88)*C94)+(2.5/(I88)*C95)+(5/I88*C96)+(10/I88*C97)+(2.5/I88*C98)+(2.5/I88*C99)+(10/I88*C100)+(10/I88*C101))/100)</f>
        <v>0.39767287234042553</v>
      </c>
      <c r="G90" s="74"/>
      <c r="H90" s="74" t="str">
        <f ca="1">J87</f>
        <v>Excavation work Completed. Plinth work completed, RCC upto 21 Slab, Brickwork upto 20 Floor, Internal Plaster upto 16 Floor, External Plaster upto 16 Floor Completed</v>
      </c>
      <c r="I90" s="74"/>
      <c r="J90" s="42" t="s">
        <v>151</v>
      </c>
      <c r="K90" s="45">
        <f ca="1">I88*50%</f>
        <v>23.5</v>
      </c>
    </row>
    <row r="91" spans="1:11" ht="20.25" x14ac:dyDescent="0.3">
      <c r="A91" s="74" t="s">
        <v>131</v>
      </c>
      <c r="B91" s="74"/>
      <c r="C91" s="78">
        <v>47</v>
      </c>
      <c r="D91" s="75"/>
      <c r="E91" s="55">
        <f ca="1">((100/I88)*C91)/100</f>
        <v>1</v>
      </c>
      <c r="F91" s="74"/>
      <c r="G91" s="74"/>
      <c r="H91" s="74"/>
      <c r="I91" s="74"/>
      <c r="J91" s="42" t="s">
        <v>152</v>
      </c>
      <c r="K91" s="45">
        <f ca="1">I88</f>
        <v>47</v>
      </c>
    </row>
    <row r="92" spans="1:11" ht="21" customHeight="1" x14ac:dyDescent="0.35">
      <c r="A92" s="74" t="s">
        <v>163</v>
      </c>
      <c r="B92" s="74"/>
      <c r="C92" s="75">
        <v>21</v>
      </c>
      <c r="D92" s="75"/>
      <c r="E92" s="55">
        <f ca="1">((100/(F88+H88+I88))*C92)/100</f>
        <v>0.4375</v>
      </c>
      <c r="F92" s="74"/>
      <c r="G92" s="74"/>
      <c r="H92" s="74"/>
      <c r="I92" s="74"/>
      <c r="J92" s="42" t="s">
        <v>153</v>
      </c>
      <c r="K92" s="46">
        <f ca="1">(IF(E88&gt;1,(I88/(E88+2)),I88/4))</f>
        <v>11.75</v>
      </c>
    </row>
    <row r="93" spans="1:11" ht="21" customHeight="1" x14ac:dyDescent="0.35">
      <c r="A93" s="74" t="s">
        <v>164</v>
      </c>
      <c r="B93" s="74"/>
      <c r="C93" s="75">
        <f>C92-1</f>
        <v>20</v>
      </c>
      <c r="D93" s="75"/>
      <c r="E93" s="55">
        <f ca="1">((100/I88)*C93)/100</f>
        <v>0.42553191489361702</v>
      </c>
      <c r="F93" s="74"/>
      <c r="G93" s="74"/>
      <c r="H93" s="74"/>
      <c r="I93" s="74"/>
      <c r="J93" s="42" t="s">
        <v>154</v>
      </c>
      <c r="K93" s="46">
        <f ca="1">(IF(E88&gt;1,(I88/(E88+2)+K92),I88/4+K92))</f>
        <v>23.5</v>
      </c>
    </row>
    <row r="94" spans="1:11" ht="21" customHeight="1" x14ac:dyDescent="0.35">
      <c r="A94" s="76" t="s">
        <v>165</v>
      </c>
      <c r="B94" s="77"/>
      <c r="C94" s="78">
        <f>C93*0.8</f>
        <v>16</v>
      </c>
      <c r="D94" s="78"/>
      <c r="E94" s="55">
        <f ca="1">((100/I88)*C94)/100</f>
        <v>0.34042553191489361</v>
      </c>
      <c r="F94" s="74"/>
      <c r="G94" s="74"/>
      <c r="H94" s="74"/>
      <c r="I94" s="74"/>
      <c r="J94" s="42" t="s">
        <v>166</v>
      </c>
      <c r="K94" s="46">
        <f ca="1">(IF(E88&gt;1,(I88/(E88+2)+K93),0))</f>
        <v>35.25</v>
      </c>
    </row>
    <row r="95" spans="1:11" ht="21" customHeight="1" x14ac:dyDescent="0.35">
      <c r="A95" s="76" t="s">
        <v>297</v>
      </c>
      <c r="B95" s="77"/>
      <c r="C95" s="78">
        <f>C94</f>
        <v>16</v>
      </c>
      <c r="D95" s="78"/>
      <c r="E95" s="55">
        <f ca="1">((100/I88)*C95)/100</f>
        <v>0.34042553191489361</v>
      </c>
      <c r="F95" s="74"/>
      <c r="G95" s="74"/>
      <c r="H95" s="74"/>
      <c r="I95" s="74"/>
      <c r="J95" s="42" t="s">
        <v>167</v>
      </c>
      <c r="K95" s="46">
        <f>(IF(E88&gt;2,(I88/(E88+2)+K94),0))</f>
        <v>0</v>
      </c>
    </row>
    <row r="96" spans="1:11" ht="57.75" customHeight="1" x14ac:dyDescent="0.35">
      <c r="A96" s="76" t="s">
        <v>298</v>
      </c>
      <c r="B96" s="77"/>
      <c r="C96" s="75">
        <v>0</v>
      </c>
      <c r="D96" s="75"/>
      <c r="E96" s="55">
        <f ca="1">((100/(I88))*C96)/100</f>
        <v>0</v>
      </c>
      <c r="F96" s="74"/>
      <c r="G96" s="74"/>
      <c r="H96" s="74"/>
      <c r="I96" s="74"/>
      <c r="J96" s="42" t="s">
        <v>169</v>
      </c>
      <c r="K96" s="47">
        <f>(IF(E88&gt;3,(I88/(E88+2)+K95),0))</f>
        <v>0</v>
      </c>
    </row>
    <row r="97" spans="1:13" ht="21" x14ac:dyDescent="0.35">
      <c r="A97" s="74" t="s">
        <v>168</v>
      </c>
      <c r="B97" s="74"/>
      <c r="C97" s="75">
        <v>0</v>
      </c>
      <c r="D97" s="75"/>
      <c r="E97" s="55">
        <f ca="1">((100/(I88))*C97)/100</f>
        <v>0</v>
      </c>
      <c r="F97" s="74"/>
      <c r="G97" s="74"/>
      <c r="H97" s="74"/>
      <c r="I97" s="74"/>
      <c r="J97" s="42" t="s">
        <v>170</v>
      </c>
      <c r="K97" s="46">
        <f>(IF(E88&gt;4,(I88/(E88+2)+K96),0))</f>
        <v>0</v>
      </c>
    </row>
    <row r="98" spans="1:13" ht="21" customHeight="1" x14ac:dyDescent="0.35">
      <c r="A98" s="74" t="s">
        <v>299</v>
      </c>
      <c r="B98" s="74"/>
      <c r="C98" s="75">
        <v>0</v>
      </c>
      <c r="D98" s="75"/>
      <c r="E98" s="55">
        <f ca="1">((100/I88)*C98)/100</f>
        <v>0</v>
      </c>
      <c r="F98" s="74"/>
      <c r="G98" s="74"/>
      <c r="H98" s="74"/>
      <c r="I98" s="74"/>
      <c r="J98" s="42" t="s">
        <v>155</v>
      </c>
      <c r="K98" s="46">
        <f>(IF(E88=1,(I88/(E88+3)+K93),IF(E88=0,(I88/4+K93),IF(E88&gt;1,0))))</f>
        <v>0</v>
      </c>
    </row>
    <row r="99" spans="1:13" ht="41.25" customHeight="1" thickBot="1" x14ac:dyDescent="0.4">
      <c r="A99" s="74" t="s">
        <v>300</v>
      </c>
      <c r="B99" s="74"/>
      <c r="C99" s="75">
        <v>0</v>
      </c>
      <c r="D99" s="75"/>
      <c r="E99" s="55">
        <f ca="1">((100/I88)*C99)/100</f>
        <v>0</v>
      </c>
      <c r="F99" s="74"/>
      <c r="G99" s="74"/>
      <c r="H99" s="74"/>
      <c r="I99" s="74"/>
      <c r="J99" s="44" t="s">
        <v>156</v>
      </c>
      <c r="K99" s="48">
        <f ca="1">(IF(E88&gt;1.5,(I88/(E88+2)+K92+MAX(0,K93-K92)+MAX(0,K94-K93)+MAX(0,K95-K94)+MAX(0,K96-K95)+MAX(0,K97-K96)),IF(E88=1,(I88/(E88+3)+K98),IF(E88=0,I88/4+K98))))</f>
        <v>47</v>
      </c>
      <c r="M99" s="1" t="e">
        <f>(IF(D87&gt;1.5,(H87/(D87+2)+J92+MAX(0,J93-J92)+MAX(0,J94-J93)+MAX(0,J95-J94)+MAX(0,J96-J95)+MAX(0,J97-J96)),IF(D87=1,(H87/(D87+3)+J97),IF(D87=0,H87*0.3+J97))))</f>
        <v>#VALUE!</v>
      </c>
    </row>
    <row r="100" spans="1:13" ht="20.25" x14ac:dyDescent="0.25">
      <c r="A100" s="74" t="s">
        <v>171</v>
      </c>
      <c r="B100" s="74"/>
      <c r="C100" s="75">
        <v>0</v>
      </c>
      <c r="D100" s="75"/>
      <c r="E100" s="55">
        <f ca="1">((100/(I88))*C100)/100</f>
        <v>0</v>
      </c>
      <c r="F100" s="74"/>
      <c r="G100" s="74"/>
      <c r="H100" s="74"/>
      <c r="I100" s="74"/>
    </row>
    <row r="101" spans="1:13" ht="20.25" x14ac:dyDescent="0.25">
      <c r="A101" s="74" t="s">
        <v>172</v>
      </c>
      <c r="B101" s="74"/>
      <c r="C101" s="75">
        <v>0</v>
      </c>
      <c r="D101" s="75"/>
      <c r="E101" s="55">
        <f ca="1">((100/(I88))*C101)/100</f>
        <v>0</v>
      </c>
      <c r="F101" s="74"/>
      <c r="G101" s="74"/>
      <c r="H101" s="74"/>
      <c r="I101" s="74"/>
    </row>
    <row r="102" spans="1:13" ht="21" thickBot="1" x14ac:dyDescent="0.3">
      <c r="A102" s="84" t="s">
        <v>73</v>
      </c>
      <c r="B102" s="84"/>
      <c r="C102" s="84"/>
      <c r="D102" s="84"/>
      <c r="E102" s="84"/>
      <c r="F102" s="84"/>
      <c r="G102" s="84"/>
      <c r="H102" s="84"/>
      <c r="I102" s="84"/>
    </row>
    <row r="103" spans="1:13" ht="20.25" customHeight="1" x14ac:dyDescent="0.3">
      <c r="A103" s="85" t="s">
        <v>314</v>
      </c>
      <c r="B103" s="85"/>
      <c r="C103" s="85"/>
      <c r="D103" s="86" t="s">
        <v>4</v>
      </c>
      <c r="E103" s="64" t="s">
        <v>144</v>
      </c>
      <c r="F103" s="75" t="s">
        <v>130</v>
      </c>
      <c r="G103" s="75"/>
      <c r="H103" s="64" t="s">
        <v>145</v>
      </c>
      <c r="I103" s="64" t="s">
        <v>146</v>
      </c>
      <c r="J103" s="38" t="str">
        <f ca="1">(IF(F106&gt;99%,"All work completed. Please provide OC.",IF(F106&gt;89.8%,"Plinth, RCC, Brick, Plaster, Flooring, Wooden, Plumbing, Electrification, etc., work Completed. Finishing work is in process.",IF(F106&lt;94%,(IF(C106=0,"Work not yet Started.",IF(E106=25%,"Piling work in process",IF(E106=50%,"Excavation work in process",IF(E106=100%,"Excavation work Completed. ","0")))&amp;(IF(C107=0%,"",IF(C107=K108,"Footing work is process",IF(C107=K109,"Footing work Completed",IF(C107=K110,"1st Basement Completed",IF(C107=K111,"1st &amp; 2nd Basement Completed",IF(C107=K112,"1st to 3rd Basement Completed",IF(C107=K113,"1st to 4th Basement Completed",IF(C107=K114,"Plinth work is process",IF(C107=K115,"Plinth work completed","0")))))))))))&amp;(IF(C108=(F104+H104+I104),", RCC Slab",IF(C108&gt;0,", RCC upto "&amp;C108&amp;" Slab",""))&amp;(IF(C109=I104,", Brickwork",IF(C109&gt;0,", Brickwork upto "&amp;C109&amp;" Floor",""))&amp;(IF(C110=I104,", Internal Plaster",IF(C110&gt;0,", Internal Plaster upto "&amp;C110&amp;" Floor",""))&amp;(IF(C111=I104,", External Plaster",IF(C111&gt;0,", External Plaster upto "&amp;C111&amp;" Floor",""))&amp;(IF(C112=I104,", External Plumbing, Elevation and Waterproofing",IF(C112&gt;0,", External Plumbing, Elevation and Waterproofing upto "&amp;C112&amp;" Floor",""))&amp;(IF(C113=I104,", Flooring &amp; Fitting",IF(C113&gt;0,", Flooring &amp; Fitting upto "&amp;C113&amp;" Floor",""))&amp;(IF(C114=I104,", Wooden Work",IF(C114&gt;0,", Wooden Work upto "&amp;C114&amp;" Floor",""))&amp;(IF(C115=I104,", Electrical &amp; Sanitary fittings",IF(C115&gt;0,", Electrical &amp; Sanitary fittings upto "&amp;C115&amp;" Floor",""))&amp;(IF(C116&gt;0,", Finishing upto "&amp;C116&amp;" Floor","")&amp;(IF(C108&gt;0.5," Completed",""))))))))))))))))</f>
        <v>Excavation work Completed. Plinth work completed, RCC upto 25 Slab, Brickwork upto 24 Floor, Internal Plaster upto 19.2 Floor, External Plaster upto 19.2 Floor Completed</v>
      </c>
      <c r="K103" s="40"/>
    </row>
    <row r="104" spans="1:13" ht="41.25" customHeight="1" x14ac:dyDescent="0.3">
      <c r="A104" s="85"/>
      <c r="B104" s="85"/>
      <c r="C104" s="85"/>
      <c r="D104" s="86"/>
      <c r="E104" s="64">
        <v>2</v>
      </c>
      <c r="F104" s="75">
        <v>1</v>
      </c>
      <c r="G104" s="75"/>
      <c r="H104" s="64">
        <v>0</v>
      </c>
      <c r="I104" s="64">
        <f ca="1">--TRIM(RIGHT(SUBSTITUTE(LEFT(A103,_xlfn.AGGREGATE(16,6,FIND({0,1,2,3,4,5,6,7,8,9},A103,ROW(INDIRECT("1:"&amp;LEN(A103)))),1))," ",REPT(" ",LEN(A103))),LEN(A103)))</f>
        <v>47</v>
      </c>
      <c r="J104" s="39" t="s">
        <v>150</v>
      </c>
      <c r="K104" s="40"/>
    </row>
    <row r="105" spans="1:13" ht="20.25" customHeight="1" x14ac:dyDescent="0.3">
      <c r="A105" s="79" t="s">
        <v>148</v>
      </c>
      <c r="B105" s="79"/>
      <c r="C105" s="79" t="s">
        <v>159</v>
      </c>
      <c r="D105" s="79"/>
      <c r="E105" s="65" t="s">
        <v>160</v>
      </c>
      <c r="F105" s="79" t="s">
        <v>149</v>
      </c>
      <c r="G105" s="79"/>
      <c r="H105" s="49" t="s">
        <v>147</v>
      </c>
      <c r="I105" s="49"/>
      <c r="J105" s="42" t="s">
        <v>161</v>
      </c>
      <c r="K105" s="41">
        <f ca="1">I104*25%</f>
        <v>11.75</v>
      </c>
    </row>
    <row r="106" spans="1:13" ht="20.25" customHeight="1" x14ac:dyDescent="0.3">
      <c r="A106" s="74" t="s">
        <v>162</v>
      </c>
      <c r="B106" s="74"/>
      <c r="C106" s="75">
        <f ca="1">K107</f>
        <v>47</v>
      </c>
      <c r="D106" s="75"/>
      <c r="E106" s="63">
        <f ca="1">((100/I104)*C106)/100</f>
        <v>1</v>
      </c>
      <c r="F106" s="74">
        <f ca="1">(((C106/I104*5)+(C107/I104*20)+(25/(F104+H104+I104)*C108)+(5/(I104)*C109)+(2.5/(I104)*C110)+(2.5/(I104)*C111)+(5/I104*C112)+(10/I104*C113)+(2.5/I104*C114)+(2.5/I104*C115)+(10/I104*C116)+(10/I104*C117))/100)</f>
        <v>0.42616578014184398</v>
      </c>
      <c r="G106" s="74"/>
      <c r="H106" s="74" t="str">
        <f ca="1">J103</f>
        <v>Excavation work Completed. Plinth work completed, RCC upto 25 Slab, Brickwork upto 24 Floor, Internal Plaster upto 19.2 Floor, External Plaster upto 19.2 Floor Completed</v>
      </c>
      <c r="I106" s="74"/>
      <c r="J106" s="42" t="s">
        <v>151</v>
      </c>
      <c r="K106" s="45">
        <f ca="1">I104*50%</f>
        <v>23.5</v>
      </c>
    </row>
    <row r="107" spans="1:13" ht="20.25" x14ac:dyDescent="0.3">
      <c r="A107" s="74" t="s">
        <v>131</v>
      </c>
      <c r="B107" s="74"/>
      <c r="C107" s="78">
        <v>47</v>
      </c>
      <c r="D107" s="75"/>
      <c r="E107" s="63">
        <f ca="1">((100/I104)*C107)/100</f>
        <v>1</v>
      </c>
      <c r="F107" s="74"/>
      <c r="G107" s="74"/>
      <c r="H107" s="74"/>
      <c r="I107" s="74"/>
      <c r="J107" s="42" t="s">
        <v>152</v>
      </c>
      <c r="K107" s="45">
        <f ca="1">I104</f>
        <v>47</v>
      </c>
    </row>
    <row r="108" spans="1:13" ht="21" customHeight="1" x14ac:dyDescent="0.35">
      <c r="A108" s="74" t="s">
        <v>163</v>
      </c>
      <c r="B108" s="74"/>
      <c r="C108" s="75">
        <v>25</v>
      </c>
      <c r="D108" s="75"/>
      <c r="E108" s="63">
        <f ca="1">((100/(F104+H104+I104))*C108)/100</f>
        <v>0.52083333333333337</v>
      </c>
      <c r="F108" s="74"/>
      <c r="G108" s="74"/>
      <c r="H108" s="74"/>
      <c r="I108" s="74"/>
      <c r="J108" s="42" t="s">
        <v>153</v>
      </c>
      <c r="K108" s="46">
        <f ca="1">(IF(E104&gt;1,(I104/(E104+2)),I104/4))</f>
        <v>11.75</v>
      </c>
    </row>
    <row r="109" spans="1:13" ht="21" customHeight="1" x14ac:dyDescent="0.35">
      <c r="A109" s="74" t="s">
        <v>164</v>
      </c>
      <c r="B109" s="74"/>
      <c r="C109" s="75">
        <f>C108-1</f>
        <v>24</v>
      </c>
      <c r="D109" s="75"/>
      <c r="E109" s="63">
        <f ca="1">((100/I104)*C109)/100</f>
        <v>0.51063829787234039</v>
      </c>
      <c r="F109" s="74"/>
      <c r="G109" s="74"/>
      <c r="H109" s="74"/>
      <c r="I109" s="74"/>
      <c r="J109" s="42" t="s">
        <v>154</v>
      </c>
      <c r="K109" s="46">
        <f ca="1">(IF(E104&gt;1,(I104/(E104+2)+K108),I104/4+K108))</f>
        <v>23.5</v>
      </c>
    </row>
    <row r="110" spans="1:13" ht="21" customHeight="1" x14ac:dyDescent="0.35">
      <c r="A110" s="76" t="s">
        <v>165</v>
      </c>
      <c r="B110" s="77"/>
      <c r="C110" s="78">
        <f>C109*0.8</f>
        <v>19.200000000000003</v>
      </c>
      <c r="D110" s="78"/>
      <c r="E110" s="63">
        <f ca="1">((100/I104)*C110)/100</f>
        <v>0.40851063829787237</v>
      </c>
      <c r="F110" s="74"/>
      <c r="G110" s="74"/>
      <c r="H110" s="74"/>
      <c r="I110" s="74"/>
      <c r="J110" s="42" t="s">
        <v>166</v>
      </c>
      <c r="K110" s="46">
        <f ca="1">(IF(E104&gt;1,(I104/(E104+2)+K109),0))</f>
        <v>35.25</v>
      </c>
    </row>
    <row r="111" spans="1:13" ht="21" customHeight="1" x14ac:dyDescent="0.35">
      <c r="A111" s="76" t="s">
        <v>297</v>
      </c>
      <c r="B111" s="77"/>
      <c r="C111" s="78">
        <f>C110</f>
        <v>19.200000000000003</v>
      </c>
      <c r="D111" s="78"/>
      <c r="E111" s="63">
        <f ca="1">((100/I104)*C111)/100</f>
        <v>0.40851063829787237</v>
      </c>
      <c r="F111" s="74"/>
      <c r="G111" s="74"/>
      <c r="H111" s="74"/>
      <c r="I111" s="74"/>
      <c r="J111" s="42" t="s">
        <v>167</v>
      </c>
      <c r="K111" s="46">
        <f>(IF(E104&gt;2,(I104/(E104+2)+K110),0))</f>
        <v>0</v>
      </c>
    </row>
    <row r="112" spans="1:13" ht="57.75" customHeight="1" x14ac:dyDescent="0.35">
      <c r="A112" s="76" t="s">
        <v>298</v>
      </c>
      <c r="B112" s="77"/>
      <c r="C112" s="75">
        <v>0</v>
      </c>
      <c r="D112" s="75"/>
      <c r="E112" s="63">
        <f ca="1">((100/(I104))*C112)/100</f>
        <v>0</v>
      </c>
      <c r="F112" s="74"/>
      <c r="G112" s="74"/>
      <c r="H112" s="74"/>
      <c r="I112" s="74"/>
      <c r="J112" s="42" t="s">
        <v>169</v>
      </c>
      <c r="K112" s="47">
        <f>(IF(E104&gt;3,(I104/(E104+2)+K111),0))</f>
        <v>0</v>
      </c>
    </row>
    <row r="113" spans="1:13" ht="21" x14ac:dyDescent="0.35">
      <c r="A113" s="74" t="s">
        <v>168</v>
      </c>
      <c r="B113" s="74"/>
      <c r="C113" s="75">
        <v>0</v>
      </c>
      <c r="D113" s="75"/>
      <c r="E113" s="63">
        <f ca="1">((100/(I104))*C113)/100</f>
        <v>0</v>
      </c>
      <c r="F113" s="74"/>
      <c r="G113" s="74"/>
      <c r="H113" s="74"/>
      <c r="I113" s="74"/>
      <c r="J113" s="42" t="s">
        <v>170</v>
      </c>
      <c r="K113" s="46">
        <f>(IF(E104&gt;4,(I104/(E104+2)+K112),0))</f>
        <v>0</v>
      </c>
    </row>
    <row r="114" spans="1:13" ht="21" customHeight="1" x14ac:dyDescent="0.35">
      <c r="A114" s="74" t="s">
        <v>299</v>
      </c>
      <c r="B114" s="74"/>
      <c r="C114" s="75">
        <v>0</v>
      </c>
      <c r="D114" s="75"/>
      <c r="E114" s="63">
        <f ca="1">((100/I104)*C114)/100</f>
        <v>0</v>
      </c>
      <c r="F114" s="74"/>
      <c r="G114" s="74"/>
      <c r="H114" s="74"/>
      <c r="I114" s="74"/>
      <c r="J114" s="42" t="s">
        <v>155</v>
      </c>
      <c r="K114" s="46">
        <f>(IF(E104=1,(I104/(E104+3)+K109),IF(E104=0,(I104/4+K109),IF(E104&gt;1,0))))</f>
        <v>0</v>
      </c>
    </row>
    <row r="115" spans="1:13" ht="41.25" customHeight="1" thickBot="1" x14ac:dyDescent="0.4">
      <c r="A115" s="74" t="s">
        <v>300</v>
      </c>
      <c r="B115" s="74"/>
      <c r="C115" s="75">
        <v>0</v>
      </c>
      <c r="D115" s="75"/>
      <c r="E115" s="63">
        <f ca="1">((100/I104)*C115)/100</f>
        <v>0</v>
      </c>
      <c r="F115" s="74"/>
      <c r="G115" s="74"/>
      <c r="H115" s="74"/>
      <c r="I115" s="74"/>
      <c r="J115" s="44" t="s">
        <v>156</v>
      </c>
      <c r="K115" s="48">
        <f ca="1">(IF(E104&gt;1.5,(I104/(E104+2)+K108+MAX(0,K109-K108)+MAX(0,K110-K109)+MAX(0,K111-K110)+MAX(0,K112-K111)+MAX(0,K113-K112)),IF(E104=1,(I104/(E104+3)+K114),IF(E104=0,I104/4+K114))))</f>
        <v>47</v>
      </c>
      <c r="M115" s="1" t="e">
        <f>(IF(D103&gt;1.5,(H103/(D103+2)+J108+MAX(0,J109-J108)+MAX(0,J110-J109)+MAX(0,J111-J110)+MAX(0,J112-J111)+MAX(0,J113-J112)),IF(D103=1,(H103/(D103+3)+J113),IF(D103=0,H103*0.3+J113))))</f>
        <v>#VALUE!</v>
      </c>
    </row>
    <row r="116" spans="1:13" ht="20.25" x14ac:dyDescent="0.25">
      <c r="A116" s="74" t="s">
        <v>171</v>
      </c>
      <c r="B116" s="74"/>
      <c r="C116" s="75">
        <v>0</v>
      </c>
      <c r="D116" s="75"/>
      <c r="E116" s="63">
        <f ca="1">((100/(I104))*C116)/100</f>
        <v>0</v>
      </c>
      <c r="F116" s="74"/>
      <c r="G116" s="74"/>
      <c r="H116" s="74"/>
      <c r="I116" s="74"/>
    </row>
    <row r="117" spans="1:13" ht="20.25" x14ac:dyDescent="0.25">
      <c r="A117" s="74" t="s">
        <v>172</v>
      </c>
      <c r="B117" s="74"/>
      <c r="C117" s="75">
        <v>0</v>
      </c>
      <c r="D117" s="75"/>
      <c r="E117" s="63">
        <f ca="1">((100/(I104))*C117)/100</f>
        <v>0</v>
      </c>
      <c r="F117" s="74"/>
      <c r="G117" s="74"/>
      <c r="H117" s="74"/>
      <c r="I117" s="74"/>
    </row>
    <row r="118" spans="1:13" ht="39.75" customHeight="1" x14ac:dyDescent="0.25">
      <c r="A118" s="177" t="s">
        <v>316</v>
      </c>
      <c r="B118" s="177"/>
      <c r="C118" s="177"/>
      <c r="D118" s="177"/>
      <c r="E118" s="177"/>
      <c r="F118" s="178">
        <f ca="1">AVERAGE(F90,F106)</f>
        <v>0.41191932624113475</v>
      </c>
      <c r="G118" s="179"/>
      <c r="H118" s="179"/>
      <c r="I118" s="180"/>
    </row>
    <row r="119" spans="1:13" ht="36.75" customHeight="1" x14ac:dyDescent="0.3">
      <c r="A119" s="116" t="s">
        <v>157</v>
      </c>
      <c r="B119" s="117"/>
      <c r="C119" s="117"/>
      <c r="D119" s="117"/>
      <c r="E119" s="117"/>
      <c r="F119" s="117"/>
      <c r="G119" s="117"/>
      <c r="H119" s="135">
        <f ca="1">AVERAGE(F58,F58,F74,F118)</f>
        <v>0.85297983156028367</v>
      </c>
      <c r="I119" s="136"/>
      <c r="J119" s="42"/>
      <c r="K119" s="43"/>
      <c r="L119" s="43"/>
    </row>
    <row r="120" spans="1:13" ht="20.25" x14ac:dyDescent="0.25">
      <c r="A120" s="121" t="s">
        <v>77</v>
      </c>
      <c r="B120" s="122"/>
      <c r="C120" s="122"/>
      <c r="D120" s="122"/>
      <c r="E120" s="122"/>
      <c r="F120" s="122"/>
      <c r="G120" s="122"/>
      <c r="H120" s="122"/>
      <c r="I120" s="123"/>
    </row>
    <row r="121" spans="1:13" ht="60.75" x14ac:dyDescent="0.25">
      <c r="A121" s="124" t="s">
        <v>78</v>
      </c>
      <c r="B121" s="124"/>
      <c r="C121" s="124"/>
      <c r="D121" s="3" t="s">
        <v>4</v>
      </c>
      <c r="E121" s="15" t="s">
        <v>136</v>
      </c>
      <c r="F121" s="21" t="s">
        <v>173</v>
      </c>
      <c r="G121" s="3" t="s">
        <v>4</v>
      </c>
      <c r="H121" s="133" t="s">
        <v>252</v>
      </c>
      <c r="I121" s="133"/>
    </row>
    <row r="122" spans="1:13" ht="60.75" x14ac:dyDescent="0.25">
      <c r="A122" s="124" t="s">
        <v>187</v>
      </c>
      <c r="B122" s="124"/>
      <c r="C122" s="124"/>
      <c r="D122" s="2" t="s">
        <v>132</v>
      </c>
      <c r="E122" s="18" t="s">
        <v>253</v>
      </c>
      <c r="F122" s="21" t="s">
        <v>188</v>
      </c>
      <c r="G122" s="2" t="s">
        <v>4</v>
      </c>
      <c r="H122" s="66" t="s">
        <v>269</v>
      </c>
      <c r="I122" s="66"/>
    </row>
    <row r="123" spans="1:13" ht="26.25" customHeight="1" x14ac:dyDescent="0.25">
      <c r="A123" s="134" t="s">
        <v>81</v>
      </c>
      <c r="B123" s="134"/>
      <c r="C123" s="134"/>
      <c r="D123" s="3" t="s">
        <v>4</v>
      </c>
      <c r="E123" s="18">
        <v>700000</v>
      </c>
      <c r="F123" s="3" t="s">
        <v>129</v>
      </c>
      <c r="G123" s="3" t="s">
        <v>4</v>
      </c>
      <c r="H123" s="137" t="s">
        <v>137</v>
      </c>
      <c r="I123" s="138"/>
    </row>
    <row r="124" spans="1:13" ht="20.25" hidden="1" x14ac:dyDescent="0.25">
      <c r="A124" s="124" t="s">
        <v>119</v>
      </c>
      <c r="B124" s="124"/>
      <c r="C124" s="124"/>
      <c r="D124" s="2" t="s">
        <v>4</v>
      </c>
      <c r="E124" s="18" t="s">
        <v>120</v>
      </c>
      <c r="F124" s="21" t="s">
        <v>121</v>
      </c>
      <c r="G124" s="2" t="s">
        <v>4</v>
      </c>
      <c r="H124" s="66" t="s">
        <v>100</v>
      </c>
      <c r="I124" s="66"/>
    </row>
    <row r="125" spans="1:13" ht="60.75" hidden="1" x14ac:dyDescent="0.25">
      <c r="A125" s="124" t="s">
        <v>122</v>
      </c>
      <c r="B125" s="124"/>
      <c r="C125" s="124"/>
      <c r="D125" s="2" t="s">
        <v>4</v>
      </c>
      <c r="E125" s="18" t="s">
        <v>123</v>
      </c>
      <c r="F125" s="21" t="s">
        <v>124</v>
      </c>
      <c r="G125" s="2" t="s">
        <v>4</v>
      </c>
      <c r="H125" s="66" t="s">
        <v>125</v>
      </c>
      <c r="I125" s="66"/>
    </row>
    <row r="126" spans="1:13" ht="20.25" hidden="1" x14ac:dyDescent="0.25">
      <c r="A126" s="124" t="s">
        <v>80</v>
      </c>
      <c r="B126" s="124"/>
      <c r="C126" s="124"/>
      <c r="D126" s="2" t="s">
        <v>4</v>
      </c>
      <c r="E126" s="18" t="s">
        <v>102</v>
      </c>
      <c r="F126" s="21" t="s">
        <v>79</v>
      </c>
      <c r="G126" s="2" t="s">
        <v>4</v>
      </c>
      <c r="H126" s="125" t="s">
        <v>102</v>
      </c>
      <c r="I126" s="126"/>
    </row>
    <row r="127" spans="1:13" ht="20.25" hidden="1" x14ac:dyDescent="0.25">
      <c r="A127" s="124" t="s">
        <v>126</v>
      </c>
      <c r="B127" s="124"/>
      <c r="C127" s="124"/>
      <c r="D127" s="2" t="s">
        <v>4</v>
      </c>
      <c r="E127" s="18" t="s">
        <v>101</v>
      </c>
      <c r="F127" s="21" t="s">
        <v>81</v>
      </c>
      <c r="G127" s="2" t="s">
        <v>4</v>
      </c>
      <c r="H127" s="66" t="s">
        <v>118</v>
      </c>
      <c r="I127" s="66"/>
    </row>
    <row r="128" spans="1:13" ht="20.25" hidden="1" x14ac:dyDescent="0.25">
      <c r="A128" s="124" t="s">
        <v>127</v>
      </c>
      <c r="B128" s="124"/>
      <c r="C128" s="124"/>
      <c r="D128" s="2" t="s">
        <v>4</v>
      </c>
      <c r="E128" s="19" t="s">
        <v>111</v>
      </c>
      <c r="F128" s="21" t="s">
        <v>128</v>
      </c>
      <c r="G128" s="2" t="s">
        <v>4</v>
      </c>
      <c r="H128" s="127" t="s">
        <v>111</v>
      </c>
      <c r="I128" s="127"/>
    </row>
    <row r="129" spans="1:151 16227:16384" ht="18" hidden="1" customHeight="1" x14ac:dyDescent="0.25">
      <c r="A129" s="134" t="s">
        <v>129</v>
      </c>
      <c r="B129" s="134"/>
      <c r="C129" s="134"/>
      <c r="D129" s="3" t="s">
        <v>4</v>
      </c>
      <c r="E129" s="10"/>
      <c r="F129" s="3" t="s">
        <v>129</v>
      </c>
      <c r="G129" s="3" t="s">
        <v>4</v>
      </c>
      <c r="H129" s="142" t="s">
        <v>111</v>
      </c>
      <c r="I129" s="143"/>
    </row>
    <row r="130" spans="1:151 16227:16384" ht="20.25" x14ac:dyDescent="0.25">
      <c r="A130" s="121" t="s">
        <v>76</v>
      </c>
      <c r="B130" s="122"/>
      <c r="C130" s="122"/>
      <c r="D130" s="122"/>
      <c r="E130" s="122"/>
      <c r="F130" s="122"/>
      <c r="G130" s="122"/>
      <c r="H130" s="122"/>
      <c r="I130" s="123"/>
    </row>
    <row r="131" spans="1:151 16227:16384" ht="20.25" x14ac:dyDescent="0.25">
      <c r="A131" s="118" t="s">
        <v>9</v>
      </c>
      <c r="B131" s="119"/>
      <c r="C131" s="119"/>
      <c r="D131" s="119"/>
      <c r="E131" s="119"/>
      <c r="F131" s="120"/>
      <c r="G131" s="2" t="s">
        <v>4</v>
      </c>
      <c r="H131" s="140">
        <f>71280/10.764</f>
        <v>6622.0735785953184</v>
      </c>
      <c r="I131" s="141"/>
    </row>
    <row r="132" spans="1:151 16227:16384" ht="20.25" x14ac:dyDescent="0.25">
      <c r="A132" s="118" t="s">
        <v>33</v>
      </c>
      <c r="B132" s="119"/>
      <c r="C132" s="119"/>
      <c r="D132" s="119"/>
      <c r="E132" s="119"/>
      <c r="F132" s="120"/>
      <c r="G132" s="2" t="s">
        <v>4</v>
      </c>
      <c r="H132" s="139">
        <f>161400/10.764</f>
        <v>14994.425863991082</v>
      </c>
      <c r="I132" s="139"/>
    </row>
    <row r="133" spans="1:151 16227:16384" ht="20.25" x14ac:dyDescent="0.25">
      <c r="A133" s="118" t="s">
        <v>138</v>
      </c>
      <c r="B133" s="119"/>
      <c r="C133" s="119"/>
      <c r="D133" s="119"/>
      <c r="E133" s="119"/>
      <c r="F133" s="120"/>
      <c r="G133" s="2" t="s">
        <v>4</v>
      </c>
      <c r="H133" s="139">
        <f>H131*0.8</f>
        <v>5297.6588628762547</v>
      </c>
      <c r="I133" s="139"/>
    </row>
    <row r="134" spans="1:151 16227:16384" ht="20.25" x14ac:dyDescent="0.25">
      <c r="A134" s="148" t="s">
        <v>85</v>
      </c>
      <c r="B134" s="149"/>
      <c r="C134" s="149"/>
      <c r="D134" s="149"/>
      <c r="E134" s="149"/>
      <c r="F134" s="149"/>
      <c r="G134" s="149"/>
      <c r="H134" s="149"/>
      <c r="I134" s="112"/>
    </row>
    <row r="135" spans="1:151 16227:16384" s="11" customFormat="1" ht="40.5" x14ac:dyDescent="0.25">
      <c r="A135" s="114" t="s">
        <v>183</v>
      </c>
      <c r="B135" s="115"/>
      <c r="C135" s="114" t="s">
        <v>184</v>
      </c>
      <c r="D135" s="115"/>
      <c r="E135" s="51" t="s">
        <v>185</v>
      </c>
      <c r="F135" s="114" t="s">
        <v>182</v>
      </c>
      <c r="G135" s="115"/>
      <c r="H135" s="51" t="s">
        <v>181</v>
      </c>
      <c r="I135" s="51" t="s">
        <v>180</v>
      </c>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0.25" x14ac:dyDescent="0.25">
      <c r="A136" s="106" t="s">
        <v>247</v>
      </c>
      <c r="B136" s="107"/>
      <c r="C136" s="106" t="s">
        <v>98</v>
      </c>
      <c r="D136" s="107"/>
      <c r="E136" s="52" t="s">
        <v>250</v>
      </c>
      <c r="F136" s="106">
        <f>COUNT(F149:G150)+COUNT(F152:G154)*2+COUNT(F157:G161)*26+COUNT(F163:G165)*4+COUNT(F169:G173)+COUNT(F175:G177)+COUNT(F181:G185)*10+COUNT(F187:G189)</f>
        <v>211</v>
      </c>
      <c r="G136" s="107"/>
      <c r="H136" s="52">
        <f>SUM(F149:G150)+SUM(F152:G154)*2+SUM(F157:G161)*26+SUM(F163:G165)*4+SUM(F169:G173)+SUM(F175:G177)+SUM(F181:G185)*10+SUM(F187:G189)</f>
        <v>161285.94611999995</v>
      </c>
      <c r="I136" s="52">
        <f>SUM(I149:I150)+SUM(I152:I154)*2+SUM(I157:I161)*26+SUM(I163:I165)*4+SUM(I169:I173)+SUM(I175:I177)+SUM(I181:I185)*10+SUM(I187:I189)</f>
        <v>258057.51379200001</v>
      </c>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0.25" x14ac:dyDescent="0.25">
      <c r="A137" s="106" t="s">
        <v>248</v>
      </c>
      <c r="B137" s="107"/>
      <c r="C137" s="106" t="s">
        <v>98</v>
      </c>
      <c r="D137" s="107"/>
      <c r="E137" s="52" t="s">
        <v>250</v>
      </c>
      <c r="F137" s="106">
        <f>COUNT(F196:G197)+COUNT(F199:G202)*2+COUNT(F205:G210)*25+COUNT(F212:G214)*4+COUNT(F217)*4+COUNT(F219:G224)*2+COUNT(F226:G228)+COUNT(F231)+COUNT(F233:G238)*10+COUNT(F240:G242)+COUNT(F245)</f>
        <v>256</v>
      </c>
      <c r="G137" s="107"/>
      <c r="H137" s="52">
        <f>SUM(F196:G197)+SUM(F199:G202)*2+SUM(F205:G210)*25+SUM(F212:G214)*4+SUM(F217)*4+SUM(F219:G224)*2+SUM(F226:G228)+SUM(F231)+SUM(F233:G238)*10+SUM(F240:G242)+SUM(F245)</f>
        <v>199039.70736</v>
      </c>
      <c r="I137" s="52">
        <f>SUM(I196:I197)+SUM(I199:I202)*2+SUM(I205:I210)*25+SUM(I212:I214)*4+SUM(I217)*4+SUM(I219:I224)*2+SUM(I226:I228)+SUM(I231)+SUM(I233:I238)*10+SUM(I240:I242)+SUM(I245)</f>
        <v>318463.53177599999</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0.25" x14ac:dyDescent="0.25">
      <c r="A138" s="106" t="s">
        <v>249</v>
      </c>
      <c r="B138" s="107"/>
      <c r="C138" s="106" t="s">
        <v>98</v>
      </c>
      <c r="D138" s="107"/>
      <c r="E138" s="52" t="s">
        <v>250</v>
      </c>
      <c r="F138" s="106">
        <f>COUNT(F250:G251)+COUNT(F253:G256)*2+COUNT(F259:G266)*27+COUNT(F268:G271)*4+COUNT(F274:G275)*4+COUNT(F277:G284)*10+COUNT(F286:G289)+COUNT(F292:G293)+COUNT(F295:G298)+COUNT(F301:G302)</f>
        <v>342</v>
      </c>
      <c r="G138" s="107"/>
      <c r="H138" s="52">
        <f>SUM(F250:F251)+SUM(F253:F256)*2+SUM(F259:F266)*27+SUM(F268:F271)*4+SUM(F274:F275)*4+SUM(F277:F284)*10+SUM(F286:F289)+SUM(F292:F293)+SUM(F295:F298)+SUM(F301:F302)</f>
        <v>215889.02711999998</v>
      </c>
      <c r="I138" s="52">
        <f>SUM(I250:I251)+SUM(I253:I256)*2+SUM(I259:I266)*27+SUM(I268:I271)*4+SUM(I274:I275)*4+SUM(I277:I284)*10+SUM(I286:I289)+SUM(I292:I293)+SUM(I295:I298)+SUM(I301:I302)</f>
        <v>345422.44339200004</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0.25" x14ac:dyDescent="0.25">
      <c r="A139" s="108" t="s">
        <v>267</v>
      </c>
      <c r="B139" s="109"/>
      <c r="C139" s="106" t="s">
        <v>98</v>
      </c>
      <c r="D139" s="107"/>
      <c r="E139" s="52" t="s">
        <v>250</v>
      </c>
      <c r="F139" s="106">
        <f>COUNT(F309:F310)+COUNT(F312:F314)+COUNT(F316:F318)+COUNT(F320:F322)+COUNT(F324:F328)*17+COUNT(F330,F333:F334)*3+COUNT(F336:F340)*7+COUNT(F342:F346)</f>
        <v>145</v>
      </c>
      <c r="G139" s="107"/>
      <c r="H139" s="52">
        <f>SUM(F309:F310)+SUM(F312:F314)+SUM(F316:F318)+SUM(F320:F322)+SUM(F324:F328)*17+SUM(F330,F333:F334)*3+SUM(F336:F340)*7+SUM(F342:F346)</f>
        <v>97749.872110799974</v>
      </c>
      <c r="I139" s="52">
        <f>SUM(I309:I310)+SUM(I312:I314)+SUM(I316:I318)+SUM(I320:I322)+SUM(I324:I328)*17+SUM(I330,I333:I334)*3+SUM(I336:I340)*7+SUM(I342:I346)</f>
        <v>156399.79537728001</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0.25" x14ac:dyDescent="0.25">
      <c r="A140" s="108" t="s">
        <v>268</v>
      </c>
      <c r="B140" s="109"/>
      <c r="C140" s="106" t="s">
        <v>98</v>
      </c>
      <c r="D140" s="107"/>
      <c r="E140" s="52" t="s">
        <v>250</v>
      </c>
      <c r="F140" s="106">
        <f>COUNT(F351:G352)+COUNT(F354:G356)+COUNT(F358:G360)+COUNT(F362:G364)+COUNT(F366:G370)*17+COUNT(F372:G373,F375:G376)*3+COUNT(F378:G382)*7+COUNT(F384:G385,F387:G388)</f>
        <v>147</v>
      </c>
      <c r="G140" s="107"/>
      <c r="H140" s="52">
        <f>SUM(F351:G352)+SUM(F354:G356)+SUM(F358:G360)+SUM(F362:G364)+SUM(F366:G370)*17+SUM(F372:G373,F375:G376)*3+SUM(F378:G382)*7+SUM(F384:G385,F387:G388)</f>
        <v>101110.04846279997</v>
      </c>
      <c r="I140" s="52">
        <f>SUM(I351:I352)+SUM(I354:I356)+SUM(I358:I360)+SUM(I362:I364)+SUM(I366:I370)*17+SUM(I372:I373,I375:I376)*3+SUM(I378:I382)*7+SUM(I384:I385,I387:I388)</f>
        <v>161776.07754047998</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0.25" x14ac:dyDescent="0.25">
      <c r="A141" s="114" t="s">
        <v>186</v>
      </c>
      <c r="B141" s="115"/>
      <c r="C141" s="114"/>
      <c r="D141" s="115"/>
      <c r="E141" s="51"/>
      <c r="F141" s="114">
        <f>SUM(F136:F140)</f>
        <v>1101</v>
      </c>
      <c r="G141" s="115"/>
      <c r="H141" s="51">
        <f>SUM(H136:H140)</f>
        <v>775074.60117359995</v>
      </c>
      <c r="I141" s="51">
        <f>SUM(I136:I140)</f>
        <v>1240119.3618777602</v>
      </c>
      <c r="J141" s="1">
        <f>160+155</f>
        <v>315</v>
      </c>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ht="20.25" x14ac:dyDescent="0.25">
      <c r="A142" s="110" t="s">
        <v>179</v>
      </c>
      <c r="B142" s="111"/>
      <c r="C142" s="111"/>
      <c r="D142" s="111"/>
      <c r="E142" s="111"/>
      <c r="F142" s="111"/>
      <c r="G142" s="111"/>
      <c r="H142" s="111"/>
      <c r="I142" s="112"/>
    </row>
    <row r="143" spans="1:151 16227:16384" ht="44.25" customHeight="1" x14ac:dyDescent="0.25">
      <c r="A143" s="113" t="s">
        <v>290</v>
      </c>
      <c r="B143" s="113"/>
      <c r="C143" s="113" t="s">
        <v>261</v>
      </c>
      <c r="D143" s="113"/>
      <c r="E143" s="113" t="s">
        <v>103</v>
      </c>
      <c r="F143" s="113" t="s">
        <v>104</v>
      </c>
      <c r="G143" s="113"/>
      <c r="H143" s="113" t="s">
        <v>105</v>
      </c>
      <c r="I143" s="36" t="s">
        <v>158</v>
      </c>
    </row>
    <row r="144" spans="1:151 16227:16384" s="11" customFormat="1" ht="20.25" x14ac:dyDescent="0.25">
      <c r="A144" s="113"/>
      <c r="B144" s="113"/>
      <c r="C144" s="113"/>
      <c r="D144" s="113"/>
      <c r="E144" s="113"/>
      <c r="F144" s="113"/>
      <c r="G144" s="113"/>
      <c r="H144" s="113"/>
      <c r="I144" s="37">
        <v>0.6</v>
      </c>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0.25" x14ac:dyDescent="0.25">
      <c r="A145" s="103" t="s">
        <v>270</v>
      </c>
      <c r="B145" s="94"/>
      <c r="C145" s="94"/>
      <c r="D145" s="94"/>
      <c r="E145" s="94"/>
      <c r="F145" s="94"/>
      <c r="G145" s="94"/>
      <c r="H145" s="94"/>
      <c r="I145" s="95"/>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0.25" x14ac:dyDescent="0.25">
      <c r="A146" s="93" t="s">
        <v>225</v>
      </c>
      <c r="B146" s="94"/>
      <c r="C146" s="94"/>
      <c r="D146" s="94"/>
      <c r="E146" s="94"/>
      <c r="F146" s="94"/>
      <c r="G146" s="94"/>
      <c r="H146" s="94"/>
      <c r="I146" s="95"/>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0.25" x14ac:dyDescent="0.25">
      <c r="A147" s="93" t="s">
        <v>226</v>
      </c>
      <c r="B147" s="94"/>
      <c r="C147" s="94"/>
      <c r="D147" s="94"/>
      <c r="E147" s="94"/>
      <c r="F147" s="94"/>
      <c r="G147" s="94"/>
      <c r="H147" s="94"/>
      <c r="I147" s="95"/>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0.25" x14ac:dyDescent="0.25">
      <c r="A148" s="93" t="s">
        <v>227</v>
      </c>
      <c r="B148" s="94"/>
      <c r="C148" s="94"/>
      <c r="D148" s="94"/>
      <c r="E148" s="94"/>
      <c r="F148" s="94"/>
      <c r="G148" s="94"/>
      <c r="H148" s="94"/>
      <c r="I148" s="95"/>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25" x14ac:dyDescent="0.25">
      <c r="A149" s="80" t="str">
        <f>A148</f>
        <v xml:space="preserve">1st Floor (Podium) for Residential </v>
      </c>
      <c r="B149" s="80"/>
      <c r="C149" s="80">
        <v>4</v>
      </c>
      <c r="D149" s="80"/>
      <c r="E149" s="20" t="s">
        <v>228</v>
      </c>
      <c r="F149" s="81">
        <f>58.67*10.764</f>
        <v>631.52387999999996</v>
      </c>
      <c r="G149" s="82"/>
      <c r="H149" s="20">
        <v>0</v>
      </c>
      <c r="I149" s="20">
        <f>F149*(($I$144)+1)+H149</f>
        <v>1010.438208</v>
      </c>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25" x14ac:dyDescent="0.25">
      <c r="A150" s="80" t="str">
        <f t="shared" ref="A150" si="0">A149</f>
        <v xml:space="preserve">1st Floor (Podium) for Residential </v>
      </c>
      <c r="B150" s="80"/>
      <c r="C150" s="80">
        <v>5</v>
      </c>
      <c r="D150" s="80"/>
      <c r="E150" s="20" t="s">
        <v>228</v>
      </c>
      <c r="F150" s="81">
        <f>58.67*10.764</f>
        <v>631.52387999999996</v>
      </c>
      <c r="G150" s="82"/>
      <c r="H150" s="20">
        <v>0</v>
      </c>
      <c r="I150" s="20">
        <f>F150*(($I$144)+1)+H150</f>
        <v>1010.438208</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x14ac:dyDescent="0.25">
      <c r="A151" s="93" t="s">
        <v>229</v>
      </c>
      <c r="B151" s="94"/>
      <c r="C151" s="94"/>
      <c r="D151" s="94"/>
      <c r="E151" s="94"/>
      <c r="F151" s="94"/>
      <c r="G151" s="94"/>
      <c r="H151" s="94"/>
      <c r="I151" s="95"/>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0.25" x14ac:dyDescent="0.25">
      <c r="A152" s="80" t="str">
        <f>A151</f>
        <v>2nd &amp; 3rd Floor (Podium)</v>
      </c>
      <c r="B152" s="80"/>
      <c r="C152" s="80">
        <v>3</v>
      </c>
      <c r="D152" s="80"/>
      <c r="E152" s="20" t="s">
        <v>228</v>
      </c>
      <c r="F152" s="81">
        <f>77.33*10.764</f>
        <v>832.38011999999992</v>
      </c>
      <c r="G152" s="82"/>
      <c r="H152" s="20">
        <v>0</v>
      </c>
      <c r="I152" s="20">
        <f>F152*(($I$144)+1)+H152</f>
        <v>1331.808192</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x14ac:dyDescent="0.25">
      <c r="A153" s="80" t="str">
        <f t="shared" ref="A153:A154" si="1">A152</f>
        <v>2nd &amp; 3rd Floor (Podium)</v>
      </c>
      <c r="B153" s="80"/>
      <c r="C153" s="80">
        <v>4</v>
      </c>
      <c r="D153" s="80"/>
      <c r="E153" s="20" t="s">
        <v>228</v>
      </c>
      <c r="F153" s="81">
        <f>58.67*10.764</f>
        <v>631.52387999999996</v>
      </c>
      <c r="G153" s="82"/>
      <c r="H153" s="20">
        <v>0</v>
      </c>
      <c r="I153" s="20">
        <f t="shared" ref="I153:I154" si="2">F153*(($I$144)+1)+H153</f>
        <v>1010.438208</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x14ac:dyDescent="0.25">
      <c r="A154" s="80" t="str">
        <f t="shared" si="1"/>
        <v>2nd &amp; 3rd Floor (Podium)</v>
      </c>
      <c r="B154" s="80"/>
      <c r="C154" s="80">
        <v>5</v>
      </c>
      <c r="D154" s="80"/>
      <c r="E154" s="20" t="s">
        <v>228</v>
      </c>
      <c r="F154" s="81">
        <f>58.67*10.764</f>
        <v>631.52387999999996</v>
      </c>
      <c r="G154" s="82"/>
      <c r="H154" s="20">
        <v>0</v>
      </c>
      <c r="I154" s="20">
        <f t="shared" si="2"/>
        <v>1010.438208</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x14ac:dyDescent="0.25">
      <c r="A155" s="93" t="s">
        <v>230</v>
      </c>
      <c r="B155" s="94"/>
      <c r="C155" s="94"/>
      <c r="D155" s="94"/>
      <c r="E155" s="94"/>
      <c r="F155" s="94"/>
      <c r="G155" s="94"/>
      <c r="H155" s="94"/>
      <c r="I155" s="102"/>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x14ac:dyDescent="0.25">
      <c r="A156" s="93" t="s">
        <v>231</v>
      </c>
      <c r="B156" s="94"/>
      <c r="C156" s="94"/>
      <c r="D156" s="94"/>
      <c r="E156" s="94"/>
      <c r="F156" s="94"/>
      <c r="G156" s="94"/>
      <c r="H156" s="94"/>
      <c r="I156" s="95"/>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x14ac:dyDescent="0.25">
      <c r="A157" s="80" t="str">
        <f>A156</f>
        <v>5th to 7th, 9th to 14th,16th to 21st, 23rd to 28th, 30th to 34th Floor</v>
      </c>
      <c r="B157" s="80"/>
      <c r="C157" s="80">
        <v>1</v>
      </c>
      <c r="D157" s="80"/>
      <c r="E157" s="20" t="s">
        <v>232</v>
      </c>
      <c r="F157" s="81">
        <f>70.25*10.764</f>
        <v>756.17099999999994</v>
      </c>
      <c r="G157" s="82"/>
      <c r="H157" s="20">
        <v>0</v>
      </c>
      <c r="I157" s="20">
        <f>F157*(($I$144)+1)+H157</f>
        <v>1209.8735999999999</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x14ac:dyDescent="0.25">
      <c r="A158" s="80" t="str">
        <f t="shared" ref="A158:A161" si="3">A157</f>
        <v>5th to 7th, 9th to 14th,16th to 21st, 23rd to 28th, 30th to 34th Floor</v>
      </c>
      <c r="B158" s="80"/>
      <c r="C158" s="80">
        <v>2</v>
      </c>
      <c r="D158" s="80"/>
      <c r="E158" s="20" t="s">
        <v>232</v>
      </c>
      <c r="F158" s="81">
        <f>70.25*10.764</f>
        <v>756.17099999999994</v>
      </c>
      <c r="G158" s="82"/>
      <c r="H158" s="20">
        <v>0</v>
      </c>
      <c r="I158" s="20">
        <f t="shared" ref="I158:I161" si="4">F158*(($I$144)+1)+H158</f>
        <v>1209.8735999999999</v>
      </c>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25" x14ac:dyDescent="0.25">
      <c r="A159" s="80" t="str">
        <f t="shared" si="3"/>
        <v>5th to 7th, 9th to 14th,16th to 21st, 23rd to 28th, 30th to 34th Floor</v>
      </c>
      <c r="B159" s="80"/>
      <c r="C159" s="80">
        <v>3</v>
      </c>
      <c r="D159" s="80"/>
      <c r="E159" s="20" t="s">
        <v>233</v>
      </c>
      <c r="F159" s="81">
        <f>91.97*10.764</f>
        <v>989.96507999999994</v>
      </c>
      <c r="G159" s="82"/>
      <c r="H159" s="20">
        <v>0</v>
      </c>
      <c r="I159" s="20">
        <f t="shared" si="4"/>
        <v>1583.9441280000001</v>
      </c>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customHeight="1" x14ac:dyDescent="0.25">
      <c r="A160" s="80" t="str">
        <f t="shared" si="3"/>
        <v>5th to 7th, 9th to 14th,16th to 21st, 23rd to 28th, 30th to 34th Floor</v>
      </c>
      <c r="B160" s="80"/>
      <c r="C160" s="80">
        <f t="shared" ref="C160:C161" si="5">C159+1</f>
        <v>4</v>
      </c>
      <c r="D160" s="80"/>
      <c r="E160" s="20" t="s">
        <v>228</v>
      </c>
      <c r="F160" s="81">
        <f t="shared" ref="F160:F161" si="6">58.67*10.764</f>
        <v>631.52387999999996</v>
      </c>
      <c r="G160" s="82"/>
      <c r="H160" s="20">
        <v>0</v>
      </c>
      <c r="I160" s="20">
        <f t="shared" si="4"/>
        <v>1010.438208</v>
      </c>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0.25" customHeight="1" x14ac:dyDescent="0.25">
      <c r="A161" s="80" t="str">
        <f t="shared" si="3"/>
        <v>5th to 7th, 9th to 14th,16th to 21st, 23rd to 28th, 30th to 34th Floor</v>
      </c>
      <c r="B161" s="80"/>
      <c r="C161" s="80">
        <f t="shared" si="5"/>
        <v>5</v>
      </c>
      <c r="D161" s="80"/>
      <c r="E161" s="20" t="s">
        <v>228</v>
      </c>
      <c r="F161" s="81">
        <f t="shared" si="6"/>
        <v>631.52387999999996</v>
      </c>
      <c r="G161" s="82"/>
      <c r="H161" s="20">
        <v>0</v>
      </c>
      <c r="I161" s="20">
        <f t="shared" si="4"/>
        <v>1010.438208</v>
      </c>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x14ac:dyDescent="0.25">
      <c r="A162" s="93" t="s">
        <v>234</v>
      </c>
      <c r="B162" s="94"/>
      <c r="C162" s="94"/>
      <c r="D162" s="94"/>
      <c r="E162" s="94"/>
      <c r="F162" s="94"/>
      <c r="G162" s="94"/>
      <c r="H162" s="94"/>
      <c r="I162" s="95"/>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x14ac:dyDescent="0.25">
      <c r="A163" s="80" t="str">
        <f>A162</f>
        <v>8th, 15th, 22nd &amp; 29th Floor (Part Refuge Area)</v>
      </c>
      <c r="B163" s="80"/>
      <c r="C163" s="80">
        <v>1</v>
      </c>
      <c r="D163" s="80"/>
      <c r="E163" s="20" t="s">
        <v>232</v>
      </c>
      <c r="F163" s="81">
        <f>70.25*10.764</f>
        <v>756.17099999999994</v>
      </c>
      <c r="G163" s="82"/>
      <c r="H163" s="20">
        <v>0</v>
      </c>
      <c r="I163" s="20">
        <f>F163*(($I$144)+1)+H163</f>
        <v>1209.8735999999999</v>
      </c>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x14ac:dyDescent="0.25">
      <c r="A164" s="80" t="str">
        <f t="shared" ref="A164:A167" si="7">A163</f>
        <v>8th, 15th, 22nd &amp; 29th Floor (Part Refuge Area)</v>
      </c>
      <c r="B164" s="80"/>
      <c r="C164" s="80">
        <v>2</v>
      </c>
      <c r="D164" s="80"/>
      <c r="E164" s="20" t="s">
        <v>232</v>
      </c>
      <c r="F164" s="81">
        <f>70.25*10.764</f>
        <v>756.17099999999994</v>
      </c>
      <c r="G164" s="82"/>
      <c r="H164" s="20">
        <v>0</v>
      </c>
      <c r="I164" s="20">
        <f t="shared" ref="I164:I165" si="8">F164*(($I$144)+1)+H164</f>
        <v>1209.8735999999999</v>
      </c>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x14ac:dyDescent="0.25">
      <c r="A165" s="80" t="str">
        <f t="shared" si="7"/>
        <v>8th, 15th, 22nd &amp; 29th Floor (Part Refuge Area)</v>
      </c>
      <c r="B165" s="80"/>
      <c r="C165" s="80">
        <v>3</v>
      </c>
      <c r="D165" s="80"/>
      <c r="E165" s="20" t="s">
        <v>233</v>
      </c>
      <c r="F165" s="81">
        <f>91.97*10.764</f>
        <v>989.96507999999994</v>
      </c>
      <c r="G165" s="82"/>
      <c r="H165" s="20">
        <v>0</v>
      </c>
      <c r="I165" s="20">
        <f t="shared" si="8"/>
        <v>1583.9441280000001</v>
      </c>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0.25" customHeight="1" x14ac:dyDescent="0.25">
      <c r="A166" s="80" t="str">
        <f t="shared" si="7"/>
        <v>8th, 15th, 22nd &amp; 29th Floor (Part Refuge Area)</v>
      </c>
      <c r="B166" s="80"/>
      <c r="C166" s="80">
        <f t="shared" ref="C166:C167" si="9">C165+1</f>
        <v>4</v>
      </c>
      <c r="D166" s="80"/>
      <c r="E166" s="81" t="s">
        <v>235</v>
      </c>
      <c r="F166" s="83"/>
      <c r="G166" s="83"/>
      <c r="H166" s="83"/>
      <c r="I166" s="82"/>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customHeight="1" x14ac:dyDescent="0.25">
      <c r="A167" s="80" t="str">
        <f t="shared" si="7"/>
        <v>8th, 15th, 22nd &amp; 29th Floor (Part Refuge Area)</v>
      </c>
      <c r="B167" s="80"/>
      <c r="C167" s="80">
        <f t="shared" si="9"/>
        <v>5</v>
      </c>
      <c r="D167" s="80"/>
      <c r="E167" s="81" t="s">
        <v>235</v>
      </c>
      <c r="F167" s="83"/>
      <c r="G167" s="83"/>
      <c r="H167" s="83"/>
      <c r="I167" s="82"/>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0.25" x14ac:dyDescent="0.25">
      <c r="A168" s="93" t="s">
        <v>236</v>
      </c>
      <c r="B168" s="94"/>
      <c r="C168" s="94"/>
      <c r="D168" s="94"/>
      <c r="E168" s="94"/>
      <c r="F168" s="94"/>
      <c r="G168" s="94"/>
      <c r="H168" s="94"/>
      <c r="I168" s="95"/>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x14ac:dyDescent="0.25">
      <c r="A169" s="80" t="str">
        <f>A168</f>
        <v>35th Floor</v>
      </c>
      <c r="B169" s="80"/>
      <c r="C169" s="80">
        <v>1</v>
      </c>
      <c r="D169" s="80"/>
      <c r="E169" s="20" t="s">
        <v>232</v>
      </c>
      <c r="F169" s="81">
        <f>70.25*10.764</f>
        <v>756.17099999999994</v>
      </c>
      <c r="G169" s="82"/>
      <c r="H169" s="20">
        <v>0</v>
      </c>
      <c r="I169" s="20">
        <f>F169*(($I$144)+1)+H169</f>
        <v>1209.8735999999999</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x14ac:dyDescent="0.25">
      <c r="A170" s="80" t="str">
        <f t="shared" ref="A170:A173" si="10">A169</f>
        <v>35th Floor</v>
      </c>
      <c r="B170" s="80"/>
      <c r="C170" s="80">
        <v>2</v>
      </c>
      <c r="D170" s="80"/>
      <c r="E170" s="20" t="s">
        <v>232</v>
      </c>
      <c r="F170" s="81">
        <f>70.25*10.764</f>
        <v>756.17099999999994</v>
      </c>
      <c r="G170" s="82"/>
      <c r="H170" s="20">
        <v>0</v>
      </c>
      <c r="I170" s="20">
        <f t="shared" ref="I170:I173" si="11">F170*(($I$144)+1)+H170</f>
        <v>1209.8735999999999</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x14ac:dyDescent="0.25">
      <c r="A171" s="80" t="str">
        <f t="shared" si="10"/>
        <v>35th Floor</v>
      </c>
      <c r="B171" s="80"/>
      <c r="C171" s="80">
        <v>3</v>
      </c>
      <c r="D171" s="80"/>
      <c r="E171" s="20" t="s">
        <v>233</v>
      </c>
      <c r="F171" s="81">
        <f>91.97*10.764</f>
        <v>989.96507999999994</v>
      </c>
      <c r="G171" s="82"/>
      <c r="H171" s="20">
        <v>0</v>
      </c>
      <c r="I171" s="20">
        <f t="shared" si="11"/>
        <v>1583.9441280000001</v>
      </c>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customHeight="1" x14ac:dyDescent="0.25">
      <c r="A172" s="80" t="str">
        <f t="shared" si="10"/>
        <v>35th Floor</v>
      </c>
      <c r="B172" s="80"/>
      <c r="C172" s="80">
        <f t="shared" ref="C172:C173" si="12">C171+1</f>
        <v>4</v>
      </c>
      <c r="D172" s="80"/>
      <c r="E172" s="20" t="s">
        <v>228</v>
      </c>
      <c r="F172" s="81">
        <f t="shared" ref="F172:F173" si="13">58.67*10.764</f>
        <v>631.52387999999996</v>
      </c>
      <c r="G172" s="82"/>
      <c r="H172" s="20">
        <v>0</v>
      </c>
      <c r="I172" s="20">
        <f t="shared" si="11"/>
        <v>1010.438208</v>
      </c>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0.25" customHeight="1" x14ac:dyDescent="0.25">
      <c r="A173" s="80" t="str">
        <f t="shared" si="10"/>
        <v>35th Floor</v>
      </c>
      <c r="B173" s="80"/>
      <c r="C173" s="80">
        <f t="shared" si="12"/>
        <v>5</v>
      </c>
      <c r="D173" s="80"/>
      <c r="E173" s="20" t="s">
        <v>228</v>
      </c>
      <c r="F173" s="81">
        <f t="shared" si="13"/>
        <v>631.52387999999996</v>
      </c>
      <c r="G173" s="82"/>
      <c r="H173" s="20">
        <v>0</v>
      </c>
      <c r="I173" s="20">
        <f t="shared" si="11"/>
        <v>1010.438208</v>
      </c>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x14ac:dyDescent="0.25">
      <c r="A174" s="93" t="s">
        <v>237</v>
      </c>
      <c r="B174" s="94"/>
      <c r="C174" s="94"/>
      <c r="D174" s="94"/>
      <c r="E174" s="94"/>
      <c r="F174" s="94"/>
      <c r="G174" s="94"/>
      <c r="H174" s="94"/>
      <c r="I174" s="95"/>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x14ac:dyDescent="0.25">
      <c r="A175" s="80" t="str">
        <f>A174</f>
        <v>36th Floor (Part Refuge &amp; Store Area)</v>
      </c>
      <c r="B175" s="80"/>
      <c r="C175" s="80">
        <v>1</v>
      </c>
      <c r="D175" s="80"/>
      <c r="E175" s="20" t="s">
        <v>232</v>
      </c>
      <c r="F175" s="81">
        <f>70.25*10.764</f>
        <v>756.17099999999994</v>
      </c>
      <c r="G175" s="82"/>
      <c r="H175" s="20">
        <v>0</v>
      </c>
      <c r="I175" s="20">
        <f>F175*(($I$144)+1)+H175</f>
        <v>1209.8735999999999</v>
      </c>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x14ac:dyDescent="0.25">
      <c r="A176" s="80" t="str">
        <f t="shared" ref="A176:A179" si="14">A175</f>
        <v>36th Floor (Part Refuge &amp; Store Area)</v>
      </c>
      <c r="B176" s="80"/>
      <c r="C176" s="80">
        <v>2</v>
      </c>
      <c r="D176" s="80"/>
      <c r="E176" s="20" t="s">
        <v>232</v>
      </c>
      <c r="F176" s="81">
        <f>70.25*10.764</f>
        <v>756.17099999999994</v>
      </c>
      <c r="G176" s="82"/>
      <c r="H176" s="20">
        <v>0</v>
      </c>
      <c r="I176" s="20">
        <f t="shared" ref="I176:I177" si="15">F176*(($I$144)+1)+H176</f>
        <v>1209.8735999999999</v>
      </c>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x14ac:dyDescent="0.25">
      <c r="A177" s="80" t="str">
        <f t="shared" si="14"/>
        <v>36th Floor (Part Refuge &amp; Store Area)</v>
      </c>
      <c r="B177" s="80"/>
      <c r="C177" s="80">
        <v>3</v>
      </c>
      <c r="D177" s="80"/>
      <c r="E177" s="20" t="s">
        <v>233</v>
      </c>
      <c r="F177" s="81">
        <f>92.53*10.764</f>
        <v>995.99291999999991</v>
      </c>
      <c r="G177" s="82"/>
      <c r="H177" s="20">
        <v>0</v>
      </c>
      <c r="I177" s="20">
        <f t="shared" si="15"/>
        <v>1593.5886719999999</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customHeight="1" x14ac:dyDescent="0.25">
      <c r="A178" s="80" t="str">
        <f t="shared" si="14"/>
        <v>36th Floor (Part Refuge &amp; Store Area)</v>
      </c>
      <c r="B178" s="80"/>
      <c r="C178" s="80">
        <f t="shared" ref="C178:C179" si="16">C177+1</f>
        <v>4</v>
      </c>
      <c r="D178" s="80"/>
      <c r="E178" s="96" t="s">
        <v>238</v>
      </c>
      <c r="F178" s="104"/>
      <c r="G178" s="104"/>
      <c r="H178" s="104"/>
      <c r="I178" s="97"/>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25">
      <c r="A179" s="80" t="str">
        <f t="shared" si="14"/>
        <v>36th Floor (Part Refuge &amp; Store Area)</v>
      </c>
      <c r="B179" s="80"/>
      <c r="C179" s="80">
        <f t="shared" si="16"/>
        <v>5</v>
      </c>
      <c r="D179" s="80"/>
      <c r="E179" s="100"/>
      <c r="F179" s="105"/>
      <c r="G179" s="105"/>
      <c r="H179" s="105"/>
      <c r="I179" s="10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0.25" x14ac:dyDescent="0.25">
      <c r="A180" s="93" t="s">
        <v>239</v>
      </c>
      <c r="B180" s="94"/>
      <c r="C180" s="94"/>
      <c r="D180" s="94"/>
      <c r="E180" s="94"/>
      <c r="F180" s="94"/>
      <c r="G180" s="94"/>
      <c r="H180" s="94"/>
      <c r="I180" s="95"/>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x14ac:dyDescent="0.25">
      <c r="A181" s="80" t="str">
        <f>A180</f>
        <v xml:space="preserve">37th to 42nd &amp; 44th to 47th Floor </v>
      </c>
      <c r="B181" s="80"/>
      <c r="C181" s="80">
        <v>1</v>
      </c>
      <c r="D181" s="80"/>
      <c r="E181" s="20" t="s">
        <v>232</v>
      </c>
      <c r="F181" s="81">
        <f>71.87*10.764</f>
        <v>773.60868000000005</v>
      </c>
      <c r="G181" s="82"/>
      <c r="H181" s="20">
        <v>0</v>
      </c>
      <c r="I181" s="20">
        <f>F181*(($I$144)+1)+H181</f>
        <v>1237.7738880000002</v>
      </c>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x14ac:dyDescent="0.25">
      <c r="A182" s="80" t="str">
        <f t="shared" ref="A182:A185" si="17">A181</f>
        <v xml:space="preserve">37th to 42nd &amp; 44th to 47th Floor </v>
      </c>
      <c r="B182" s="80"/>
      <c r="C182" s="80">
        <v>2</v>
      </c>
      <c r="D182" s="80"/>
      <c r="E182" s="20" t="s">
        <v>232</v>
      </c>
      <c r="F182" s="81">
        <f>71.87*10.764</f>
        <v>773.60868000000005</v>
      </c>
      <c r="G182" s="82"/>
      <c r="H182" s="20">
        <v>0</v>
      </c>
      <c r="I182" s="20">
        <f t="shared" ref="I182:I185" si="18">F182*(($I$144)+1)+H182</f>
        <v>1237.7738880000002</v>
      </c>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x14ac:dyDescent="0.25">
      <c r="A183" s="80" t="str">
        <f t="shared" si="17"/>
        <v xml:space="preserve">37th to 42nd &amp; 44th to 47th Floor </v>
      </c>
      <c r="B183" s="80"/>
      <c r="C183" s="80">
        <v>3</v>
      </c>
      <c r="D183" s="80"/>
      <c r="E183" s="20" t="s">
        <v>233</v>
      </c>
      <c r="F183" s="81">
        <f>92.53*10.764</f>
        <v>995.99291999999991</v>
      </c>
      <c r="G183" s="82"/>
      <c r="H183" s="20">
        <v>0</v>
      </c>
      <c r="I183" s="20">
        <f t="shared" si="18"/>
        <v>1593.5886719999999</v>
      </c>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customHeight="1" x14ac:dyDescent="0.25">
      <c r="A184" s="80" t="str">
        <f t="shared" si="17"/>
        <v xml:space="preserve">37th to 42nd &amp; 44th to 47th Floor </v>
      </c>
      <c r="B184" s="80"/>
      <c r="C184" s="80">
        <f t="shared" ref="C184:C185" si="19">C183+1</f>
        <v>4</v>
      </c>
      <c r="D184" s="80"/>
      <c r="E184" s="20" t="s">
        <v>228</v>
      </c>
      <c r="F184" s="81">
        <f>63.52*10.764</f>
        <v>683.72928000000002</v>
      </c>
      <c r="G184" s="82"/>
      <c r="H184" s="20">
        <v>0</v>
      </c>
      <c r="I184" s="20">
        <f t="shared" si="18"/>
        <v>1093.966848</v>
      </c>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customHeight="1" x14ac:dyDescent="0.25">
      <c r="A185" s="80" t="str">
        <f t="shared" si="17"/>
        <v xml:space="preserve">37th to 42nd &amp; 44th to 47th Floor </v>
      </c>
      <c r="B185" s="80"/>
      <c r="C185" s="80">
        <f t="shared" si="19"/>
        <v>5</v>
      </c>
      <c r="D185" s="80"/>
      <c r="E185" s="20" t="s">
        <v>228</v>
      </c>
      <c r="F185" s="81">
        <f>63.52*10.764</f>
        <v>683.72928000000002</v>
      </c>
      <c r="G185" s="82"/>
      <c r="H185" s="20">
        <v>0</v>
      </c>
      <c r="I185" s="20">
        <f t="shared" si="18"/>
        <v>1093.966848</v>
      </c>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x14ac:dyDescent="0.25">
      <c r="A186" s="93" t="s">
        <v>240</v>
      </c>
      <c r="B186" s="94"/>
      <c r="C186" s="94"/>
      <c r="D186" s="94"/>
      <c r="E186" s="94"/>
      <c r="F186" s="94"/>
      <c r="G186" s="94"/>
      <c r="H186" s="94"/>
      <c r="I186" s="95"/>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x14ac:dyDescent="0.25">
      <c r="A187" s="80" t="str">
        <f>A186</f>
        <v>43rd Floor (Part Refuge &amp; Store Area)</v>
      </c>
      <c r="B187" s="80"/>
      <c r="C187" s="80">
        <v>1</v>
      </c>
      <c r="D187" s="80"/>
      <c r="E187" s="20" t="s">
        <v>232</v>
      </c>
      <c r="F187" s="81">
        <f>71.87*10.764</f>
        <v>773.60868000000005</v>
      </c>
      <c r="G187" s="82"/>
      <c r="H187" s="20">
        <v>0</v>
      </c>
      <c r="I187" s="20">
        <f>F187*(($I$144)+1)+H187</f>
        <v>1237.7738880000002</v>
      </c>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0.25" x14ac:dyDescent="0.25">
      <c r="A188" s="80" t="str">
        <f t="shared" ref="A188:A191" si="20">A187</f>
        <v>43rd Floor (Part Refuge &amp; Store Area)</v>
      </c>
      <c r="B188" s="80"/>
      <c r="C188" s="80">
        <v>2</v>
      </c>
      <c r="D188" s="80"/>
      <c r="E188" s="20" t="s">
        <v>232</v>
      </c>
      <c r="F188" s="81">
        <f>71.87*10.764</f>
        <v>773.60868000000005</v>
      </c>
      <c r="G188" s="82"/>
      <c r="H188" s="20">
        <v>0</v>
      </c>
      <c r="I188" s="20">
        <f t="shared" ref="I188:I189" si="21">F188*(($I$144)+1)+H188</f>
        <v>1237.7738880000002</v>
      </c>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0.25" x14ac:dyDescent="0.25">
      <c r="A189" s="80" t="str">
        <f t="shared" si="20"/>
        <v>43rd Floor (Part Refuge &amp; Store Area)</v>
      </c>
      <c r="B189" s="80"/>
      <c r="C189" s="80">
        <v>3</v>
      </c>
      <c r="D189" s="80"/>
      <c r="E189" s="20" t="s">
        <v>233</v>
      </c>
      <c r="F189" s="81">
        <f>92.53*10.764</f>
        <v>995.99291999999991</v>
      </c>
      <c r="G189" s="82"/>
      <c r="H189" s="20">
        <v>0</v>
      </c>
      <c r="I189" s="20">
        <f t="shared" si="21"/>
        <v>1593.5886719999999</v>
      </c>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0.25" customHeight="1" x14ac:dyDescent="0.25">
      <c r="A190" s="80" t="str">
        <f t="shared" si="20"/>
        <v>43rd Floor (Part Refuge &amp; Store Area)</v>
      </c>
      <c r="B190" s="80"/>
      <c r="C190" s="80">
        <f t="shared" ref="C190:C191" si="22">C189+1</f>
        <v>4</v>
      </c>
      <c r="D190" s="80"/>
      <c r="E190" s="96" t="s">
        <v>241</v>
      </c>
      <c r="F190" s="104"/>
      <c r="G190" s="104"/>
      <c r="H190" s="104"/>
      <c r="I190" s="97"/>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0.25" customHeight="1" x14ac:dyDescent="0.25">
      <c r="A191" s="80" t="str">
        <f t="shared" si="20"/>
        <v>43rd Floor (Part Refuge &amp; Store Area)</v>
      </c>
      <c r="B191" s="80"/>
      <c r="C191" s="80">
        <f t="shared" si="22"/>
        <v>5</v>
      </c>
      <c r="D191" s="80"/>
      <c r="E191" s="100"/>
      <c r="F191" s="105"/>
      <c r="G191" s="105"/>
      <c r="H191" s="105"/>
      <c r="I191" s="10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0.25" x14ac:dyDescent="0.25">
      <c r="A192" s="103" t="s">
        <v>271</v>
      </c>
      <c r="B192" s="94"/>
      <c r="C192" s="94"/>
      <c r="D192" s="94"/>
      <c r="E192" s="94"/>
      <c r="F192" s="94"/>
      <c r="G192" s="94"/>
      <c r="H192" s="94"/>
      <c r="I192" s="95"/>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25" x14ac:dyDescent="0.25">
      <c r="A193" s="93" t="s">
        <v>225</v>
      </c>
      <c r="B193" s="94"/>
      <c r="C193" s="94"/>
      <c r="D193" s="94"/>
      <c r="E193" s="94"/>
      <c r="F193" s="94"/>
      <c r="G193" s="94"/>
      <c r="H193" s="94"/>
      <c r="I193" s="95"/>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x14ac:dyDescent="0.25">
      <c r="A194" s="93" t="s">
        <v>226</v>
      </c>
      <c r="B194" s="94"/>
      <c r="C194" s="94"/>
      <c r="D194" s="94"/>
      <c r="E194" s="94"/>
      <c r="F194" s="94"/>
      <c r="G194" s="94"/>
      <c r="H194" s="94"/>
      <c r="I194" s="95"/>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0.25" x14ac:dyDescent="0.25">
      <c r="A195" s="93" t="s">
        <v>227</v>
      </c>
      <c r="B195" s="94"/>
      <c r="C195" s="94"/>
      <c r="D195" s="94"/>
      <c r="E195" s="94"/>
      <c r="F195" s="94"/>
      <c r="G195" s="94"/>
      <c r="H195" s="94"/>
      <c r="I195" s="95"/>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x14ac:dyDescent="0.25">
      <c r="A196" s="80" t="str">
        <f>A195</f>
        <v xml:space="preserve">1st Floor (Podium) for Residential </v>
      </c>
      <c r="B196" s="80"/>
      <c r="C196" s="80">
        <v>4</v>
      </c>
      <c r="D196" s="80"/>
      <c r="E196" s="20" t="s">
        <v>228</v>
      </c>
      <c r="F196" s="81">
        <f>59.56*10.764</f>
        <v>641.10383999999999</v>
      </c>
      <c r="G196" s="82"/>
      <c r="H196" s="20">
        <v>0</v>
      </c>
      <c r="I196" s="20">
        <f>F196*(($I$144)+1)+H196</f>
        <v>1025.7661439999999</v>
      </c>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0.25" x14ac:dyDescent="0.25">
      <c r="A197" s="80" t="str">
        <f t="shared" ref="A197" si="23">A196</f>
        <v xml:space="preserve">1st Floor (Podium) for Residential </v>
      </c>
      <c r="B197" s="80"/>
      <c r="C197" s="80">
        <v>5</v>
      </c>
      <c r="D197" s="80"/>
      <c r="E197" s="20" t="s">
        <v>228</v>
      </c>
      <c r="F197" s="81">
        <f>59.56*10.764</f>
        <v>641.10383999999999</v>
      </c>
      <c r="G197" s="82"/>
      <c r="H197" s="20">
        <v>0</v>
      </c>
      <c r="I197" s="20">
        <f t="shared" ref="I197" si="24">F197*(($I$144)+1)+H197</f>
        <v>1025.7661439999999</v>
      </c>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0.25" x14ac:dyDescent="0.25">
      <c r="A198" s="93" t="s">
        <v>229</v>
      </c>
      <c r="B198" s="94"/>
      <c r="C198" s="94"/>
      <c r="D198" s="94"/>
      <c r="E198" s="94"/>
      <c r="F198" s="94"/>
      <c r="G198" s="94"/>
      <c r="H198" s="94"/>
      <c r="I198" s="95"/>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x14ac:dyDescent="0.25">
      <c r="A199" s="80" t="str">
        <f>A198</f>
        <v>2nd &amp; 3rd Floor (Podium)</v>
      </c>
      <c r="B199" s="80"/>
      <c r="C199" s="80">
        <v>3</v>
      </c>
      <c r="D199" s="80"/>
      <c r="E199" s="20" t="s">
        <v>228</v>
      </c>
      <c r="F199" s="81">
        <f>(76.59)*10.764</f>
        <v>824.41476</v>
      </c>
      <c r="G199" s="82"/>
      <c r="H199" s="20">
        <v>0</v>
      </c>
      <c r="I199" s="20">
        <f>F199*(($I$144)+1)+H199</f>
        <v>1319.0636160000001</v>
      </c>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x14ac:dyDescent="0.25">
      <c r="A200" s="80" t="str">
        <f t="shared" ref="A200:A202" si="25">A199</f>
        <v>2nd &amp; 3rd Floor (Podium)</v>
      </c>
      <c r="B200" s="80"/>
      <c r="C200" s="80">
        <v>4</v>
      </c>
      <c r="D200" s="80"/>
      <c r="E200" s="20" t="s">
        <v>228</v>
      </c>
      <c r="F200" s="81">
        <f>59.56*10.764</f>
        <v>641.10383999999999</v>
      </c>
      <c r="G200" s="82"/>
      <c r="H200" s="20">
        <v>0</v>
      </c>
      <c r="I200" s="20">
        <f t="shared" ref="I200:I201" si="26">F200*(($I$144)+1)+H200</f>
        <v>1025.7661439999999</v>
      </c>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x14ac:dyDescent="0.25">
      <c r="A201" s="80" t="str">
        <f t="shared" si="25"/>
        <v>2nd &amp; 3rd Floor (Podium)</v>
      </c>
      <c r="B201" s="80"/>
      <c r="C201" s="80">
        <v>5</v>
      </c>
      <c r="D201" s="80"/>
      <c r="E201" s="20" t="s">
        <v>228</v>
      </c>
      <c r="F201" s="81">
        <f>59.56*10.764</f>
        <v>641.10383999999999</v>
      </c>
      <c r="G201" s="82"/>
      <c r="H201" s="20">
        <v>0</v>
      </c>
      <c r="I201" s="20">
        <f t="shared" si="26"/>
        <v>1025.7661439999999</v>
      </c>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x14ac:dyDescent="0.25">
      <c r="A202" s="80" t="str">
        <f t="shared" si="25"/>
        <v>2nd &amp; 3rd Floor (Podium)</v>
      </c>
      <c r="B202" s="80"/>
      <c r="C202" s="80">
        <v>6</v>
      </c>
      <c r="D202" s="80"/>
      <c r="E202" s="20" t="s">
        <v>228</v>
      </c>
      <c r="F202" s="81">
        <f>(76.24)*10.764</f>
        <v>820.64735999999994</v>
      </c>
      <c r="G202" s="82"/>
      <c r="H202" s="20">
        <v>0</v>
      </c>
      <c r="I202" s="20">
        <f t="shared" ref="I202" si="27">F202*(($I$144)+1)+H202</f>
        <v>1313.0357759999999</v>
      </c>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25" x14ac:dyDescent="0.25">
      <c r="A203" s="93" t="s">
        <v>230</v>
      </c>
      <c r="B203" s="94"/>
      <c r="C203" s="94"/>
      <c r="D203" s="94"/>
      <c r="E203" s="94"/>
      <c r="F203" s="94"/>
      <c r="G203" s="94"/>
      <c r="H203" s="94"/>
      <c r="I203" s="10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x14ac:dyDescent="0.25">
      <c r="A204" s="93" t="s">
        <v>242</v>
      </c>
      <c r="B204" s="94"/>
      <c r="C204" s="94"/>
      <c r="D204" s="94"/>
      <c r="E204" s="94"/>
      <c r="F204" s="94"/>
      <c r="G204" s="94"/>
      <c r="H204" s="94"/>
      <c r="I204" s="95"/>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x14ac:dyDescent="0.25">
      <c r="A205" s="80" t="str">
        <f>A204</f>
        <v>5th to 7th, 9th to 14th,16th to 21st, 23rd to 28th, 30th to 33rd Floor</v>
      </c>
      <c r="B205" s="80"/>
      <c r="C205" s="80">
        <v>1</v>
      </c>
      <c r="D205" s="80"/>
      <c r="E205" s="20" t="s">
        <v>228</v>
      </c>
      <c r="F205" s="81">
        <f>63.77*10.764</f>
        <v>686.42028000000005</v>
      </c>
      <c r="G205" s="82"/>
      <c r="H205" s="20">
        <v>0</v>
      </c>
      <c r="I205" s="20">
        <f>F205*(($I$144)+1)+H205</f>
        <v>1098.2724480000002</v>
      </c>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x14ac:dyDescent="0.25">
      <c r="A206" s="80" t="str">
        <f t="shared" ref="A206:A210" si="28">A205</f>
        <v>5th to 7th, 9th to 14th,16th to 21st, 23rd to 28th, 30th to 33rd Floor</v>
      </c>
      <c r="B206" s="80"/>
      <c r="C206" s="80">
        <v>2</v>
      </c>
      <c r="D206" s="80"/>
      <c r="E206" s="20" t="s">
        <v>228</v>
      </c>
      <c r="F206" s="81">
        <f>63.77*10.764</f>
        <v>686.42028000000005</v>
      </c>
      <c r="G206" s="82"/>
      <c r="H206" s="20">
        <v>0</v>
      </c>
      <c r="I206" s="20">
        <f t="shared" ref="I206:I210" si="29">F206*(($I$144)+1)+H206</f>
        <v>1098.2724480000002</v>
      </c>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x14ac:dyDescent="0.25">
      <c r="A207" s="80" t="str">
        <f t="shared" si="28"/>
        <v>5th to 7th, 9th to 14th,16th to 21st, 23rd to 28th, 30th to 33rd Floor</v>
      </c>
      <c r="B207" s="80"/>
      <c r="C207" s="80">
        <v>3</v>
      </c>
      <c r="D207" s="80"/>
      <c r="E207" s="20" t="s">
        <v>233</v>
      </c>
      <c r="F207" s="81">
        <f>91.03*10.764</f>
        <v>979.84691999999995</v>
      </c>
      <c r="G207" s="82"/>
      <c r="H207" s="20">
        <v>0</v>
      </c>
      <c r="I207" s="20">
        <f t="shared" si="29"/>
        <v>1567.7550719999999</v>
      </c>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customHeight="1" x14ac:dyDescent="0.25">
      <c r="A208" s="80" t="str">
        <f t="shared" si="28"/>
        <v>5th to 7th, 9th to 14th,16th to 21st, 23rd to 28th, 30th to 33rd Floor</v>
      </c>
      <c r="B208" s="80"/>
      <c r="C208" s="80">
        <f t="shared" ref="C208:C209" si="30">C207+1</f>
        <v>4</v>
      </c>
      <c r="D208" s="80"/>
      <c r="E208" s="20" t="s">
        <v>228</v>
      </c>
      <c r="F208" s="81">
        <f>59.58*10.764</f>
        <v>641.31912</v>
      </c>
      <c r="G208" s="82"/>
      <c r="H208" s="20">
        <v>0</v>
      </c>
      <c r="I208" s="20">
        <f t="shared" si="29"/>
        <v>1026.110592</v>
      </c>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0.25" customHeight="1" x14ac:dyDescent="0.25">
      <c r="A209" s="80" t="str">
        <f t="shared" si="28"/>
        <v>5th to 7th, 9th to 14th,16th to 21st, 23rd to 28th, 30th to 33rd Floor</v>
      </c>
      <c r="B209" s="80"/>
      <c r="C209" s="80">
        <f t="shared" si="30"/>
        <v>5</v>
      </c>
      <c r="D209" s="80"/>
      <c r="E209" s="20" t="s">
        <v>228</v>
      </c>
      <c r="F209" s="81">
        <f>59.58*10.764</f>
        <v>641.31912</v>
      </c>
      <c r="G209" s="82"/>
      <c r="H209" s="20">
        <v>0</v>
      </c>
      <c r="I209" s="20">
        <f t="shared" si="29"/>
        <v>1026.110592</v>
      </c>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0.25" customHeight="1" x14ac:dyDescent="0.25">
      <c r="A210" s="80" t="str">
        <f t="shared" si="28"/>
        <v>5th to 7th, 9th to 14th,16th to 21st, 23rd to 28th, 30th to 33rd Floor</v>
      </c>
      <c r="B210" s="80"/>
      <c r="C210" s="80">
        <v>6</v>
      </c>
      <c r="D210" s="80"/>
      <c r="E210" s="20" t="s">
        <v>233</v>
      </c>
      <c r="F210" s="81">
        <f>(90.93)*10.764</f>
        <v>978.77052000000003</v>
      </c>
      <c r="G210" s="82"/>
      <c r="H210" s="20">
        <v>0</v>
      </c>
      <c r="I210" s="20">
        <f t="shared" si="29"/>
        <v>1566.0328320000001</v>
      </c>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0.25" x14ac:dyDescent="0.25">
      <c r="A211" s="93" t="s">
        <v>234</v>
      </c>
      <c r="B211" s="94"/>
      <c r="C211" s="94"/>
      <c r="D211" s="94"/>
      <c r="E211" s="94"/>
      <c r="F211" s="94"/>
      <c r="G211" s="94"/>
      <c r="H211" s="94"/>
      <c r="I211" s="95"/>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x14ac:dyDescent="0.25">
      <c r="A212" s="80" t="str">
        <f>A211</f>
        <v>8th, 15th, 22nd &amp; 29th Floor (Part Refuge Area)</v>
      </c>
      <c r="B212" s="80"/>
      <c r="C212" s="80">
        <v>1</v>
      </c>
      <c r="D212" s="80"/>
      <c r="E212" s="20" t="s">
        <v>228</v>
      </c>
      <c r="F212" s="81">
        <f>63.77*10.764</f>
        <v>686.42028000000005</v>
      </c>
      <c r="G212" s="82"/>
      <c r="H212" s="20">
        <v>0</v>
      </c>
      <c r="I212" s="20">
        <f>F212*(($I$144)+1)+H212</f>
        <v>1098.2724480000002</v>
      </c>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x14ac:dyDescent="0.25">
      <c r="A213" s="80" t="str">
        <f t="shared" ref="A213:A217" si="31">A212</f>
        <v>8th, 15th, 22nd &amp; 29th Floor (Part Refuge Area)</v>
      </c>
      <c r="B213" s="80"/>
      <c r="C213" s="80">
        <v>2</v>
      </c>
      <c r="D213" s="80"/>
      <c r="E213" s="20" t="s">
        <v>228</v>
      </c>
      <c r="F213" s="81">
        <f>63.77*10.764</f>
        <v>686.42028000000005</v>
      </c>
      <c r="G213" s="82"/>
      <c r="H213" s="20">
        <v>0</v>
      </c>
      <c r="I213" s="20">
        <f t="shared" ref="I213:I214" si="32">F213*(($I$144)+1)+H213</f>
        <v>1098.2724480000002</v>
      </c>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0.25" x14ac:dyDescent="0.25">
      <c r="A214" s="80" t="str">
        <f t="shared" si="31"/>
        <v>8th, 15th, 22nd &amp; 29th Floor (Part Refuge Area)</v>
      </c>
      <c r="B214" s="80"/>
      <c r="C214" s="80">
        <v>3</v>
      </c>
      <c r="D214" s="80"/>
      <c r="E214" s="20" t="s">
        <v>233</v>
      </c>
      <c r="F214" s="81">
        <f>91.03*10.764</f>
        <v>979.84691999999995</v>
      </c>
      <c r="G214" s="82"/>
      <c r="H214" s="20">
        <v>0</v>
      </c>
      <c r="I214" s="20">
        <f t="shared" si="32"/>
        <v>1567.7550719999999</v>
      </c>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0.25" customHeight="1" x14ac:dyDescent="0.25">
      <c r="A215" s="80" t="str">
        <f t="shared" si="31"/>
        <v>8th, 15th, 22nd &amp; 29th Floor (Part Refuge Area)</v>
      </c>
      <c r="B215" s="80"/>
      <c r="C215" s="80">
        <f t="shared" ref="C215:C216" si="33">C214+1</f>
        <v>4</v>
      </c>
      <c r="D215" s="80"/>
      <c r="E215" s="81" t="s">
        <v>235</v>
      </c>
      <c r="F215" s="83"/>
      <c r="G215" s="83"/>
      <c r="H215" s="83"/>
      <c r="I215" s="82"/>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0.25" customHeight="1" x14ac:dyDescent="0.25">
      <c r="A216" s="80" t="str">
        <f t="shared" si="31"/>
        <v>8th, 15th, 22nd &amp; 29th Floor (Part Refuge Area)</v>
      </c>
      <c r="B216" s="80"/>
      <c r="C216" s="80">
        <f t="shared" si="33"/>
        <v>5</v>
      </c>
      <c r="D216" s="80"/>
      <c r="E216" s="81" t="s">
        <v>235</v>
      </c>
      <c r="F216" s="83"/>
      <c r="G216" s="83"/>
      <c r="H216" s="83"/>
      <c r="I216" s="82"/>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0.25" customHeight="1" x14ac:dyDescent="0.25">
      <c r="A217" s="80" t="str">
        <f t="shared" si="31"/>
        <v>8th, 15th, 22nd &amp; 29th Floor (Part Refuge Area)</v>
      </c>
      <c r="B217" s="80"/>
      <c r="C217" s="80">
        <v>6</v>
      </c>
      <c r="D217" s="80"/>
      <c r="E217" s="20" t="s">
        <v>233</v>
      </c>
      <c r="F217" s="81">
        <f>(90.93)*10.764</f>
        <v>978.77052000000003</v>
      </c>
      <c r="G217" s="82"/>
      <c r="H217" s="20">
        <v>0</v>
      </c>
      <c r="I217" s="20">
        <f t="shared" ref="I217" si="34">F217*(($I$144)+1)+H217</f>
        <v>1566.0328320000001</v>
      </c>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x14ac:dyDescent="0.25">
      <c r="A218" s="93" t="s">
        <v>243</v>
      </c>
      <c r="B218" s="94"/>
      <c r="C218" s="94"/>
      <c r="D218" s="94"/>
      <c r="E218" s="94"/>
      <c r="F218" s="94"/>
      <c r="G218" s="94"/>
      <c r="H218" s="94"/>
      <c r="I218" s="95"/>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0.25" x14ac:dyDescent="0.25">
      <c r="A219" s="80" t="str">
        <f>A218</f>
        <v>34th &amp; 35th Floor</v>
      </c>
      <c r="B219" s="80"/>
      <c r="C219" s="80">
        <v>1</v>
      </c>
      <c r="D219" s="80"/>
      <c r="E219" s="20" t="s">
        <v>228</v>
      </c>
      <c r="F219" s="81">
        <f>63.77*10.764</f>
        <v>686.42028000000005</v>
      </c>
      <c r="G219" s="82"/>
      <c r="H219" s="20">
        <v>0</v>
      </c>
      <c r="I219" s="20">
        <f>F219*(($I$144)+1)+H219</f>
        <v>1098.2724480000002</v>
      </c>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0.25" x14ac:dyDescent="0.25">
      <c r="A220" s="80" t="str">
        <f t="shared" ref="A220:A224" si="35">A219</f>
        <v>34th &amp; 35th Floor</v>
      </c>
      <c r="B220" s="80"/>
      <c r="C220" s="80">
        <v>2</v>
      </c>
      <c r="D220" s="80"/>
      <c r="E220" s="20" t="s">
        <v>228</v>
      </c>
      <c r="F220" s="81">
        <f>63.77*10.764</f>
        <v>686.42028000000005</v>
      </c>
      <c r="G220" s="82"/>
      <c r="H220" s="20">
        <v>0</v>
      </c>
      <c r="I220" s="20">
        <f t="shared" ref="I220:I224" si="36">F220*(($I$144)+1)+H220</f>
        <v>1098.2724480000002</v>
      </c>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20.25" x14ac:dyDescent="0.25">
      <c r="A221" s="80" t="str">
        <f t="shared" si="35"/>
        <v>34th &amp; 35th Floor</v>
      </c>
      <c r="B221" s="80"/>
      <c r="C221" s="80">
        <v>3</v>
      </c>
      <c r="D221" s="80"/>
      <c r="E221" s="20" t="s">
        <v>233</v>
      </c>
      <c r="F221" s="81">
        <f>91.03*10.764</f>
        <v>979.84691999999995</v>
      </c>
      <c r="G221" s="82"/>
      <c r="H221" s="20">
        <v>0</v>
      </c>
      <c r="I221" s="20">
        <f t="shared" si="36"/>
        <v>1567.7550719999999</v>
      </c>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0.25" customHeight="1" x14ac:dyDescent="0.25">
      <c r="A222" s="80" t="str">
        <f t="shared" si="35"/>
        <v>34th &amp; 35th Floor</v>
      </c>
      <c r="B222" s="80"/>
      <c r="C222" s="80">
        <f t="shared" ref="C222:C223" si="37">C221+1</f>
        <v>4</v>
      </c>
      <c r="D222" s="80"/>
      <c r="E222" s="20" t="s">
        <v>228</v>
      </c>
      <c r="F222" s="81">
        <f>59.58*10.764</f>
        <v>641.31912</v>
      </c>
      <c r="G222" s="82"/>
      <c r="H222" s="20">
        <v>0</v>
      </c>
      <c r="I222" s="20">
        <f t="shared" si="36"/>
        <v>1026.110592</v>
      </c>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0.25" customHeight="1" x14ac:dyDescent="0.25">
      <c r="A223" s="80" t="str">
        <f t="shared" si="35"/>
        <v>34th &amp; 35th Floor</v>
      </c>
      <c r="B223" s="80"/>
      <c r="C223" s="80">
        <f t="shared" si="37"/>
        <v>5</v>
      </c>
      <c r="D223" s="80"/>
      <c r="E223" s="20" t="s">
        <v>228</v>
      </c>
      <c r="F223" s="81">
        <f>59.58*10.764</f>
        <v>641.31912</v>
      </c>
      <c r="G223" s="82"/>
      <c r="H223" s="20">
        <v>0</v>
      </c>
      <c r="I223" s="20">
        <f t="shared" si="36"/>
        <v>1026.110592</v>
      </c>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0.25" customHeight="1" x14ac:dyDescent="0.25">
      <c r="A224" s="80" t="str">
        <f t="shared" si="35"/>
        <v>34th &amp; 35th Floor</v>
      </c>
      <c r="B224" s="80"/>
      <c r="C224" s="80">
        <v>6</v>
      </c>
      <c r="D224" s="80"/>
      <c r="E224" s="20" t="s">
        <v>233</v>
      </c>
      <c r="F224" s="81">
        <f>(90.93)*10.764</f>
        <v>978.77052000000003</v>
      </c>
      <c r="G224" s="82"/>
      <c r="H224" s="20">
        <v>0</v>
      </c>
      <c r="I224" s="20">
        <f t="shared" si="36"/>
        <v>1566.0328320000001</v>
      </c>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20.25" x14ac:dyDescent="0.25">
      <c r="A225" s="93" t="s">
        <v>244</v>
      </c>
      <c r="B225" s="94"/>
      <c r="C225" s="94"/>
      <c r="D225" s="94"/>
      <c r="E225" s="94"/>
      <c r="F225" s="94"/>
      <c r="G225" s="94"/>
      <c r="H225" s="94"/>
      <c r="I225" s="95"/>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20.25" x14ac:dyDescent="0.25">
      <c r="A226" s="80" t="str">
        <f>A225</f>
        <v>36th Floor (Part Refuge Area)</v>
      </c>
      <c r="B226" s="80"/>
      <c r="C226" s="80">
        <v>1</v>
      </c>
      <c r="D226" s="80"/>
      <c r="E226" s="20" t="s">
        <v>228</v>
      </c>
      <c r="F226" s="81">
        <f>63.77*10.764</f>
        <v>686.42028000000005</v>
      </c>
      <c r="G226" s="82"/>
      <c r="H226" s="20">
        <v>0</v>
      </c>
      <c r="I226" s="20">
        <f>F226*(($I$144)+1)+H226</f>
        <v>1098.2724480000002</v>
      </c>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0.25" x14ac:dyDescent="0.25">
      <c r="A227" s="80" t="str">
        <f t="shared" ref="A227:A231" si="38">A226</f>
        <v>36th Floor (Part Refuge Area)</v>
      </c>
      <c r="B227" s="80"/>
      <c r="C227" s="80">
        <v>2</v>
      </c>
      <c r="D227" s="80"/>
      <c r="E227" s="20" t="s">
        <v>228</v>
      </c>
      <c r="F227" s="81">
        <f>63.77*10.764</f>
        <v>686.42028000000005</v>
      </c>
      <c r="G227" s="82"/>
      <c r="H227" s="20">
        <v>0</v>
      </c>
      <c r="I227" s="20">
        <f t="shared" ref="I227:I228" si="39">F227*(($I$144)+1)+H227</f>
        <v>1098.2724480000002</v>
      </c>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0.25" x14ac:dyDescent="0.25">
      <c r="A228" s="80" t="str">
        <f t="shared" si="38"/>
        <v>36th Floor (Part Refuge Area)</v>
      </c>
      <c r="B228" s="80"/>
      <c r="C228" s="80">
        <v>3</v>
      </c>
      <c r="D228" s="80"/>
      <c r="E228" s="20" t="s">
        <v>233</v>
      </c>
      <c r="F228" s="81">
        <f>(91.63)*10.764</f>
        <v>986.30531999999994</v>
      </c>
      <c r="G228" s="82"/>
      <c r="H228" s="20">
        <v>0</v>
      </c>
      <c r="I228" s="20">
        <f t="shared" si="39"/>
        <v>1578.088512</v>
      </c>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0.25" customHeight="1" x14ac:dyDescent="0.25">
      <c r="A229" s="80" t="str">
        <f t="shared" si="38"/>
        <v>36th Floor (Part Refuge Area)</v>
      </c>
      <c r="B229" s="80"/>
      <c r="C229" s="80">
        <f t="shared" ref="C229:C230" si="40">C228+1</f>
        <v>4</v>
      </c>
      <c r="D229" s="80"/>
      <c r="E229" s="96" t="s">
        <v>235</v>
      </c>
      <c r="F229" s="104"/>
      <c r="G229" s="104"/>
      <c r="H229" s="104"/>
      <c r="I229" s="97"/>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customHeight="1" x14ac:dyDescent="0.25">
      <c r="A230" s="80" t="str">
        <f t="shared" si="38"/>
        <v>36th Floor (Part Refuge Area)</v>
      </c>
      <c r="B230" s="80"/>
      <c r="C230" s="80">
        <f t="shared" si="40"/>
        <v>5</v>
      </c>
      <c r="D230" s="80"/>
      <c r="E230" s="100"/>
      <c r="F230" s="105"/>
      <c r="G230" s="105"/>
      <c r="H230" s="105"/>
      <c r="I230" s="10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0.25" customHeight="1" x14ac:dyDescent="0.25">
      <c r="A231" s="80" t="str">
        <f t="shared" si="38"/>
        <v>36th Floor (Part Refuge Area)</v>
      </c>
      <c r="B231" s="80"/>
      <c r="C231" s="80">
        <v>6</v>
      </c>
      <c r="D231" s="80"/>
      <c r="E231" s="20" t="s">
        <v>233</v>
      </c>
      <c r="F231" s="81">
        <f>(91.63)*10.764</f>
        <v>986.30531999999994</v>
      </c>
      <c r="G231" s="82"/>
      <c r="H231" s="20">
        <v>0</v>
      </c>
      <c r="I231" s="20">
        <f t="shared" ref="I231" si="41">F231*(($I$144)+1)+H231</f>
        <v>1578.088512</v>
      </c>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0.25" x14ac:dyDescent="0.25">
      <c r="A232" s="93" t="s">
        <v>239</v>
      </c>
      <c r="B232" s="94"/>
      <c r="C232" s="94"/>
      <c r="D232" s="94"/>
      <c r="E232" s="94"/>
      <c r="F232" s="94"/>
      <c r="G232" s="94"/>
      <c r="H232" s="94"/>
      <c r="I232" s="95"/>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0.25" x14ac:dyDescent="0.25">
      <c r="A233" s="80" t="str">
        <f>A232</f>
        <v xml:space="preserve">37th to 42nd &amp; 44th to 47th Floor </v>
      </c>
      <c r="B233" s="80"/>
      <c r="C233" s="80">
        <v>1</v>
      </c>
      <c r="D233" s="80"/>
      <c r="E233" s="20" t="s">
        <v>228</v>
      </c>
      <c r="F233" s="81">
        <f>63.77*10.764</f>
        <v>686.42028000000005</v>
      </c>
      <c r="G233" s="82"/>
      <c r="H233" s="20">
        <v>0</v>
      </c>
      <c r="I233" s="20">
        <f>F233*(($I$144)+1)+H233</f>
        <v>1098.2724480000002</v>
      </c>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0.25" x14ac:dyDescent="0.25">
      <c r="A234" s="80" t="str">
        <f t="shared" ref="A234:A238" si="42">A233</f>
        <v xml:space="preserve">37th to 42nd &amp; 44th to 47th Floor </v>
      </c>
      <c r="B234" s="80"/>
      <c r="C234" s="80">
        <v>2</v>
      </c>
      <c r="D234" s="80"/>
      <c r="E234" s="20" t="s">
        <v>228</v>
      </c>
      <c r="F234" s="81">
        <f>63.77*10.764</f>
        <v>686.42028000000005</v>
      </c>
      <c r="G234" s="82"/>
      <c r="H234" s="20">
        <v>0</v>
      </c>
      <c r="I234" s="20">
        <f t="shared" ref="I234:I238" si="43">F234*(($I$144)+1)+H234</f>
        <v>1098.2724480000002</v>
      </c>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0.25" x14ac:dyDescent="0.25">
      <c r="A235" s="80" t="str">
        <f t="shared" si="42"/>
        <v xml:space="preserve">37th to 42nd &amp; 44th to 47th Floor </v>
      </c>
      <c r="B235" s="80"/>
      <c r="C235" s="80">
        <v>3</v>
      </c>
      <c r="D235" s="80"/>
      <c r="E235" s="20" t="s">
        <v>233</v>
      </c>
      <c r="F235" s="81">
        <f>(91.63)*10.764</f>
        <v>986.30531999999994</v>
      </c>
      <c r="G235" s="82"/>
      <c r="H235" s="20">
        <v>0</v>
      </c>
      <c r="I235" s="20">
        <f t="shared" si="43"/>
        <v>1578.088512</v>
      </c>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0.25" customHeight="1" x14ac:dyDescent="0.25">
      <c r="A236" s="80" t="str">
        <f t="shared" si="42"/>
        <v xml:space="preserve">37th to 42nd &amp; 44th to 47th Floor </v>
      </c>
      <c r="B236" s="80"/>
      <c r="C236" s="80">
        <f t="shared" ref="C236:C237" si="44">C235+1</f>
        <v>4</v>
      </c>
      <c r="D236" s="80"/>
      <c r="E236" s="20" t="s">
        <v>228</v>
      </c>
      <c r="F236" s="81">
        <f>64.34*10.764</f>
        <v>692.55575999999996</v>
      </c>
      <c r="G236" s="82"/>
      <c r="H236" s="20">
        <v>0</v>
      </c>
      <c r="I236" s="20">
        <f t="shared" si="43"/>
        <v>1108.0892160000001</v>
      </c>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0.25" customHeight="1" x14ac:dyDescent="0.25">
      <c r="A237" s="80" t="str">
        <f t="shared" si="42"/>
        <v xml:space="preserve">37th to 42nd &amp; 44th to 47th Floor </v>
      </c>
      <c r="B237" s="80"/>
      <c r="C237" s="80">
        <f t="shared" si="44"/>
        <v>5</v>
      </c>
      <c r="D237" s="80"/>
      <c r="E237" s="20" t="s">
        <v>228</v>
      </c>
      <c r="F237" s="81">
        <f>64.34*10.764</f>
        <v>692.55575999999996</v>
      </c>
      <c r="G237" s="82"/>
      <c r="H237" s="20">
        <v>0</v>
      </c>
      <c r="I237" s="20">
        <f t="shared" si="43"/>
        <v>1108.0892160000001</v>
      </c>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customHeight="1" x14ac:dyDescent="0.25">
      <c r="A238" s="80" t="str">
        <f t="shared" si="42"/>
        <v xml:space="preserve">37th to 42nd &amp; 44th to 47th Floor </v>
      </c>
      <c r="B238" s="80"/>
      <c r="C238" s="80">
        <v>6</v>
      </c>
      <c r="D238" s="80"/>
      <c r="E238" s="20" t="s">
        <v>233</v>
      </c>
      <c r="F238" s="81">
        <f>(91.63)*10.764</f>
        <v>986.30531999999994</v>
      </c>
      <c r="G238" s="82"/>
      <c r="H238" s="20">
        <v>0</v>
      </c>
      <c r="I238" s="20">
        <f t="shared" si="43"/>
        <v>1578.088512</v>
      </c>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0.25" x14ac:dyDescent="0.25">
      <c r="A239" s="93" t="s">
        <v>240</v>
      </c>
      <c r="B239" s="94"/>
      <c r="C239" s="94"/>
      <c r="D239" s="94"/>
      <c r="E239" s="94"/>
      <c r="F239" s="94"/>
      <c r="G239" s="94"/>
      <c r="H239" s="94"/>
      <c r="I239" s="95"/>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0.25" x14ac:dyDescent="0.25">
      <c r="A240" s="80" t="str">
        <f>A239</f>
        <v>43rd Floor (Part Refuge &amp; Store Area)</v>
      </c>
      <c r="B240" s="80"/>
      <c r="C240" s="80">
        <v>1</v>
      </c>
      <c r="D240" s="80"/>
      <c r="E240" s="20" t="s">
        <v>228</v>
      </c>
      <c r="F240" s="81">
        <f>63.77*10.764</f>
        <v>686.42028000000005</v>
      </c>
      <c r="G240" s="82"/>
      <c r="H240" s="20">
        <v>0</v>
      </c>
      <c r="I240" s="20">
        <f>F240*(($I$144)+1)+H240</f>
        <v>1098.2724480000002</v>
      </c>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0.25" x14ac:dyDescent="0.25">
      <c r="A241" s="80" t="str">
        <f t="shared" ref="A241:A245" si="45">A240</f>
        <v>43rd Floor (Part Refuge &amp; Store Area)</v>
      </c>
      <c r="B241" s="80"/>
      <c r="C241" s="80">
        <v>2</v>
      </c>
      <c r="D241" s="80"/>
      <c r="E241" s="20" t="s">
        <v>228</v>
      </c>
      <c r="F241" s="81">
        <f>63.77*10.764</f>
        <v>686.42028000000005</v>
      </c>
      <c r="G241" s="82"/>
      <c r="H241" s="20">
        <v>0</v>
      </c>
      <c r="I241" s="20">
        <f t="shared" ref="I241:I242" si="46">F241*(($I$144)+1)+H241</f>
        <v>1098.2724480000002</v>
      </c>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s="11" customFormat="1" ht="20.25" x14ac:dyDescent="0.25">
      <c r="A242" s="80" t="str">
        <f t="shared" si="45"/>
        <v>43rd Floor (Part Refuge &amp; Store Area)</v>
      </c>
      <c r="B242" s="80"/>
      <c r="C242" s="80">
        <v>3</v>
      </c>
      <c r="D242" s="80"/>
      <c r="E242" s="20" t="s">
        <v>233</v>
      </c>
      <c r="F242" s="81">
        <f>(91.63)*10.764</f>
        <v>986.30531999999994</v>
      </c>
      <c r="G242" s="82"/>
      <c r="H242" s="20">
        <v>0</v>
      </c>
      <c r="I242" s="20">
        <f t="shared" si="46"/>
        <v>1578.088512</v>
      </c>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7:16384" s="11" customFormat="1" ht="20.25" customHeight="1" x14ac:dyDescent="0.25">
      <c r="A243" s="80" t="str">
        <f t="shared" si="45"/>
        <v>43rd Floor (Part Refuge &amp; Store Area)</v>
      </c>
      <c r="B243" s="80"/>
      <c r="C243" s="80">
        <f t="shared" ref="C243:C244" si="47">C242+1</f>
        <v>4</v>
      </c>
      <c r="D243" s="80"/>
      <c r="E243" s="96" t="s">
        <v>241</v>
      </c>
      <c r="F243" s="104"/>
      <c r="G243" s="104"/>
      <c r="H243" s="104"/>
      <c r="I243" s="97"/>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7:16384" s="11" customFormat="1" ht="20.25" customHeight="1" x14ac:dyDescent="0.25">
      <c r="A244" s="80" t="str">
        <f t="shared" si="45"/>
        <v>43rd Floor (Part Refuge &amp; Store Area)</v>
      </c>
      <c r="B244" s="80"/>
      <c r="C244" s="80">
        <f t="shared" si="47"/>
        <v>5</v>
      </c>
      <c r="D244" s="80"/>
      <c r="E244" s="100"/>
      <c r="F244" s="105"/>
      <c r="G244" s="105"/>
      <c r="H244" s="105"/>
      <c r="I244" s="10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1 16227:16384" s="11" customFormat="1" ht="20.25" customHeight="1" x14ac:dyDescent="0.25">
      <c r="A245" s="80" t="str">
        <f t="shared" si="45"/>
        <v>43rd Floor (Part Refuge &amp; Store Area)</v>
      </c>
      <c r="B245" s="80"/>
      <c r="C245" s="80">
        <v>6</v>
      </c>
      <c r="D245" s="80"/>
      <c r="E245" s="20" t="s">
        <v>233</v>
      </c>
      <c r="F245" s="81">
        <f>(91.63)*10.764</f>
        <v>986.30531999999994</v>
      </c>
      <c r="G245" s="82"/>
      <c r="H245" s="20">
        <v>0</v>
      </c>
      <c r="I245" s="20">
        <f t="shared" ref="I245" si="48">F245*(($I$144)+1)+H245</f>
        <v>1578.088512</v>
      </c>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c r="XFD245" s="1"/>
    </row>
    <row r="246" spans="1:151 16227:16384" s="11" customFormat="1" ht="30.75" customHeight="1" x14ac:dyDescent="0.25">
      <c r="A246" s="103" t="s">
        <v>272</v>
      </c>
      <c r="B246" s="94"/>
      <c r="C246" s="94"/>
      <c r="D246" s="94"/>
      <c r="E246" s="94"/>
      <c r="F246" s="94"/>
      <c r="G246" s="94"/>
      <c r="H246" s="94"/>
      <c r="I246" s="95"/>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1 16227:16384" s="11" customFormat="1" ht="20.25" x14ac:dyDescent="0.25">
      <c r="A247" s="93" t="s">
        <v>225</v>
      </c>
      <c r="B247" s="94"/>
      <c r="C247" s="94"/>
      <c r="D247" s="94"/>
      <c r="E247" s="94"/>
      <c r="F247" s="94"/>
      <c r="G247" s="94"/>
      <c r="H247" s="94"/>
      <c r="I247" s="95"/>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c r="XFD247" s="1"/>
    </row>
    <row r="248" spans="1:151 16227:16384" s="11" customFormat="1" ht="20.25" x14ac:dyDescent="0.25">
      <c r="A248" s="93" t="s">
        <v>226</v>
      </c>
      <c r="B248" s="94"/>
      <c r="C248" s="94"/>
      <c r="D248" s="94"/>
      <c r="E248" s="94"/>
      <c r="F248" s="94"/>
      <c r="G248" s="94"/>
      <c r="H248" s="94"/>
      <c r="I248" s="95"/>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c r="XFD248" s="1"/>
    </row>
    <row r="249" spans="1:151 16227:16384" s="11" customFormat="1" ht="20.25" x14ac:dyDescent="0.25">
      <c r="A249" s="93" t="s">
        <v>227</v>
      </c>
      <c r="B249" s="94"/>
      <c r="C249" s="94"/>
      <c r="D249" s="94"/>
      <c r="E249" s="94"/>
      <c r="F249" s="94"/>
      <c r="G249" s="94"/>
      <c r="H249" s="94"/>
      <c r="I249" s="95"/>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c r="XFD249" s="1"/>
    </row>
    <row r="250" spans="1:151 16227:16384" s="11" customFormat="1" ht="20.25" x14ac:dyDescent="0.25">
      <c r="A250" s="80" t="str">
        <f>A249</f>
        <v xml:space="preserve">1st Floor (Podium) for Residential </v>
      </c>
      <c r="B250" s="80"/>
      <c r="C250" s="80">
        <v>5</v>
      </c>
      <c r="D250" s="80"/>
      <c r="E250" s="20" t="s">
        <v>228</v>
      </c>
      <c r="F250" s="81">
        <f>57.96*10.764</f>
        <v>623.88144</v>
      </c>
      <c r="G250" s="82"/>
      <c r="H250" s="20">
        <v>0</v>
      </c>
      <c r="I250" s="20">
        <f>F250*(($I$144)+1)+H250</f>
        <v>998.21030400000006</v>
      </c>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c r="XFD250" s="1"/>
    </row>
    <row r="251" spans="1:151 16227:16384" s="11" customFormat="1" ht="20.25" x14ac:dyDescent="0.25">
      <c r="A251" s="80" t="str">
        <f t="shared" ref="A251" si="49">A250</f>
        <v xml:space="preserve">1st Floor (Podium) for Residential </v>
      </c>
      <c r="B251" s="80"/>
      <c r="C251" s="80">
        <v>6</v>
      </c>
      <c r="D251" s="80"/>
      <c r="E251" s="20" t="s">
        <v>228</v>
      </c>
      <c r="F251" s="81">
        <f>57.96*10.764</f>
        <v>623.88144</v>
      </c>
      <c r="G251" s="82"/>
      <c r="H251" s="20">
        <v>0</v>
      </c>
      <c r="I251" s="20">
        <f t="shared" ref="I251" si="50">F251*(($I$144)+1)+H251</f>
        <v>998.21030400000006</v>
      </c>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1 16227:16384" s="11" customFormat="1" ht="20.25" x14ac:dyDescent="0.25">
      <c r="A252" s="93" t="s">
        <v>229</v>
      </c>
      <c r="B252" s="94"/>
      <c r="C252" s="94"/>
      <c r="D252" s="94"/>
      <c r="E252" s="94"/>
      <c r="F252" s="94"/>
      <c r="G252" s="94"/>
      <c r="H252" s="94"/>
      <c r="I252" s="95"/>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c r="XFD252" s="1"/>
    </row>
    <row r="253" spans="1:151 16227:16384" s="11" customFormat="1" ht="20.25" x14ac:dyDescent="0.25">
      <c r="A253" s="80" t="str">
        <f>A252</f>
        <v>2nd &amp; 3rd Floor (Podium)</v>
      </c>
      <c r="B253" s="80"/>
      <c r="C253" s="80">
        <v>4</v>
      </c>
      <c r="D253" s="80"/>
      <c r="E253" s="20" t="s">
        <v>228</v>
      </c>
      <c r="F253" s="81">
        <f>(53.24)*10.764</f>
        <v>573.07535999999993</v>
      </c>
      <c r="G253" s="82"/>
      <c r="H253" s="20">
        <v>0</v>
      </c>
      <c r="I253" s="20">
        <f>F253*(($I$144)+1)+H253</f>
        <v>916.92057599999998</v>
      </c>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c r="XFD253" s="1"/>
    </row>
    <row r="254" spans="1:151 16227:16384" s="11" customFormat="1" ht="20.25" x14ac:dyDescent="0.25">
      <c r="A254" s="80" t="str">
        <f t="shared" ref="A254:A256" si="51">A253</f>
        <v>2nd &amp; 3rd Floor (Podium)</v>
      </c>
      <c r="B254" s="80"/>
      <c r="C254" s="80">
        <v>5</v>
      </c>
      <c r="D254" s="80"/>
      <c r="E254" s="20" t="s">
        <v>228</v>
      </c>
      <c r="F254" s="81">
        <f>57.96*10.764</f>
        <v>623.88144</v>
      </c>
      <c r="G254" s="82"/>
      <c r="H254" s="20">
        <v>0</v>
      </c>
      <c r="I254" s="20">
        <f t="shared" ref="I254:I256" si="52">F254*(($I$144)+1)+H254</f>
        <v>998.21030400000006</v>
      </c>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c r="XFD254" s="1"/>
    </row>
    <row r="255" spans="1:151 16227:16384" s="11" customFormat="1" ht="20.25" x14ac:dyDescent="0.25">
      <c r="A255" s="80" t="str">
        <f t="shared" si="51"/>
        <v>2nd &amp; 3rd Floor (Podium)</v>
      </c>
      <c r="B255" s="80"/>
      <c r="C255" s="80">
        <v>6</v>
      </c>
      <c r="D255" s="80"/>
      <c r="E255" s="20" t="s">
        <v>228</v>
      </c>
      <c r="F255" s="81">
        <f>57.96*10.764</f>
        <v>623.88144</v>
      </c>
      <c r="G255" s="82"/>
      <c r="H255" s="20">
        <v>0</v>
      </c>
      <c r="I255" s="20">
        <f t="shared" si="52"/>
        <v>998.21030400000006</v>
      </c>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c r="XFD255" s="1"/>
    </row>
    <row r="256" spans="1:151 16227:16384" s="11" customFormat="1" ht="20.25" x14ac:dyDescent="0.25">
      <c r="A256" s="80" t="str">
        <f t="shared" si="51"/>
        <v>2nd &amp; 3rd Floor (Podium)</v>
      </c>
      <c r="B256" s="80"/>
      <c r="C256" s="80">
        <v>7</v>
      </c>
      <c r="D256" s="80"/>
      <c r="E256" s="20" t="s">
        <v>228</v>
      </c>
      <c r="F256" s="81">
        <f>(53.16)*10.764</f>
        <v>572.2142399999999</v>
      </c>
      <c r="G256" s="82"/>
      <c r="H256" s="20">
        <v>0</v>
      </c>
      <c r="I256" s="20">
        <f t="shared" si="52"/>
        <v>915.54278399999987</v>
      </c>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c r="XFD256" s="1"/>
    </row>
    <row r="257" spans="1:151 16227:16384" s="11" customFormat="1" ht="20.25" x14ac:dyDescent="0.25">
      <c r="A257" s="93" t="s">
        <v>230</v>
      </c>
      <c r="B257" s="94"/>
      <c r="C257" s="94"/>
      <c r="D257" s="94"/>
      <c r="E257" s="94"/>
      <c r="F257" s="94"/>
      <c r="G257" s="94"/>
      <c r="H257" s="94"/>
      <c r="I257" s="102"/>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c r="XFD257" s="1"/>
    </row>
    <row r="258" spans="1:151 16227:16384" s="11" customFormat="1" ht="20.25" x14ac:dyDescent="0.25">
      <c r="A258" s="93" t="s">
        <v>245</v>
      </c>
      <c r="B258" s="94"/>
      <c r="C258" s="94"/>
      <c r="D258" s="94"/>
      <c r="E258" s="94"/>
      <c r="F258" s="94"/>
      <c r="G258" s="94"/>
      <c r="H258" s="94"/>
      <c r="I258" s="95"/>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c r="XFD258" s="1"/>
    </row>
    <row r="259" spans="1:151 16227:16384" s="11" customFormat="1" ht="20.25" x14ac:dyDescent="0.25">
      <c r="A259" s="80" t="str">
        <f>A258</f>
        <v>5th to 7th, 9th to 14th,16th to 21st, 23rd to 28th, 30th to 35th Floor</v>
      </c>
      <c r="B259" s="80"/>
      <c r="C259" s="80">
        <v>1</v>
      </c>
      <c r="D259" s="80"/>
      <c r="E259" s="20" t="s">
        <v>232</v>
      </c>
      <c r="F259" s="81">
        <f>70.27*10.764</f>
        <v>756.38627999999994</v>
      </c>
      <c r="G259" s="82"/>
      <c r="H259" s="20">
        <v>0</v>
      </c>
      <c r="I259" s="20">
        <f>F259*(($I$144)+1)+H259</f>
        <v>1210.218048</v>
      </c>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c r="XFD259" s="1"/>
    </row>
    <row r="260" spans="1:151 16227:16384" s="11" customFormat="1" ht="20.25" x14ac:dyDescent="0.25">
      <c r="A260" s="80" t="str">
        <f t="shared" ref="A260:A266" si="53">A259</f>
        <v>5th to 7th, 9th to 14th,16th to 21st, 23rd to 28th, 30th to 35th Floor</v>
      </c>
      <c r="B260" s="80"/>
      <c r="C260" s="80">
        <v>2</v>
      </c>
      <c r="D260" s="80"/>
      <c r="E260" s="20" t="s">
        <v>232</v>
      </c>
      <c r="F260" s="81">
        <f>70.27*10.764</f>
        <v>756.38627999999994</v>
      </c>
      <c r="G260" s="82"/>
      <c r="H260" s="20">
        <v>0</v>
      </c>
      <c r="I260" s="20">
        <f t="shared" ref="I260:I265" si="54">F260*(($I$144)+1)+H260</f>
        <v>1210.218048</v>
      </c>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c r="XFD260" s="1"/>
    </row>
    <row r="261" spans="1:151 16227:16384" s="11" customFormat="1" ht="20.25" x14ac:dyDescent="0.25">
      <c r="A261" s="80" t="str">
        <f t="shared" si="53"/>
        <v>5th to 7th, 9th to 14th,16th to 21st, 23rd to 28th, 30th to 35th Floor</v>
      </c>
      <c r="B261" s="80"/>
      <c r="C261" s="80">
        <v>3</v>
      </c>
      <c r="D261" s="80"/>
      <c r="E261" s="20" t="s">
        <v>228</v>
      </c>
      <c r="F261" s="81">
        <f>(53.24)*10.764</f>
        <v>573.07535999999993</v>
      </c>
      <c r="G261" s="82"/>
      <c r="H261" s="20">
        <v>0</v>
      </c>
      <c r="I261" s="20">
        <f t="shared" si="54"/>
        <v>916.92057599999998</v>
      </c>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c r="XFD261" s="1"/>
    </row>
    <row r="262" spans="1:151 16227:16384" s="11" customFormat="1" ht="20.25" customHeight="1" x14ac:dyDescent="0.25">
      <c r="A262" s="80" t="str">
        <f t="shared" si="53"/>
        <v>5th to 7th, 9th to 14th,16th to 21st, 23rd to 28th, 30th to 35th Floor</v>
      </c>
      <c r="B262" s="80"/>
      <c r="C262" s="80">
        <f t="shared" ref="C262:C263" si="55">C261+1</f>
        <v>4</v>
      </c>
      <c r="D262" s="80"/>
      <c r="E262" s="20" t="s">
        <v>228</v>
      </c>
      <c r="F262" s="81">
        <f>(53.24)*10.764</f>
        <v>573.07535999999993</v>
      </c>
      <c r="G262" s="82"/>
      <c r="H262" s="20">
        <v>0</v>
      </c>
      <c r="I262" s="20">
        <f t="shared" si="54"/>
        <v>916.92057599999998</v>
      </c>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c r="XFD262" s="1"/>
    </row>
    <row r="263" spans="1:151 16227:16384" s="11" customFormat="1" ht="20.25" customHeight="1" x14ac:dyDescent="0.25">
      <c r="A263" s="80" t="str">
        <f t="shared" si="53"/>
        <v>5th to 7th, 9th to 14th,16th to 21st, 23rd to 28th, 30th to 35th Floor</v>
      </c>
      <c r="B263" s="80"/>
      <c r="C263" s="80">
        <f t="shared" si="55"/>
        <v>5</v>
      </c>
      <c r="D263" s="80"/>
      <c r="E263" s="20" t="s">
        <v>228</v>
      </c>
      <c r="F263" s="81">
        <f>57.96*10.764</f>
        <v>623.88144</v>
      </c>
      <c r="G263" s="82"/>
      <c r="H263" s="20">
        <v>0</v>
      </c>
      <c r="I263" s="20">
        <f t="shared" si="54"/>
        <v>998.21030400000006</v>
      </c>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c r="XFD263" s="1"/>
    </row>
    <row r="264" spans="1:151 16227:16384" s="11" customFormat="1" ht="20.25" customHeight="1" x14ac:dyDescent="0.25">
      <c r="A264" s="80" t="str">
        <f t="shared" si="53"/>
        <v>5th to 7th, 9th to 14th,16th to 21st, 23rd to 28th, 30th to 35th Floor</v>
      </c>
      <c r="B264" s="80"/>
      <c r="C264" s="80">
        <v>6</v>
      </c>
      <c r="D264" s="80"/>
      <c r="E264" s="20" t="s">
        <v>228</v>
      </c>
      <c r="F264" s="81">
        <f>57.96*10.764</f>
        <v>623.88144</v>
      </c>
      <c r="G264" s="82"/>
      <c r="H264" s="20">
        <v>0</v>
      </c>
      <c r="I264" s="20">
        <f t="shared" si="54"/>
        <v>998.21030400000006</v>
      </c>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c r="XFD264" s="1"/>
    </row>
    <row r="265" spans="1:151 16227:16384" s="11" customFormat="1" ht="20.25" x14ac:dyDescent="0.25">
      <c r="A265" s="80" t="str">
        <f t="shared" si="53"/>
        <v>5th to 7th, 9th to 14th,16th to 21st, 23rd to 28th, 30th to 35th Floor</v>
      </c>
      <c r="B265" s="80"/>
      <c r="C265" s="80">
        <v>7</v>
      </c>
      <c r="D265" s="80"/>
      <c r="E265" s="20" t="s">
        <v>228</v>
      </c>
      <c r="F265" s="81">
        <f>(53.16)*10.764</f>
        <v>572.2142399999999</v>
      </c>
      <c r="G265" s="82"/>
      <c r="H265" s="20">
        <v>0</v>
      </c>
      <c r="I265" s="20">
        <f t="shared" si="54"/>
        <v>915.54278399999987</v>
      </c>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c r="XFD265" s="1"/>
    </row>
    <row r="266" spans="1:151 16227:16384" s="11" customFormat="1" ht="20.25" x14ac:dyDescent="0.25">
      <c r="A266" s="80" t="str">
        <f t="shared" si="53"/>
        <v>5th to 7th, 9th to 14th,16th to 21st, 23rd to 28th, 30th to 35th Floor</v>
      </c>
      <c r="B266" s="80"/>
      <c r="C266" s="80">
        <v>8</v>
      </c>
      <c r="D266" s="80"/>
      <c r="E266" s="20" t="s">
        <v>228</v>
      </c>
      <c r="F266" s="81">
        <f>(53.16)*10.764</f>
        <v>572.2142399999999</v>
      </c>
      <c r="G266" s="82"/>
      <c r="H266" s="20">
        <v>0</v>
      </c>
      <c r="I266" s="20">
        <f t="shared" ref="I266" si="56">F266*(($I$144)+1)+H266</f>
        <v>915.54278399999987</v>
      </c>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c r="XFD266" s="1"/>
    </row>
    <row r="267" spans="1:151 16227:16384" s="11" customFormat="1" ht="20.25" x14ac:dyDescent="0.25">
      <c r="A267" s="93" t="s">
        <v>234</v>
      </c>
      <c r="B267" s="94"/>
      <c r="C267" s="94"/>
      <c r="D267" s="94"/>
      <c r="E267" s="94"/>
      <c r="F267" s="94"/>
      <c r="G267" s="94"/>
      <c r="H267" s="94"/>
      <c r="I267" s="95"/>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c r="XFD267" s="1"/>
    </row>
    <row r="268" spans="1:151 16227:16384" s="11" customFormat="1" ht="20.25" x14ac:dyDescent="0.25">
      <c r="A268" s="80" t="str">
        <f>A267</f>
        <v>8th, 15th, 22nd &amp; 29th Floor (Part Refuge Area)</v>
      </c>
      <c r="B268" s="80"/>
      <c r="C268" s="80">
        <v>1</v>
      </c>
      <c r="D268" s="80"/>
      <c r="E268" s="20" t="s">
        <v>232</v>
      </c>
      <c r="F268" s="81">
        <f>70.27*10.764</f>
        <v>756.38627999999994</v>
      </c>
      <c r="G268" s="82"/>
      <c r="H268" s="20">
        <v>0</v>
      </c>
      <c r="I268" s="20">
        <f>F268*(($I$144)+1)+H268</f>
        <v>1210.218048</v>
      </c>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c r="XFD268" s="1"/>
    </row>
    <row r="269" spans="1:151 16227:16384" s="11" customFormat="1" ht="20.25" x14ac:dyDescent="0.25">
      <c r="A269" s="80" t="str">
        <f t="shared" ref="A269:A275" si="57">A268</f>
        <v>8th, 15th, 22nd &amp; 29th Floor (Part Refuge Area)</v>
      </c>
      <c r="B269" s="80"/>
      <c r="C269" s="80">
        <v>2</v>
      </c>
      <c r="D269" s="80"/>
      <c r="E269" s="20" t="s">
        <v>232</v>
      </c>
      <c r="F269" s="81">
        <f>70.27*10.764</f>
        <v>756.38627999999994</v>
      </c>
      <c r="G269" s="82"/>
      <c r="H269" s="20">
        <v>0</v>
      </c>
      <c r="I269" s="20">
        <f t="shared" ref="I269:I270" si="58">F269*(($I$144)+1)+H269</f>
        <v>1210.218048</v>
      </c>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c r="XFD269" s="1"/>
    </row>
    <row r="270" spans="1:151 16227:16384" s="11" customFormat="1" ht="20.25" x14ac:dyDescent="0.25">
      <c r="A270" s="80" t="str">
        <f t="shared" si="57"/>
        <v>8th, 15th, 22nd &amp; 29th Floor (Part Refuge Area)</v>
      </c>
      <c r="B270" s="80"/>
      <c r="C270" s="80">
        <v>3</v>
      </c>
      <c r="D270" s="80"/>
      <c r="E270" s="20" t="s">
        <v>228</v>
      </c>
      <c r="F270" s="81">
        <f>(53.24)*10.764</f>
        <v>573.07535999999993</v>
      </c>
      <c r="G270" s="82"/>
      <c r="H270" s="20">
        <v>0</v>
      </c>
      <c r="I270" s="20">
        <f t="shared" si="58"/>
        <v>916.92057599999998</v>
      </c>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c r="XFD270" s="1"/>
    </row>
    <row r="271" spans="1:151 16227:16384" s="11" customFormat="1" ht="20.25" x14ac:dyDescent="0.25">
      <c r="A271" s="80" t="str">
        <f t="shared" si="57"/>
        <v>8th, 15th, 22nd &amp; 29th Floor (Part Refuge Area)</v>
      </c>
      <c r="B271" s="80"/>
      <c r="C271" s="80">
        <v>4</v>
      </c>
      <c r="D271" s="80"/>
      <c r="E271" s="20" t="s">
        <v>228</v>
      </c>
      <c r="F271" s="81">
        <f>(53.24)*10.764</f>
        <v>573.07535999999993</v>
      </c>
      <c r="G271" s="82"/>
      <c r="H271" s="20">
        <v>0</v>
      </c>
      <c r="I271" s="20">
        <f t="shared" ref="I271" si="59">F271*(($I$144)+1)+H271</f>
        <v>916.92057599999998</v>
      </c>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c r="XFD271" s="1"/>
    </row>
    <row r="272" spans="1:151 16227:16384" s="11" customFormat="1" ht="20.25" customHeight="1" x14ac:dyDescent="0.25">
      <c r="A272" s="80" t="str">
        <f>A270</f>
        <v>8th, 15th, 22nd &amp; 29th Floor (Part Refuge Area)</v>
      </c>
      <c r="B272" s="80"/>
      <c r="C272" s="80">
        <v>5</v>
      </c>
      <c r="D272" s="80"/>
      <c r="E272" s="81" t="s">
        <v>235</v>
      </c>
      <c r="F272" s="83"/>
      <c r="G272" s="83"/>
      <c r="H272" s="83"/>
      <c r="I272" s="82"/>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c r="XFD272" s="1"/>
    </row>
    <row r="273" spans="1:151 16227:16384" s="11" customFormat="1" ht="20.25" customHeight="1" x14ac:dyDescent="0.25">
      <c r="A273" s="80" t="str">
        <f t="shared" si="57"/>
        <v>8th, 15th, 22nd &amp; 29th Floor (Part Refuge Area)</v>
      </c>
      <c r="B273" s="80"/>
      <c r="C273" s="80">
        <f t="shared" ref="C273" si="60">C272+1</f>
        <v>6</v>
      </c>
      <c r="D273" s="80"/>
      <c r="E273" s="81" t="s">
        <v>235</v>
      </c>
      <c r="F273" s="83"/>
      <c r="G273" s="83"/>
      <c r="H273" s="83"/>
      <c r="I273" s="82"/>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c r="XFD273" s="1"/>
    </row>
    <row r="274" spans="1:151 16227:16384" s="11" customFormat="1" ht="20.25" customHeight="1" x14ac:dyDescent="0.25">
      <c r="A274" s="80" t="str">
        <f t="shared" si="57"/>
        <v>8th, 15th, 22nd &amp; 29th Floor (Part Refuge Area)</v>
      </c>
      <c r="B274" s="80"/>
      <c r="C274" s="80">
        <v>7</v>
      </c>
      <c r="D274" s="80"/>
      <c r="E274" s="20" t="s">
        <v>228</v>
      </c>
      <c r="F274" s="81">
        <f>(53.16)*10.764</f>
        <v>572.2142399999999</v>
      </c>
      <c r="G274" s="82"/>
      <c r="H274" s="20">
        <v>0</v>
      </c>
      <c r="I274" s="20">
        <f t="shared" ref="I274:I275" si="61">F274*(($I$144)+1)+H274</f>
        <v>915.54278399999987</v>
      </c>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c r="XFD274" s="1"/>
    </row>
    <row r="275" spans="1:151 16227:16384" s="11" customFormat="1" ht="20.25" x14ac:dyDescent="0.25">
      <c r="A275" s="80" t="str">
        <f t="shared" si="57"/>
        <v>8th, 15th, 22nd &amp; 29th Floor (Part Refuge Area)</v>
      </c>
      <c r="B275" s="80"/>
      <c r="C275" s="80">
        <v>8</v>
      </c>
      <c r="D275" s="80"/>
      <c r="E275" s="20" t="s">
        <v>228</v>
      </c>
      <c r="F275" s="81">
        <f>(53.16)*10.764</f>
        <v>572.2142399999999</v>
      </c>
      <c r="G275" s="82"/>
      <c r="H275" s="20">
        <v>0</v>
      </c>
      <c r="I275" s="20">
        <f t="shared" si="61"/>
        <v>915.54278399999987</v>
      </c>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c r="XFD275" s="1"/>
    </row>
    <row r="276" spans="1:151 16227:16384" s="11" customFormat="1" ht="20.25" x14ac:dyDescent="0.25">
      <c r="A276" s="93" t="s">
        <v>239</v>
      </c>
      <c r="B276" s="94"/>
      <c r="C276" s="94"/>
      <c r="D276" s="94"/>
      <c r="E276" s="94"/>
      <c r="F276" s="94"/>
      <c r="G276" s="94"/>
      <c r="H276" s="94"/>
      <c r="I276" s="95"/>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c r="XFD276" s="1"/>
    </row>
    <row r="277" spans="1:151 16227:16384" s="11" customFormat="1" ht="20.25" x14ac:dyDescent="0.25">
      <c r="A277" s="80" t="str">
        <f>A276</f>
        <v xml:space="preserve">37th to 42nd &amp; 44th to 47th Floor </v>
      </c>
      <c r="B277" s="80"/>
      <c r="C277" s="80">
        <v>1</v>
      </c>
      <c r="D277" s="80"/>
      <c r="E277" s="20" t="s">
        <v>232</v>
      </c>
      <c r="F277" s="81">
        <f>70.71*10.764</f>
        <v>761.12243999999987</v>
      </c>
      <c r="G277" s="82"/>
      <c r="H277" s="20">
        <v>0</v>
      </c>
      <c r="I277" s="20">
        <f>F277*(($I$144)+1)+H277</f>
        <v>1217.7959039999998</v>
      </c>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c r="XFD277" s="1"/>
    </row>
    <row r="278" spans="1:151 16227:16384" s="11" customFormat="1" ht="20.25" x14ac:dyDescent="0.25">
      <c r="A278" s="80" t="str">
        <f t="shared" ref="A278:A284" si="62">A277</f>
        <v xml:space="preserve">37th to 42nd &amp; 44th to 47th Floor </v>
      </c>
      <c r="B278" s="80"/>
      <c r="C278" s="80">
        <v>2</v>
      </c>
      <c r="D278" s="80"/>
      <c r="E278" s="20" t="s">
        <v>232</v>
      </c>
      <c r="F278" s="81">
        <f>70.71*10.764</f>
        <v>761.12243999999987</v>
      </c>
      <c r="G278" s="82"/>
      <c r="H278" s="20">
        <v>0</v>
      </c>
      <c r="I278" s="20">
        <f t="shared" ref="I278:I284" si="63">F278*(($I$144)+1)+H278</f>
        <v>1217.7959039999998</v>
      </c>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c r="XFD278" s="1"/>
    </row>
    <row r="279" spans="1:151 16227:16384" s="11" customFormat="1" ht="20.25" x14ac:dyDescent="0.25">
      <c r="A279" s="80" t="str">
        <f t="shared" si="62"/>
        <v xml:space="preserve">37th to 42nd &amp; 44th to 47th Floor </v>
      </c>
      <c r="B279" s="80"/>
      <c r="C279" s="80">
        <v>3</v>
      </c>
      <c r="D279" s="80"/>
      <c r="E279" s="20" t="s">
        <v>228</v>
      </c>
      <c r="F279" s="81">
        <f>(53.24)*10.764</f>
        <v>573.07535999999993</v>
      </c>
      <c r="G279" s="82"/>
      <c r="H279" s="20">
        <v>0</v>
      </c>
      <c r="I279" s="20">
        <f t="shared" si="63"/>
        <v>916.92057599999998</v>
      </c>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c r="XFD279" s="1"/>
    </row>
    <row r="280" spans="1:151 16227:16384" s="11" customFormat="1" ht="20.25" customHeight="1" x14ac:dyDescent="0.25">
      <c r="A280" s="80" t="str">
        <f t="shared" si="62"/>
        <v xml:space="preserve">37th to 42nd &amp; 44th to 47th Floor </v>
      </c>
      <c r="B280" s="80"/>
      <c r="C280" s="80">
        <f t="shared" ref="C280:C281" si="64">C279+1</f>
        <v>4</v>
      </c>
      <c r="D280" s="80"/>
      <c r="E280" s="20" t="s">
        <v>228</v>
      </c>
      <c r="F280" s="81">
        <f>(53.24)*10.764</f>
        <v>573.07535999999993</v>
      </c>
      <c r="G280" s="82"/>
      <c r="H280" s="20">
        <v>0</v>
      </c>
      <c r="I280" s="20">
        <f t="shared" si="63"/>
        <v>916.92057599999998</v>
      </c>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c r="XFD280" s="1"/>
    </row>
    <row r="281" spans="1:151 16227:16384" s="11" customFormat="1" ht="20.25" customHeight="1" x14ac:dyDescent="0.25">
      <c r="A281" s="80" t="str">
        <f t="shared" si="62"/>
        <v xml:space="preserve">37th to 42nd &amp; 44th to 47th Floor </v>
      </c>
      <c r="B281" s="80"/>
      <c r="C281" s="80">
        <f t="shared" si="64"/>
        <v>5</v>
      </c>
      <c r="D281" s="80"/>
      <c r="E281" s="20" t="s">
        <v>228</v>
      </c>
      <c r="F281" s="81">
        <f>58.1*10.764</f>
        <v>625.38839999999993</v>
      </c>
      <c r="G281" s="82"/>
      <c r="H281" s="20">
        <v>0</v>
      </c>
      <c r="I281" s="20">
        <f t="shared" si="63"/>
        <v>1000.6214399999999</v>
      </c>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c r="XFD281" s="1"/>
    </row>
    <row r="282" spans="1:151 16227:16384" s="11" customFormat="1" ht="20.25" customHeight="1" x14ac:dyDescent="0.25">
      <c r="A282" s="80" t="str">
        <f t="shared" si="62"/>
        <v xml:space="preserve">37th to 42nd &amp; 44th to 47th Floor </v>
      </c>
      <c r="B282" s="80"/>
      <c r="C282" s="80">
        <v>6</v>
      </c>
      <c r="D282" s="80"/>
      <c r="E282" s="20" t="s">
        <v>228</v>
      </c>
      <c r="F282" s="81">
        <f>58.1*10.764</f>
        <v>625.38839999999993</v>
      </c>
      <c r="G282" s="82"/>
      <c r="H282" s="20">
        <v>0</v>
      </c>
      <c r="I282" s="20">
        <f t="shared" si="63"/>
        <v>1000.6214399999999</v>
      </c>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c r="XFD282" s="1"/>
    </row>
    <row r="283" spans="1:151 16227:16384" s="11" customFormat="1" ht="20.25" x14ac:dyDescent="0.25">
      <c r="A283" s="80" t="str">
        <f t="shared" si="62"/>
        <v xml:space="preserve">37th to 42nd &amp; 44th to 47th Floor </v>
      </c>
      <c r="B283" s="80"/>
      <c r="C283" s="80">
        <v>7</v>
      </c>
      <c r="D283" s="80"/>
      <c r="E283" s="20" t="s">
        <v>228</v>
      </c>
      <c r="F283" s="81">
        <f>(53.16)*10.764</f>
        <v>572.2142399999999</v>
      </c>
      <c r="G283" s="82"/>
      <c r="H283" s="20">
        <v>0</v>
      </c>
      <c r="I283" s="20">
        <f t="shared" si="63"/>
        <v>915.54278399999987</v>
      </c>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c r="XFD283" s="1"/>
    </row>
    <row r="284" spans="1:151 16227:16384" s="11" customFormat="1" ht="20.25" x14ac:dyDescent="0.25">
      <c r="A284" s="80" t="str">
        <f t="shared" si="62"/>
        <v xml:space="preserve">37th to 42nd &amp; 44th to 47th Floor </v>
      </c>
      <c r="B284" s="80"/>
      <c r="C284" s="80">
        <v>8</v>
      </c>
      <c r="D284" s="80"/>
      <c r="E284" s="20" t="s">
        <v>228</v>
      </c>
      <c r="F284" s="81">
        <f>(53.16)*10.764</f>
        <v>572.2142399999999</v>
      </c>
      <c r="G284" s="82"/>
      <c r="H284" s="20">
        <v>0</v>
      </c>
      <c r="I284" s="20">
        <f t="shared" si="63"/>
        <v>915.54278399999987</v>
      </c>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c r="XFD284" s="1"/>
    </row>
    <row r="285" spans="1:151 16227:16384" s="11" customFormat="1" ht="20.25" x14ac:dyDescent="0.25">
      <c r="A285" s="93" t="s">
        <v>244</v>
      </c>
      <c r="B285" s="94"/>
      <c r="C285" s="94"/>
      <c r="D285" s="94"/>
      <c r="E285" s="94"/>
      <c r="F285" s="94"/>
      <c r="G285" s="94"/>
      <c r="H285" s="94"/>
      <c r="I285" s="95"/>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c r="XFD285" s="1"/>
    </row>
    <row r="286" spans="1:151 16227:16384" s="11" customFormat="1" ht="20.25" x14ac:dyDescent="0.25">
      <c r="A286" s="80" t="str">
        <f>A285</f>
        <v>36th Floor (Part Refuge Area)</v>
      </c>
      <c r="B286" s="80"/>
      <c r="C286" s="80">
        <v>1</v>
      </c>
      <c r="D286" s="80"/>
      <c r="E286" s="20" t="s">
        <v>232</v>
      </c>
      <c r="F286" s="81">
        <f>70.71*10.764</f>
        <v>761.12243999999987</v>
      </c>
      <c r="G286" s="82"/>
      <c r="H286" s="20">
        <v>0</v>
      </c>
      <c r="I286" s="20">
        <f>F286*(($I$144)+1)+H286</f>
        <v>1217.7959039999998</v>
      </c>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c r="XFD286" s="1"/>
    </row>
    <row r="287" spans="1:151 16227:16384" s="11" customFormat="1" ht="20.25" x14ac:dyDescent="0.25">
      <c r="A287" s="80" t="str">
        <f t="shared" ref="A287:A293" si="65">A286</f>
        <v>36th Floor (Part Refuge Area)</v>
      </c>
      <c r="B287" s="80"/>
      <c r="C287" s="80">
        <v>2</v>
      </c>
      <c r="D287" s="80"/>
      <c r="E287" s="20" t="s">
        <v>232</v>
      </c>
      <c r="F287" s="81">
        <f>70.71*10.764</f>
        <v>761.12243999999987</v>
      </c>
      <c r="G287" s="82"/>
      <c r="H287" s="20">
        <v>0</v>
      </c>
      <c r="I287" s="20">
        <f t="shared" ref="I287:I289" si="66">F287*(($I$144)+1)+H287</f>
        <v>1217.7959039999998</v>
      </c>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c r="XFD287" s="1"/>
    </row>
    <row r="288" spans="1:151 16227:16384" s="11" customFormat="1" ht="20.25" x14ac:dyDescent="0.25">
      <c r="A288" s="80" t="str">
        <f t="shared" si="65"/>
        <v>36th Floor (Part Refuge Area)</v>
      </c>
      <c r="B288" s="80"/>
      <c r="C288" s="80">
        <v>3</v>
      </c>
      <c r="D288" s="80"/>
      <c r="E288" s="20" t="s">
        <v>228</v>
      </c>
      <c r="F288" s="81">
        <f>(53.24)*10.764</f>
        <v>573.07535999999993</v>
      </c>
      <c r="G288" s="82"/>
      <c r="H288" s="20">
        <v>0</v>
      </c>
      <c r="I288" s="20">
        <f t="shared" si="66"/>
        <v>916.92057599999998</v>
      </c>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c r="XFD288" s="1"/>
    </row>
    <row r="289" spans="1:151 16227:16384" s="11" customFormat="1" ht="20.25" x14ac:dyDescent="0.25">
      <c r="A289" s="80" t="str">
        <f t="shared" si="65"/>
        <v>36th Floor (Part Refuge Area)</v>
      </c>
      <c r="B289" s="80"/>
      <c r="C289" s="80">
        <v>4</v>
      </c>
      <c r="D289" s="80"/>
      <c r="E289" s="20" t="s">
        <v>228</v>
      </c>
      <c r="F289" s="81">
        <f>(53.24)*10.764</f>
        <v>573.07535999999993</v>
      </c>
      <c r="G289" s="82"/>
      <c r="H289" s="20">
        <v>0</v>
      </c>
      <c r="I289" s="20">
        <f t="shared" si="66"/>
        <v>916.92057599999998</v>
      </c>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c r="XFD289" s="1"/>
    </row>
    <row r="290" spans="1:151 16227:16384" s="11" customFormat="1" ht="20.25" customHeight="1" x14ac:dyDescent="0.25">
      <c r="A290" s="80" t="str">
        <f>A288</f>
        <v>36th Floor (Part Refuge Area)</v>
      </c>
      <c r="B290" s="80"/>
      <c r="C290" s="80">
        <v>5</v>
      </c>
      <c r="D290" s="80"/>
      <c r="E290" s="81" t="s">
        <v>235</v>
      </c>
      <c r="F290" s="83"/>
      <c r="G290" s="83"/>
      <c r="H290" s="83"/>
      <c r="I290" s="82"/>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c r="XFD290" s="1"/>
    </row>
    <row r="291" spans="1:151 16227:16384" s="11" customFormat="1" ht="20.25" customHeight="1" x14ac:dyDescent="0.25">
      <c r="A291" s="80" t="str">
        <f t="shared" si="65"/>
        <v>36th Floor (Part Refuge Area)</v>
      </c>
      <c r="B291" s="80"/>
      <c r="C291" s="80">
        <f t="shared" ref="C291" si="67">C290+1</f>
        <v>6</v>
      </c>
      <c r="D291" s="80"/>
      <c r="E291" s="81" t="s">
        <v>235</v>
      </c>
      <c r="F291" s="83"/>
      <c r="G291" s="83"/>
      <c r="H291" s="83"/>
      <c r="I291" s="82"/>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c r="XFD291" s="1"/>
    </row>
    <row r="292" spans="1:151 16227:16384" s="11" customFormat="1" ht="20.25" customHeight="1" x14ac:dyDescent="0.25">
      <c r="A292" s="80" t="str">
        <f t="shared" si="65"/>
        <v>36th Floor (Part Refuge Area)</v>
      </c>
      <c r="B292" s="80"/>
      <c r="C292" s="80">
        <v>7</v>
      </c>
      <c r="D292" s="80"/>
      <c r="E292" s="20" t="s">
        <v>228</v>
      </c>
      <c r="F292" s="81">
        <f>(53.16)*10.764</f>
        <v>572.2142399999999</v>
      </c>
      <c r="G292" s="82"/>
      <c r="H292" s="20">
        <v>0</v>
      </c>
      <c r="I292" s="20">
        <f t="shared" ref="I292:I293" si="68">F292*(($I$144)+1)+H292</f>
        <v>915.54278399999987</v>
      </c>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c r="XFD292" s="1"/>
    </row>
    <row r="293" spans="1:151 16227:16384" s="11" customFormat="1" ht="20.25" x14ac:dyDescent="0.25">
      <c r="A293" s="80" t="str">
        <f t="shared" si="65"/>
        <v>36th Floor (Part Refuge Area)</v>
      </c>
      <c r="B293" s="80"/>
      <c r="C293" s="80">
        <v>8</v>
      </c>
      <c r="D293" s="80"/>
      <c r="E293" s="20" t="s">
        <v>228</v>
      </c>
      <c r="F293" s="81">
        <f>(53.16)*10.764</f>
        <v>572.2142399999999</v>
      </c>
      <c r="G293" s="82"/>
      <c r="H293" s="20">
        <v>0</v>
      </c>
      <c r="I293" s="20">
        <f t="shared" si="68"/>
        <v>915.54278399999987</v>
      </c>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c r="XFD293" s="1"/>
    </row>
    <row r="294" spans="1:151 16227:16384" s="11" customFormat="1" ht="20.25" x14ac:dyDescent="0.25">
      <c r="A294" s="93" t="s">
        <v>246</v>
      </c>
      <c r="B294" s="94"/>
      <c r="C294" s="94"/>
      <c r="D294" s="94"/>
      <c r="E294" s="94"/>
      <c r="F294" s="94"/>
      <c r="G294" s="94"/>
      <c r="H294" s="94"/>
      <c r="I294" s="95"/>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c r="XFD294" s="1"/>
    </row>
    <row r="295" spans="1:151 16227:16384" s="11" customFormat="1" ht="20.25" x14ac:dyDescent="0.25">
      <c r="A295" s="80" t="str">
        <f>A294</f>
        <v>43rd Floor (Part Refuge Area)</v>
      </c>
      <c r="B295" s="80"/>
      <c r="C295" s="80">
        <v>1</v>
      </c>
      <c r="D295" s="80"/>
      <c r="E295" s="20" t="s">
        <v>232</v>
      </c>
      <c r="F295" s="81">
        <f>70.71*10.764</f>
        <v>761.12243999999987</v>
      </c>
      <c r="G295" s="82"/>
      <c r="H295" s="20">
        <v>0</v>
      </c>
      <c r="I295" s="20">
        <f>F295*(($I$144)+1)+H295</f>
        <v>1217.7959039999998</v>
      </c>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c r="XFD295" s="1"/>
    </row>
    <row r="296" spans="1:151 16227:16384" s="11" customFormat="1" ht="20.25" x14ac:dyDescent="0.25">
      <c r="A296" s="80" t="str">
        <f t="shared" ref="A296:A302" si="69">A295</f>
        <v>43rd Floor (Part Refuge Area)</v>
      </c>
      <c r="B296" s="80"/>
      <c r="C296" s="80">
        <v>2</v>
      </c>
      <c r="D296" s="80"/>
      <c r="E296" s="20" t="s">
        <v>232</v>
      </c>
      <c r="F296" s="81">
        <f>70.71*10.764</f>
        <v>761.12243999999987</v>
      </c>
      <c r="G296" s="82"/>
      <c r="H296" s="20">
        <v>0</v>
      </c>
      <c r="I296" s="20">
        <f t="shared" ref="I296:I298" si="70">F296*(($I$144)+1)+H296</f>
        <v>1217.7959039999998</v>
      </c>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c r="XFD296" s="1"/>
    </row>
    <row r="297" spans="1:151 16227:16384" s="11" customFormat="1" ht="20.25" x14ac:dyDescent="0.25">
      <c r="A297" s="80" t="str">
        <f t="shared" si="69"/>
        <v>43rd Floor (Part Refuge Area)</v>
      </c>
      <c r="B297" s="80"/>
      <c r="C297" s="80">
        <v>3</v>
      </c>
      <c r="D297" s="80"/>
      <c r="E297" s="20" t="s">
        <v>228</v>
      </c>
      <c r="F297" s="81">
        <f>(53.24)*10.764</f>
        <v>573.07535999999993</v>
      </c>
      <c r="G297" s="82"/>
      <c r="H297" s="20">
        <v>0</v>
      </c>
      <c r="I297" s="20">
        <f t="shared" si="70"/>
        <v>916.92057599999998</v>
      </c>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c r="XFD297" s="1"/>
    </row>
    <row r="298" spans="1:151 16227:16384" s="11" customFormat="1" ht="20.25" x14ac:dyDescent="0.25">
      <c r="A298" s="80" t="str">
        <f t="shared" si="69"/>
        <v>43rd Floor (Part Refuge Area)</v>
      </c>
      <c r="B298" s="80"/>
      <c r="C298" s="80">
        <v>4</v>
      </c>
      <c r="D298" s="80"/>
      <c r="E298" s="20" t="s">
        <v>228</v>
      </c>
      <c r="F298" s="81">
        <f>(53.24)*10.764</f>
        <v>573.07535999999993</v>
      </c>
      <c r="G298" s="82"/>
      <c r="H298" s="20">
        <v>0</v>
      </c>
      <c r="I298" s="20">
        <f t="shared" si="70"/>
        <v>916.92057599999998</v>
      </c>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c r="XFD298" s="1"/>
    </row>
    <row r="299" spans="1:151 16227:16384" s="11" customFormat="1" ht="20.25" customHeight="1" x14ac:dyDescent="0.25">
      <c r="A299" s="80" t="str">
        <f>A297</f>
        <v>43rd Floor (Part Refuge Area)</v>
      </c>
      <c r="B299" s="80"/>
      <c r="C299" s="80">
        <v>5</v>
      </c>
      <c r="D299" s="80"/>
      <c r="E299" s="81" t="s">
        <v>235</v>
      </c>
      <c r="F299" s="83"/>
      <c r="G299" s="83"/>
      <c r="H299" s="83"/>
      <c r="I299" s="82"/>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c r="XFD299" s="1"/>
    </row>
    <row r="300" spans="1:151 16227:16384" s="11" customFormat="1" ht="20.25" customHeight="1" x14ac:dyDescent="0.25">
      <c r="A300" s="80" t="str">
        <f t="shared" si="69"/>
        <v>43rd Floor (Part Refuge Area)</v>
      </c>
      <c r="B300" s="80"/>
      <c r="C300" s="80">
        <f t="shared" ref="C300" si="71">C299+1</f>
        <v>6</v>
      </c>
      <c r="D300" s="80"/>
      <c r="E300" s="81" t="s">
        <v>235</v>
      </c>
      <c r="F300" s="83"/>
      <c r="G300" s="83"/>
      <c r="H300" s="83"/>
      <c r="I300" s="82"/>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c r="XFD300" s="1"/>
    </row>
    <row r="301" spans="1:151 16227:16384" s="11" customFormat="1" ht="20.25" customHeight="1" x14ac:dyDescent="0.25">
      <c r="A301" s="80" t="str">
        <f t="shared" si="69"/>
        <v>43rd Floor (Part Refuge Area)</v>
      </c>
      <c r="B301" s="80"/>
      <c r="C301" s="80">
        <v>7</v>
      </c>
      <c r="D301" s="80"/>
      <c r="E301" s="20" t="s">
        <v>228</v>
      </c>
      <c r="F301" s="81">
        <f>(53.16)*10.764</f>
        <v>572.2142399999999</v>
      </c>
      <c r="G301" s="82"/>
      <c r="H301" s="20">
        <v>0</v>
      </c>
      <c r="I301" s="20">
        <f t="shared" ref="I301:I302" si="72">F301*(($I$144)+1)+H301</f>
        <v>915.54278399999987</v>
      </c>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c r="XFD301" s="1"/>
    </row>
    <row r="302" spans="1:151 16227:16384" s="11" customFormat="1" ht="20.25" x14ac:dyDescent="0.25">
      <c r="A302" s="80" t="str">
        <f t="shared" si="69"/>
        <v>43rd Floor (Part Refuge Area)</v>
      </c>
      <c r="B302" s="80"/>
      <c r="C302" s="80">
        <v>8</v>
      </c>
      <c r="D302" s="80"/>
      <c r="E302" s="20" t="s">
        <v>228</v>
      </c>
      <c r="F302" s="81">
        <f>(53.16)*10.764</f>
        <v>572.2142399999999</v>
      </c>
      <c r="G302" s="82"/>
      <c r="H302" s="20">
        <v>0</v>
      </c>
      <c r="I302" s="20">
        <f t="shared" si="72"/>
        <v>915.54278399999987</v>
      </c>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c r="XFD302" s="1"/>
    </row>
    <row r="303" spans="1:151 16227:16384" s="11" customFormat="1" ht="24" customHeight="1" x14ac:dyDescent="0.25">
      <c r="A303" s="103" t="s">
        <v>273</v>
      </c>
      <c r="B303" s="94"/>
      <c r="C303" s="94"/>
      <c r="D303" s="94"/>
      <c r="E303" s="94"/>
      <c r="F303" s="94"/>
      <c r="G303" s="94"/>
      <c r="H303" s="94"/>
      <c r="I303" s="95"/>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c r="XFD303" s="1"/>
    </row>
    <row r="304" spans="1:151 16227:16384" s="11" customFormat="1" ht="20.25" x14ac:dyDescent="0.25">
      <c r="A304" s="93" t="s">
        <v>255</v>
      </c>
      <c r="B304" s="94"/>
      <c r="C304" s="94"/>
      <c r="D304" s="94"/>
      <c r="E304" s="94"/>
      <c r="F304" s="94"/>
      <c r="G304" s="94"/>
      <c r="H304" s="94"/>
      <c r="I304" s="95"/>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c r="XFD304" s="1"/>
    </row>
    <row r="305" spans="1:151 16227:16384" s="11" customFormat="1" ht="20.25" x14ac:dyDescent="0.25">
      <c r="A305" s="93" t="s">
        <v>225</v>
      </c>
      <c r="B305" s="94"/>
      <c r="C305" s="94"/>
      <c r="D305" s="94"/>
      <c r="E305" s="94"/>
      <c r="F305" s="94"/>
      <c r="G305" s="94"/>
      <c r="H305" s="94"/>
      <c r="I305" s="95"/>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c r="XFD305" s="1"/>
    </row>
    <row r="306" spans="1:151 16227:16384" s="11" customFormat="1" ht="20.25" x14ac:dyDescent="0.25">
      <c r="A306" s="93" t="s">
        <v>226</v>
      </c>
      <c r="B306" s="94"/>
      <c r="C306" s="94"/>
      <c r="D306" s="94"/>
      <c r="E306" s="94"/>
      <c r="F306" s="94"/>
      <c r="G306" s="94"/>
      <c r="H306" s="94"/>
      <c r="I306" s="95"/>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c r="XFD306" s="1"/>
    </row>
    <row r="307" spans="1:151 16227:16384" s="11" customFormat="1" ht="20.25" x14ac:dyDescent="0.25">
      <c r="A307" s="93" t="s">
        <v>291</v>
      </c>
      <c r="B307" s="94"/>
      <c r="C307" s="94"/>
      <c r="D307" s="94"/>
      <c r="E307" s="94"/>
      <c r="F307" s="94"/>
      <c r="G307" s="94"/>
      <c r="H307" s="94"/>
      <c r="I307" s="95"/>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c r="XFD307" s="1"/>
    </row>
    <row r="308" spans="1:151 16227:16384" s="11" customFormat="1" ht="20.25" x14ac:dyDescent="0.25">
      <c r="A308" s="96" t="str">
        <f>A307</f>
        <v>1st Floor (Podium) For Part Residential  &amp; Parking</v>
      </c>
      <c r="B308" s="97"/>
      <c r="C308" s="80" t="s">
        <v>111</v>
      </c>
      <c r="D308" s="80"/>
      <c r="E308" s="81" t="s">
        <v>111</v>
      </c>
      <c r="F308" s="83"/>
      <c r="G308" s="83"/>
      <c r="H308" s="83"/>
      <c r="I308" s="82"/>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c r="XFD308" s="1"/>
    </row>
    <row r="309" spans="1:151 16227:16384" s="11" customFormat="1" ht="20.25" x14ac:dyDescent="0.25">
      <c r="A309" s="98"/>
      <c r="B309" s="99"/>
      <c r="C309" s="80" t="s">
        <v>256</v>
      </c>
      <c r="D309" s="80"/>
      <c r="E309" s="20" t="s">
        <v>228</v>
      </c>
      <c r="F309" s="81">
        <f>(3.05*5.3+2.1*2.75+3.05*3.05+3.2*3.35+2.28*1.38+1.38*2.1+2.55*1+0.75*1)*10.764</f>
        <v>552.26747159999991</v>
      </c>
      <c r="G309" s="82"/>
      <c r="H309" s="20">
        <v>0</v>
      </c>
      <c r="I309" s="20">
        <f>F309*(($I$144)+1)+H309</f>
        <v>883.62795455999992</v>
      </c>
      <c r="J309" s="1"/>
      <c r="K309" s="1">
        <f>3.05*5.3+2.1*2.75+3.05*3.05+3.2*3.35+2.28*1.38+1.38*2.1+2.55*1+0.75*1</f>
        <v>51.306899999999999</v>
      </c>
      <c r="L309" s="1">
        <f>K309*10.764</f>
        <v>552.26747159999991</v>
      </c>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c r="XFD309" s="1"/>
    </row>
    <row r="310" spans="1:151 16227:16384" s="11" customFormat="1" ht="20.25" x14ac:dyDescent="0.25">
      <c r="A310" s="100"/>
      <c r="B310" s="101"/>
      <c r="C310" s="80" t="s">
        <v>257</v>
      </c>
      <c r="D310" s="80"/>
      <c r="E310" s="20" t="s">
        <v>228</v>
      </c>
      <c r="F310" s="81">
        <f>(3.05*5.3+2.1*2.75+3.05*3.05+3.2*3.35+2.28*1.38+1.38*2.1+2.55*1+0.75*1)*10.764</f>
        <v>552.26747159999991</v>
      </c>
      <c r="G310" s="82"/>
      <c r="H310" s="20">
        <v>0</v>
      </c>
      <c r="I310" s="20">
        <f>F310*(($I$144)+1)+H310</f>
        <v>883.62795455999992</v>
      </c>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c r="XFD310" s="1"/>
    </row>
    <row r="311" spans="1:151 16227:16384" s="11" customFormat="1" ht="20.25" x14ac:dyDescent="0.25">
      <c r="A311" s="93" t="s">
        <v>292</v>
      </c>
      <c r="B311" s="94"/>
      <c r="C311" s="94"/>
      <c r="D311" s="94"/>
      <c r="E311" s="94"/>
      <c r="F311" s="94"/>
      <c r="G311" s="94"/>
      <c r="H311" s="94"/>
      <c r="I311" s="95"/>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c r="XFD311" s="1"/>
    </row>
    <row r="312" spans="1:151 16227:16384" s="11" customFormat="1" ht="20.25" customHeight="1" x14ac:dyDescent="0.25">
      <c r="A312" s="96" t="str">
        <f>A311</f>
        <v>2nd Floor (Podium) For Part Residential  &amp; Parking</v>
      </c>
      <c r="B312" s="97"/>
      <c r="C312" s="90" t="s">
        <v>258</v>
      </c>
      <c r="D312" s="90"/>
      <c r="E312" s="58" t="s">
        <v>228</v>
      </c>
      <c r="F312" s="91">
        <f>(2.82*1.05+3.05*3.35+2.45*3.05+3.05*6.4+3.05*3.65+2.33*1.38+0.9*1.4+0.9*1.55+1.38*2.28)*10.764</f>
        <v>649.28770919999999</v>
      </c>
      <c r="G312" s="92"/>
      <c r="H312" s="58">
        <v>0</v>
      </c>
      <c r="I312" s="58">
        <f>F312*(($I$144)+1)+H312</f>
        <v>1038.8603347200001</v>
      </c>
      <c r="J312" s="1"/>
      <c r="K312" s="1">
        <f>2.82*1.05+3.05*3.35+2.45*3.05+3.05*6.4+3.05*3.65+2.33*1.38+0.9*1.4+0.9*1.55+1.38*2.28</f>
        <v>60.320300000000003</v>
      </c>
      <c r="L312" s="1">
        <f>K312*10.764</f>
        <v>649.28770919999999</v>
      </c>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c r="XFD312" s="1"/>
    </row>
    <row r="313" spans="1:151 16227:16384" s="11" customFormat="1" ht="20.25" x14ac:dyDescent="0.25">
      <c r="A313" s="98" t="s">
        <v>256</v>
      </c>
      <c r="B313" s="99"/>
      <c r="C313" s="90" t="s">
        <v>256</v>
      </c>
      <c r="D313" s="90"/>
      <c r="E313" s="58" t="s">
        <v>228</v>
      </c>
      <c r="F313" s="91">
        <f t="shared" ref="F313:F314" si="73">(3.05*5.3+2.1*2.75+3.05*3.05+3.2*3.35+2.28*1.38+1.38*2.1+2.55*1+0.75*1)*10.764</f>
        <v>552.26747159999991</v>
      </c>
      <c r="G313" s="92"/>
      <c r="H313" s="58">
        <v>0</v>
      </c>
      <c r="I313" s="58">
        <f>F313*(($I$144)+1)+H313</f>
        <v>883.62795455999992</v>
      </c>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c r="XFD313" s="1"/>
    </row>
    <row r="314" spans="1:151 16227:16384" s="11" customFormat="1" ht="20.25" x14ac:dyDescent="0.25">
      <c r="A314" s="100" t="s">
        <v>257</v>
      </c>
      <c r="B314" s="101"/>
      <c r="C314" s="90" t="s">
        <v>257</v>
      </c>
      <c r="D314" s="90"/>
      <c r="E314" s="58" t="s">
        <v>228</v>
      </c>
      <c r="F314" s="91">
        <f t="shared" si="73"/>
        <v>552.26747159999991</v>
      </c>
      <c r="G314" s="92"/>
      <c r="H314" s="58">
        <v>0</v>
      </c>
      <c r="I314" s="58">
        <f>F314*(($I$144)+1)+H314</f>
        <v>883.62795455999992</v>
      </c>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c r="XFD314" s="1"/>
    </row>
    <row r="315" spans="1:151 16227:16384" s="11" customFormat="1" ht="20.25" x14ac:dyDescent="0.25">
      <c r="A315" s="87" t="s">
        <v>293</v>
      </c>
      <c r="B315" s="88"/>
      <c r="C315" s="88"/>
      <c r="D315" s="88"/>
      <c r="E315" s="88"/>
      <c r="F315" s="88"/>
      <c r="G315" s="88"/>
      <c r="H315" s="88"/>
      <c r="I315" s="89"/>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c r="XFD315" s="1"/>
    </row>
    <row r="316" spans="1:151 16227:16384" s="11" customFormat="1" ht="20.25" x14ac:dyDescent="0.25">
      <c r="A316" s="96" t="str">
        <f>A315</f>
        <v>3rd Floor (Podium)For Part Residential  &amp; Parking</v>
      </c>
      <c r="B316" s="97"/>
      <c r="C316" s="90" t="s">
        <v>258</v>
      </c>
      <c r="D316" s="90"/>
      <c r="E316" s="58" t="s">
        <v>233</v>
      </c>
      <c r="F316" s="91">
        <f>(2.85*1.05+3.05*3.35+2.45*3.05+3.05*6.4+3.05*3.65+2.33*1.38+0.9*1.4+0.9*1.55+1.38*2.28+3.05*3.35+2.33*1.38)*10.764</f>
        <v>794.21851079999999</v>
      </c>
      <c r="G316" s="92"/>
      <c r="H316" s="58">
        <v>0</v>
      </c>
      <c r="I316" s="58">
        <f>F316*(($I$144)+1)+H316</f>
        <v>1270.7496172800002</v>
      </c>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c r="XFD316" s="1"/>
    </row>
    <row r="317" spans="1:151 16227:16384" s="11" customFormat="1" ht="20.25" x14ac:dyDescent="0.25">
      <c r="A317" s="98" t="s">
        <v>256</v>
      </c>
      <c r="B317" s="99"/>
      <c r="C317" s="80" t="s">
        <v>256</v>
      </c>
      <c r="D317" s="80"/>
      <c r="E317" s="20" t="s">
        <v>228</v>
      </c>
      <c r="F317" s="81">
        <f t="shared" ref="F317:F318" si="74">(3.05*5.3+2.1*2.75+3.05*3.05+3.2*3.35+2.28*1.38+1.38*2.1+2.55*1+0.75*1)*10.764</f>
        <v>552.26747159999991</v>
      </c>
      <c r="G317" s="82"/>
      <c r="H317" s="20">
        <v>0</v>
      </c>
      <c r="I317" s="20">
        <f>F317*(($I$144)+1)+H317</f>
        <v>883.62795455999992</v>
      </c>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c r="XFD317" s="1"/>
    </row>
    <row r="318" spans="1:151 16227:16384" s="11" customFormat="1" ht="20.25" x14ac:dyDescent="0.25">
      <c r="A318" s="100" t="s">
        <v>257</v>
      </c>
      <c r="B318" s="101"/>
      <c r="C318" s="80" t="s">
        <v>257</v>
      </c>
      <c r="D318" s="80"/>
      <c r="E318" s="20" t="s">
        <v>228</v>
      </c>
      <c r="F318" s="81">
        <f t="shared" si="74"/>
        <v>552.26747159999991</v>
      </c>
      <c r="G318" s="82"/>
      <c r="H318" s="20">
        <v>0</v>
      </c>
      <c r="I318" s="20">
        <f>F318*(($I$144)+1)+H318</f>
        <v>883.62795455999992</v>
      </c>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c r="XFD318" s="1"/>
    </row>
    <row r="319" spans="1:151 16227:16384" s="11" customFormat="1" ht="20.25" x14ac:dyDescent="0.25">
      <c r="A319" s="87" t="s">
        <v>294</v>
      </c>
      <c r="B319" s="88"/>
      <c r="C319" s="88"/>
      <c r="D319" s="88"/>
      <c r="E319" s="88"/>
      <c r="F319" s="88"/>
      <c r="G319" s="88"/>
      <c r="H319" s="88"/>
      <c r="I319" s="89"/>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c r="XFD319" s="1"/>
    </row>
    <row r="320" spans="1:151 16227:16384" s="11" customFormat="1" ht="20.25" x14ac:dyDescent="0.25">
      <c r="A320" s="96" t="str">
        <f>A319</f>
        <v>4th Floor (Podium) For Part Residential  &amp; Parking</v>
      </c>
      <c r="B320" s="97"/>
      <c r="C320" s="90" t="s">
        <v>258</v>
      </c>
      <c r="D320" s="90"/>
      <c r="E320" s="58" t="s">
        <v>233</v>
      </c>
      <c r="F320" s="91">
        <f>(2.85*1.05+3.05*3.35+2.45*3.05+3.05*6.4+3.05*3.65+2.33*1.38+0.9*1.4+0.9*1.55+1.38*2.28+3.05*3.35+2.33*1.38)*10.764</f>
        <v>794.21851079999999</v>
      </c>
      <c r="G320" s="92"/>
      <c r="H320" s="58">
        <v>0</v>
      </c>
      <c r="I320" s="58">
        <f>F320*(($I$144)+1)+H320</f>
        <v>1270.7496172800002</v>
      </c>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c r="XFD320" s="1"/>
    </row>
    <row r="321" spans="1:151 16227:16384" s="11" customFormat="1" ht="20.25" x14ac:dyDescent="0.25">
      <c r="A321" s="98" t="s">
        <v>256</v>
      </c>
      <c r="B321" s="99"/>
      <c r="C321" s="80" t="s">
        <v>256</v>
      </c>
      <c r="D321" s="80"/>
      <c r="E321" s="20" t="s">
        <v>228</v>
      </c>
      <c r="F321" s="81">
        <f t="shared" ref="F321:F322" si="75">(3.05*5.3+2.1*2.75+3.05*3.05+3.2*3.35+2.28*1.38+1.38*2.1+2.55*1+0.75*1)*10.764</f>
        <v>552.26747159999991</v>
      </c>
      <c r="G321" s="82"/>
      <c r="H321" s="20">
        <v>0</v>
      </c>
      <c r="I321" s="20">
        <f>F321*(($I$144)+1)+H321</f>
        <v>883.62795455999992</v>
      </c>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c r="XFD321" s="1"/>
    </row>
    <row r="322" spans="1:151 16227:16384" s="11" customFormat="1" ht="20.25" x14ac:dyDescent="0.25">
      <c r="A322" s="100" t="s">
        <v>257</v>
      </c>
      <c r="B322" s="101"/>
      <c r="C322" s="80" t="s">
        <v>257</v>
      </c>
      <c r="D322" s="80"/>
      <c r="E322" s="20" t="s">
        <v>228</v>
      </c>
      <c r="F322" s="81">
        <f t="shared" si="75"/>
        <v>552.26747159999991</v>
      </c>
      <c r="G322" s="82"/>
      <c r="H322" s="20">
        <v>0</v>
      </c>
      <c r="I322" s="20">
        <f>F322*(($I$144)+1)+H322</f>
        <v>883.62795455999992</v>
      </c>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c r="XFD322" s="1"/>
    </row>
    <row r="323" spans="1:151 16227:16384" s="11" customFormat="1" ht="20.25" customHeight="1" x14ac:dyDescent="0.25">
      <c r="A323" s="93" t="s">
        <v>295</v>
      </c>
      <c r="B323" s="94"/>
      <c r="C323" s="94"/>
      <c r="D323" s="94"/>
      <c r="E323" s="94"/>
      <c r="F323" s="94"/>
      <c r="G323" s="94"/>
      <c r="H323" s="94"/>
      <c r="I323" s="102"/>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c r="XFD323" s="1"/>
    </row>
    <row r="324" spans="1:151 16227:16384" s="11" customFormat="1" ht="20.25" x14ac:dyDescent="0.25">
      <c r="A324" s="96" t="str">
        <f>A323</f>
        <v>5th to 7th, 9th to 14th,16th to 21st, 23rd &amp; 24th Floor For Residential</v>
      </c>
      <c r="B324" s="97"/>
      <c r="C324" s="90" t="s">
        <v>258</v>
      </c>
      <c r="D324" s="90"/>
      <c r="E324" s="20" t="s">
        <v>233</v>
      </c>
      <c r="F324" s="91">
        <f>(2.85*1.05+3.05*3.35+2.45*3.05+3.05*6.4+3.05*3.65+2.33*1.38+0.9*1.4+0.9*1.55+1.38*2.28+3.05*3.35+2.33*1.38)*10.764</f>
        <v>794.21851079999999</v>
      </c>
      <c r="G324" s="92"/>
      <c r="H324" s="20">
        <v>0</v>
      </c>
      <c r="I324" s="20">
        <f>F324*(($I$144)+1)+H324</f>
        <v>1270.7496172800002</v>
      </c>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c r="XFD324" s="1"/>
    </row>
    <row r="325" spans="1:151 16227:16384" s="11" customFormat="1" ht="20.25" x14ac:dyDescent="0.25">
      <c r="A325" s="98" t="s">
        <v>256</v>
      </c>
      <c r="B325" s="99"/>
      <c r="C325" s="80" t="s">
        <v>256</v>
      </c>
      <c r="D325" s="80"/>
      <c r="E325" s="20" t="s">
        <v>228</v>
      </c>
      <c r="F325" s="81">
        <f t="shared" ref="F325:F326" si="76">(3.05*5.3+2.1*2.75+3.05*3.05+3.2*3.35+2.28*1.38+1.38*2.1+2.55*1+0.75*1)*10.764</f>
        <v>552.26747159999991</v>
      </c>
      <c r="G325" s="82"/>
      <c r="H325" s="20">
        <v>0</v>
      </c>
      <c r="I325" s="20">
        <f>F325*(($I$144)+1)+H325</f>
        <v>883.62795455999992</v>
      </c>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c r="XFD325" s="1"/>
    </row>
    <row r="326" spans="1:151 16227:16384" s="11" customFormat="1" ht="20.25" x14ac:dyDescent="0.25">
      <c r="A326" s="98" t="s">
        <v>257</v>
      </c>
      <c r="B326" s="99"/>
      <c r="C326" s="80" t="s">
        <v>257</v>
      </c>
      <c r="D326" s="80"/>
      <c r="E326" s="20" t="s">
        <v>228</v>
      </c>
      <c r="F326" s="81">
        <f t="shared" si="76"/>
        <v>552.26747159999991</v>
      </c>
      <c r="G326" s="82"/>
      <c r="H326" s="20">
        <v>0</v>
      </c>
      <c r="I326" s="20">
        <f>F326*(($I$144)+1)+H326</f>
        <v>883.62795455999992</v>
      </c>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c r="XFD326" s="1"/>
    </row>
    <row r="327" spans="1:151 16227:16384" s="11" customFormat="1" ht="20.25" x14ac:dyDescent="0.25">
      <c r="A327" s="98" t="s">
        <v>259</v>
      </c>
      <c r="B327" s="99"/>
      <c r="C327" s="81" t="s">
        <v>259</v>
      </c>
      <c r="D327" s="82"/>
      <c r="E327" s="20" t="s">
        <v>232</v>
      </c>
      <c r="F327" s="81">
        <f>(2.55*1+3.05*2.45+3.05*5.95+2.55*3.35+3.05*3.05+3.08*3.35+2.28*1.38+1.38*2.23+2.65*1+0.85*1)*10.764</f>
        <v>711.03539519999993</v>
      </c>
      <c r="G327" s="82"/>
      <c r="H327" s="20">
        <v>0</v>
      </c>
      <c r="I327" s="20">
        <f>F327*(($I$144)+1)+H327</f>
        <v>1137.65663232</v>
      </c>
      <c r="J327" s="1"/>
      <c r="K327" s="1">
        <f>2.55*1+3.05*2.45+3.05*5.95+2.55*3.35+3.05*3.05+3.08*3.35+2.28*1.38+1.38*2.23+2.65*1+0.85*1</f>
        <v>66.056799999999996</v>
      </c>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c r="XFD327" s="1"/>
    </row>
    <row r="328" spans="1:151 16227:16384" s="11" customFormat="1" ht="20.25" x14ac:dyDescent="0.25">
      <c r="A328" s="100" t="s">
        <v>260</v>
      </c>
      <c r="B328" s="101"/>
      <c r="C328" s="81" t="s">
        <v>260</v>
      </c>
      <c r="D328" s="82"/>
      <c r="E328" s="20" t="s">
        <v>232</v>
      </c>
      <c r="F328" s="81">
        <f>(1.2*1.25+1.05*1.3+3.05*2.45+3.05*5.95+2.45*2.7+3.35*3.65+1.38*2.28+3.35*3.05+2.15*1.38+1.13*0.6+3.75*1)*10.764</f>
        <v>732.88200959999995</v>
      </c>
      <c r="G328" s="82"/>
      <c r="H328" s="20">
        <v>0</v>
      </c>
      <c r="I328" s="20">
        <f>F328*(($I$144)+1)+H328</f>
        <v>1172.61121536</v>
      </c>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c r="XFD328" s="1"/>
    </row>
    <row r="329" spans="1:151 16227:16384" s="11" customFormat="1" ht="20.25" x14ac:dyDescent="0.25">
      <c r="A329" s="93" t="s">
        <v>284</v>
      </c>
      <c r="B329" s="94"/>
      <c r="C329" s="94"/>
      <c r="D329" s="94"/>
      <c r="E329" s="94"/>
      <c r="F329" s="94"/>
      <c r="G329" s="94"/>
      <c r="H329" s="94"/>
      <c r="I329" s="95"/>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c r="XFD329" s="1"/>
    </row>
    <row r="330" spans="1:151 16227:16384" s="11" customFormat="1" ht="20.25" x14ac:dyDescent="0.25">
      <c r="A330" s="96" t="str">
        <f>A329</f>
        <v>8th, 15th &amp; 22nd Floor (Part Refuge Area)</v>
      </c>
      <c r="B330" s="97"/>
      <c r="C330" s="90" t="s">
        <v>258</v>
      </c>
      <c r="D330" s="90"/>
      <c r="E330" s="20" t="s">
        <v>233</v>
      </c>
      <c r="F330" s="91">
        <f>(2.85*1.05+3.05*3.35+2.45*3.05+3.05*6.4+3.05*3.65+2.33*1.38+0.9*1.4+0.9*1.55+1.38*2.28+3.05*3.35+2.33*1.38)*10.764</f>
        <v>794.21851079999999</v>
      </c>
      <c r="G330" s="92"/>
      <c r="H330" s="20">
        <v>0</v>
      </c>
      <c r="I330" s="20">
        <f>F330*(($I$144)+1)+H330</f>
        <v>1270.7496172800002</v>
      </c>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c r="XFD330" s="1"/>
    </row>
    <row r="331" spans="1:151 16227:16384" s="11" customFormat="1" ht="20.25" x14ac:dyDescent="0.25">
      <c r="A331" s="98" t="s">
        <v>256</v>
      </c>
      <c r="B331" s="99"/>
      <c r="C331" s="80" t="s">
        <v>256</v>
      </c>
      <c r="D331" s="80"/>
      <c r="E331" s="96" t="s">
        <v>235</v>
      </c>
      <c r="F331" s="104"/>
      <c r="G331" s="104"/>
      <c r="H331" s="104"/>
      <c r="I331" s="97"/>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c r="XFD331" s="1"/>
    </row>
    <row r="332" spans="1:151 16227:16384" s="11" customFormat="1" ht="20.25" x14ac:dyDescent="0.25">
      <c r="A332" s="98" t="s">
        <v>257</v>
      </c>
      <c r="B332" s="99"/>
      <c r="C332" s="80" t="s">
        <v>257</v>
      </c>
      <c r="D332" s="80"/>
      <c r="E332" s="100"/>
      <c r="F332" s="105"/>
      <c r="G332" s="105"/>
      <c r="H332" s="105"/>
      <c r="I332" s="10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c r="XFD332" s="1"/>
    </row>
    <row r="333" spans="1:151 16227:16384" s="11" customFormat="1" ht="20.25" x14ac:dyDescent="0.25">
      <c r="A333" s="98" t="s">
        <v>259</v>
      </c>
      <c r="B333" s="99"/>
      <c r="C333" s="81" t="s">
        <v>259</v>
      </c>
      <c r="D333" s="82"/>
      <c r="E333" s="20" t="s">
        <v>232</v>
      </c>
      <c r="F333" s="81">
        <f>(2.55*1+3.05*2.45+3.05*5.95+2.55*3.35+3.05*3.05+3.08*3.35+2.28*1.38+1.38*2.23+2.65*1+0.85*1)*10.764</f>
        <v>711.03539519999993</v>
      </c>
      <c r="G333" s="82"/>
      <c r="H333" s="20">
        <v>0</v>
      </c>
      <c r="I333" s="20">
        <f>F333*(($I$144)+1)+H333</f>
        <v>1137.65663232</v>
      </c>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c r="XFD333" s="1"/>
    </row>
    <row r="334" spans="1:151 16227:16384" s="11" customFormat="1" ht="20.25" x14ac:dyDescent="0.25">
      <c r="A334" s="100" t="s">
        <v>260</v>
      </c>
      <c r="B334" s="101"/>
      <c r="C334" s="81" t="s">
        <v>260</v>
      </c>
      <c r="D334" s="82"/>
      <c r="E334" s="20" t="s">
        <v>232</v>
      </c>
      <c r="F334" s="81">
        <f>(1.2*1.25+1.05*1.3+3.05*2.45+3.05*5.95+2.45*2.7+3.35*3.65+1.38*2.28+3.35*3.05+2.15*1.38+1.13*0.6+3.75*1)*10.764</f>
        <v>732.88200959999995</v>
      </c>
      <c r="G334" s="82"/>
      <c r="H334" s="20">
        <v>0</v>
      </c>
      <c r="I334" s="20">
        <f>F334*(($I$144)+1)+H334</f>
        <v>1172.61121536</v>
      </c>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c r="XFD334" s="1"/>
    </row>
    <row r="335" spans="1:151 16227:16384" s="11" customFormat="1" ht="20.25" customHeight="1" x14ac:dyDescent="0.25">
      <c r="A335" s="93" t="s">
        <v>285</v>
      </c>
      <c r="B335" s="94"/>
      <c r="C335" s="94"/>
      <c r="D335" s="94"/>
      <c r="E335" s="94"/>
      <c r="F335" s="94"/>
      <c r="G335" s="94"/>
      <c r="H335" s="94"/>
      <c r="I335" s="102"/>
      <c r="J335" s="1"/>
      <c r="K335" s="1" t="s">
        <v>287</v>
      </c>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c r="XFD335" s="1"/>
    </row>
    <row r="336" spans="1:151 16227:16384" s="11" customFormat="1" ht="20.25" x14ac:dyDescent="0.25">
      <c r="A336" s="96" t="str">
        <f>A335</f>
        <v>25th to 28th, 30th to 32nd Floor</v>
      </c>
      <c r="B336" s="97"/>
      <c r="C336" s="90" t="s">
        <v>258</v>
      </c>
      <c r="D336" s="90"/>
      <c r="E336" s="20" t="s">
        <v>233</v>
      </c>
      <c r="F336" s="91">
        <f>(2.85*1.05+3.05*3.35+2.45*3.05+3.05*6.4+3.05*3.65+2.33*1.38+0.9*1.4+0.9*1.55+1.38*2.28+3.05*3.35+2.33*1.38+2.47*1.38)*10.764</f>
        <v>830.90868119999993</v>
      </c>
      <c r="G336" s="92"/>
      <c r="H336" s="20">
        <v>0</v>
      </c>
      <c r="I336" s="20">
        <f>F336*(($I$144)+1)+H336</f>
        <v>1329.4538899199999</v>
      </c>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c r="XFD336" s="1"/>
    </row>
    <row r="337" spans="1:151 16227:16384" s="11" customFormat="1" ht="20.25" x14ac:dyDescent="0.25">
      <c r="A337" s="98" t="s">
        <v>256</v>
      </c>
      <c r="B337" s="99"/>
      <c r="C337" s="80" t="s">
        <v>256</v>
      </c>
      <c r="D337" s="80"/>
      <c r="E337" s="20" t="s">
        <v>228</v>
      </c>
      <c r="F337" s="81">
        <f t="shared" ref="F337:F338" si="77">(3.05*5.3+2.1*2.75+3.05*3.05+3.2*3.35+2.28*1.38+1.38*2.1+2.55*1+0.75*1)*10.764</f>
        <v>552.26747159999991</v>
      </c>
      <c r="G337" s="82"/>
      <c r="H337" s="20">
        <v>0</v>
      </c>
      <c r="I337" s="20">
        <f>F337*(($I$144)+1)+H337</f>
        <v>883.62795455999992</v>
      </c>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c r="XFD337" s="1"/>
    </row>
    <row r="338" spans="1:151 16227:16384" s="11" customFormat="1" ht="20.25" x14ac:dyDescent="0.25">
      <c r="A338" s="98" t="s">
        <v>257</v>
      </c>
      <c r="B338" s="99"/>
      <c r="C338" s="80" t="s">
        <v>257</v>
      </c>
      <c r="D338" s="80"/>
      <c r="E338" s="20" t="s">
        <v>228</v>
      </c>
      <c r="F338" s="81">
        <f t="shared" si="77"/>
        <v>552.26747159999991</v>
      </c>
      <c r="G338" s="82"/>
      <c r="H338" s="20">
        <v>0</v>
      </c>
      <c r="I338" s="20">
        <f>F338*(($I$144)+1)+H338</f>
        <v>883.62795455999992</v>
      </c>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c r="XFD338" s="1"/>
    </row>
    <row r="339" spans="1:151 16227:16384" s="11" customFormat="1" ht="20.25" x14ac:dyDescent="0.25">
      <c r="A339" s="98" t="s">
        <v>259</v>
      </c>
      <c r="B339" s="99"/>
      <c r="C339" s="81" t="s">
        <v>259</v>
      </c>
      <c r="D339" s="82"/>
      <c r="E339" s="20" t="s">
        <v>232</v>
      </c>
      <c r="F339" s="81">
        <f>(2.55*1+3.05*2.45+3.05*5.95+2.55*3.35+3.05*3.05+3.08*3.35+2.28*1.38+1.38*2.23+2.65*1+0.85*1+2.2*1.38)*10.764</f>
        <v>743.71489919999988</v>
      </c>
      <c r="G339" s="82"/>
      <c r="H339" s="20">
        <v>0</v>
      </c>
      <c r="I339" s="20">
        <f>F339*(($I$144)+1)+H339</f>
        <v>1189.9438387199998</v>
      </c>
      <c r="J339" s="1"/>
      <c r="K339" s="1">
        <f>2.55*1+3.05*2.45+3.05*5.95+2.55*3.35+3.05*3.05+3.08*3.35+2.28*1.38+1.38*2.23+2.65*1+0.85*1</f>
        <v>66.056799999999996</v>
      </c>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c r="XFD339" s="1"/>
    </row>
    <row r="340" spans="1:151 16227:16384" s="11" customFormat="1" ht="20.25" x14ac:dyDescent="0.25">
      <c r="A340" s="100" t="s">
        <v>260</v>
      </c>
      <c r="B340" s="101"/>
      <c r="C340" s="81" t="s">
        <v>260</v>
      </c>
      <c r="D340" s="82"/>
      <c r="E340" s="20" t="s">
        <v>232</v>
      </c>
      <c r="F340" s="81">
        <f>(1.2*1.25+1.05*1.3+3.05*2.45+3.05*5.95+2.45*2.7+3.35*3.65+1.38*2.28+3.35*3.05+2.15*1.38+1.13*0.6+3.75*1+2.17*1.38)*10.764</f>
        <v>765.11588399999994</v>
      </c>
      <c r="G340" s="82"/>
      <c r="H340" s="20">
        <v>0</v>
      </c>
      <c r="I340" s="20">
        <f>F340*(($I$144)+1)+H340</f>
        <v>1224.1854143999999</v>
      </c>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c r="XFD340" s="1"/>
    </row>
    <row r="341" spans="1:151 16227:16384" s="11" customFormat="1" ht="20.25" customHeight="1" x14ac:dyDescent="0.25">
      <c r="A341" s="93" t="s">
        <v>286</v>
      </c>
      <c r="B341" s="94"/>
      <c r="C341" s="94"/>
      <c r="D341" s="94"/>
      <c r="E341" s="94"/>
      <c r="F341" s="94"/>
      <c r="G341" s="94"/>
      <c r="H341" s="94"/>
      <c r="I341" s="102"/>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c r="XFD341" s="1"/>
    </row>
    <row r="342" spans="1:151 16227:16384" s="11" customFormat="1" ht="20.25" x14ac:dyDescent="0.25">
      <c r="A342" s="96" t="str">
        <f>A341</f>
        <v>29th Floor (Part Refuge Area)</v>
      </c>
      <c r="B342" s="97"/>
      <c r="C342" s="90" t="s">
        <v>258</v>
      </c>
      <c r="D342" s="90"/>
      <c r="E342" s="20" t="s">
        <v>233</v>
      </c>
      <c r="F342" s="91">
        <f>(2.85*1.05+3.05*3.35+2.45*3.05+3.05*6.4+3.05*3.65+2.33*1.38+0.9*1.4+0.9*1.55+1.38*2.28+3.05*3.35+2.33*1.38+2.47*1.38)*10.764</f>
        <v>830.90868119999993</v>
      </c>
      <c r="G342" s="92"/>
      <c r="H342" s="20">
        <v>0</v>
      </c>
      <c r="I342" s="20">
        <f>F342*(($I$144)+1)+H342</f>
        <v>1329.4538899199999</v>
      </c>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c r="XFD342" s="1"/>
    </row>
    <row r="343" spans="1:151 16227:16384" s="11" customFormat="1" ht="20.25" x14ac:dyDescent="0.25">
      <c r="A343" s="98" t="s">
        <v>256</v>
      </c>
      <c r="B343" s="99"/>
      <c r="C343" s="80" t="s">
        <v>256</v>
      </c>
      <c r="D343" s="80"/>
      <c r="E343" s="20" t="s">
        <v>228</v>
      </c>
      <c r="F343" s="81">
        <f t="shared" ref="F343:F344" si="78">(3.05*5.3+2.1*2.75+3.05*3.05+3.2*3.35+2.28*1.38+1.38*2.1+2.55*1+0.75*1)*10.764</f>
        <v>552.26747159999991</v>
      </c>
      <c r="G343" s="82"/>
      <c r="H343" s="20">
        <v>0</v>
      </c>
      <c r="I343" s="20">
        <f>F343*(($I$144)+1)+H343</f>
        <v>883.62795455999992</v>
      </c>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c r="XFD343" s="1"/>
    </row>
    <row r="344" spans="1:151 16227:16384" s="11" customFormat="1" ht="20.25" x14ac:dyDescent="0.25">
      <c r="A344" s="98" t="s">
        <v>257</v>
      </c>
      <c r="B344" s="99"/>
      <c r="C344" s="80" t="s">
        <v>257</v>
      </c>
      <c r="D344" s="80"/>
      <c r="E344" s="20" t="s">
        <v>228</v>
      </c>
      <c r="F344" s="81">
        <f t="shared" si="78"/>
        <v>552.26747159999991</v>
      </c>
      <c r="G344" s="82"/>
      <c r="H344" s="20">
        <v>0</v>
      </c>
      <c r="I344" s="20">
        <f>F344*(($I$144)+1)+H344</f>
        <v>883.62795455999992</v>
      </c>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c r="XFD344" s="1"/>
    </row>
    <row r="345" spans="1:151 16227:16384" s="11" customFormat="1" ht="20.25" x14ac:dyDescent="0.25">
      <c r="A345" s="98" t="s">
        <v>259</v>
      </c>
      <c r="B345" s="99"/>
      <c r="C345" s="81" t="s">
        <v>259</v>
      </c>
      <c r="D345" s="82"/>
      <c r="E345" s="20" t="s">
        <v>232</v>
      </c>
      <c r="F345" s="81">
        <f>(2.55*1+3.05*2.45+3.05*5.95+2.55*3.35+3.05*3.05+3.08*3.35+2.28*1.38+1.38*2.23+2.65*1+0.85*1+2.2*1.38)*10.764</f>
        <v>743.71489919999988</v>
      </c>
      <c r="G345" s="82"/>
      <c r="H345" s="20">
        <v>0</v>
      </c>
      <c r="I345" s="20">
        <f>F345*(($I$144)+1)+H345</f>
        <v>1189.9438387199998</v>
      </c>
      <c r="J345" s="1"/>
      <c r="K345" s="1">
        <f>2.55*1+3.05*2.45+3.05*5.95+2.55*3.35+3.05*3.05+3.08*3.35+2.28*1.38+1.38*2.23+2.65*1+0.85*1</f>
        <v>66.056799999999996</v>
      </c>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c r="XFD345" s="1"/>
    </row>
    <row r="346" spans="1:151 16227:16384" s="11" customFormat="1" ht="20.25" x14ac:dyDescent="0.25">
      <c r="A346" s="100" t="s">
        <v>260</v>
      </c>
      <c r="B346" s="101"/>
      <c r="C346" s="81" t="s">
        <v>260</v>
      </c>
      <c r="D346" s="82"/>
      <c r="E346" s="20" t="s">
        <v>232</v>
      </c>
      <c r="F346" s="81">
        <f>(1.2*1.25+1.05*1.3+3.05*2.45+3.05*5.95+2.45*2.7+3.35*3.65+1.38*2.28+3.35*3.05+2.15*1.38+1.13*0.6+3.75*1+2.17*1.38)*10.764</f>
        <v>765.11588399999994</v>
      </c>
      <c r="G346" s="82"/>
      <c r="H346" s="20">
        <v>0</v>
      </c>
      <c r="I346" s="20">
        <f>F346*(($I$144)+1)+H346</f>
        <v>1224.1854143999999</v>
      </c>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c r="XFD346" s="1"/>
    </row>
    <row r="347" spans="1:151 16227:16384" s="11" customFormat="1" ht="20.25" x14ac:dyDescent="0.25">
      <c r="A347" s="93" t="s">
        <v>254</v>
      </c>
      <c r="B347" s="94"/>
      <c r="C347" s="94"/>
      <c r="D347" s="94"/>
      <c r="E347" s="94"/>
      <c r="F347" s="94"/>
      <c r="G347" s="94"/>
      <c r="H347" s="94"/>
      <c r="I347" s="95"/>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c r="XFD347" s="1"/>
    </row>
    <row r="348" spans="1:151 16227:16384" s="11" customFormat="1" ht="20.25" x14ac:dyDescent="0.25">
      <c r="A348" s="93" t="s">
        <v>225</v>
      </c>
      <c r="B348" s="94"/>
      <c r="C348" s="94"/>
      <c r="D348" s="94"/>
      <c r="E348" s="94"/>
      <c r="F348" s="94"/>
      <c r="G348" s="94"/>
      <c r="H348" s="94"/>
      <c r="I348" s="95"/>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c r="XFD348" s="1"/>
    </row>
    <row r="349" spans="1:151 16227:16384" s="11" customFormat="1" ht="20.25" x14ac:dyDescent="0.25">
      <c r="A349" s="93" t="s">
        <v>226</v>
      </c>
      <c r="B349" s="94"/>
      <c r="C349" s="94"/>
      <c r="D349" s="94"/>
      <c r="E349" s="94"/>
      <c r="F349" s="94"/>
      <c r="G349" s="94"/>
      <c r="H349" s="94"/>
      <c r="I349" s="95"/>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c r="XFD349" s="1"/>
    </row>
    <row r="350" spans="1:151 16227:16384" s="11" customFormat="1" ht="20.25" x14ac:dyDescent="0.25">
      <c r="A350" s="93" t="s">
        <v>291</v>
      </c>
      <c r="B350" s="94"/>
      <c r="C350" s="94"/>
      <c r="D350" s="94"/>
      <c r="E350" s="94"/>
      <c r="F350" s="94"/>
      <c r="G350" s="94"/>
      <c r="H350" s="94"/>
      <c r="I350" s="95"/>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c r="XFD350" s="1"/>
    </row>
    <row r="351" spans="1:151 16227:16384" s="11" customFormat="1" ht="20.25" customHeight="1" x14ac:dyDescent="0.25">
      <c r="A351" s="96" t="str">
        <f>A350</f>
        <v>1st Floor (Podium) For Part Residential  &amp; Parking</v>
      </c>
      <c r="B351" s="97"/>
      <c r="C351" s="80" t="s">
        <v>263</v>
      </c>
      <c r="D351" s="80"/>
      <c r="E351" s="20" t="s">
        <v>228</v>
      </c>
      <c r="F351" s="81">
        <f>(3.05*5.65+2.1*3.05+3.05*3.05+3.2*3.65+2.28*1.38+2.25*1.38+1.98*1+3.53*1)*10.764</f>
        <v>606.88938959999984</v>
      </c>
      <c r="G351" s="82"/>
      <c r="H351" s="20">
        <v>0</v>
      </c>
      <c r="I351" s="20">
        <f t="shared" ref="I351" si="79">F351*(($I$144)+1)+H351</f>
        <v>971.0230233599998</v>
      </c>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c r="XFD351" s="1"/>
    </row>
    <row r="352" spans="1:151 16227:16384" s="11" customFormat="1" ht="20.25" x14ac:dyDescent="0.25">
      <c r="A352" s="100"/>
      <c r="B352" s="101"/>
      <c r="C352" s="80" t="s">
        <v>262</v>
      </c>
      <c r="D352" s="80"/>
      <c r="E352" s="20" t="s">
        <v>228</v>
      </c>
      <c r="F352" s="81">
        <f>(3.05*5.65+2.1*3.05+3.05*3.05+3.2*3.65+2.28*1.38+2.25*1.38+1.98*1+3.53*1)*10.764</f>
        <v>606.88938959999984</v>
      </c>
      <c r="G352" s="82"/>
      <c r="H352" s="20">
        <v>0</v>
      </c>
      <c r="I352" s="20">
        <f>F352*(($I$144)+1)+H352</f>
        <v>971.0230233599998</v>
      </c>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c r="XFD352" s="1"/>
    </row>
    <row r="353" spans="1:151 16227:16384" s="11" customFormat="1" ht="20.25" x14ac:dyDescent="0.25">
      <c r="A353" s="93" t="s">
        <v>292</v>
      </c>
      <c r="B353" s="94"/>
      <c r="C353" s="94"/>
      <c r="D353" s="94"/>
      <c r="E353" s="94"/>
      <c r="F353" s="94"/>
      <c r="G353" s="94"/>
      <c r="H353" s="94"/>
      <c r="I353" s="95"/>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c r="XEW353" s="1"/>
      <c r="XEX353" s="1"/>
      <c r="XEY353" s="1"/>
      <c r="XEZ353" s="1"/>
      <c r="XFA353" s="1"/>
      <c r="XFB353" s="1"/>
      <c r="XFC353" s="1"/>
      <c r="XFD353" s="1"/>
    </row>
    <row r="354" spans="1:151 16227:16384" s="11" customFormat="1" ht="20.25" x14ac:dyDescent="0.25">
      <c r="A354" s="96" t="str">
        <f>A353</f>
        <v>2nd Floor (Podium) For Part Residential  &amp; Parking</v>
      </c>
      <c r="B354" s="97"/>
      <c r="C354" s="80" t="s">
        <v>264</v>
      </c>
      <c r="D354" s="80"/>
      <c r="E354" s="20" t="s">
        <v>232</v>
      </c>
      <c r="F354" s="81">
        <f>(2.75*1.05+2.45*3.05+3.05*3.05+3.05*6.4+3.05*3.65+1.28*1.28+1.08*0.91+2.2*1.38+3.05*3.35+1.28*1.38+1.08*0.91+1.2*1.1)*10.764</f>
        <v>756.26679959999979</v>
      </c>
      <c r="G354" s="82"/>
      <c r="H354" s="20">
        <v>0</v>
      </c>
      <c r="I354" s="20">
        <f>F354*(($I$144)+1)+H354</f>
        <v>1210.0268793599996</v>
      </c>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c r="XEW354" s="1"/>
      <c r="XEX354" s="1"/>
      <c r="XEY354" s="1"/>
      <c r="XEZ354" s="1"/>
      <c r="XFA354" s="1"/>
      <c r="XFB354" s="1"/>
      <c r="XFC354" s="1"/>
      <c r="XFD354" s="1"/>
    </row>
    <row r="355" spans="1:151 16227:16384" s="11" customFormat="1" ht="20.25" x14ac:dyDescent="0.25">
      <c r="A355" s="98"/>
      <c r="B355" s="99"/>
      <c r="C355" s="80" t="s">
        <v>263</v>
      </c>
      <c r="D355" s="80"/>
      <c r="E355" s="20" t="s">
        <v>228</v>
      </c>
      <c r="F355" s="81">
        <f t="shared" ref="F355:F356" si="80">(3.05*5.65+2.1*3.05+3.05*3.05+3.2*3.65+2.28*1.38+2.25*1.38+1.98*1+3.53*1)*10.764</f>
        <v>606.88938959999984</v>
      </c>
      <c r="G355" s="82"/>
      <c r="H355" s="20">
        <v>0</v>
      </c>
      <c r="I355" s="20">
        <f>F355*(($I$144)+1)+H355</f>
        <v>971.0230233599998</v>
      </c>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c r="XEW355" s="1"/>
      <c r="XEX355" s="1"/>
      <c r="XEY355" s="1"/>
      <c r="XEZ355" s="1"/>
      <c r="XFA355" s="1"/>
      <c r="XFB355" s="1"/>
      <c r="XFC355" s="1"/>
      <c r="XFD355" s="1"/>
    </row>
    <row r="356" spans="1:151 16227:16384" s="11" customFormat="1" ht="20.25" x14ac:dyDescent="0.25">
      <c r="A356" s="100"/>
      <c r="B356" s="101"/>
      <c r="C356" s="80" t="s">
        <v>262</v>
      </c>
      <c r="D356" s="80"/>
      <c r="E356" s="20" t="s">
        <v>228</v>
      </c>
      <c r="F356" s="81">
        <f t="shared" si="80"/>
        <v>606.88938959999984</v>
      </c>
      <c r="G356" s="82"/>
      <c r="H356" s="20">
        <v>0</v>
      </c>
      <c r="I356" s="20">
        <f>F356*(($I$144)+1)+H356</f>
        <v>971.0230233599998</v>
      </c>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c r="XEV356" s="1"/>
      <c r="XEW356" s="1"/>
      <c r="XEX356" s="1"/>
      <c r="XEY356" s="1"/>
      <c r="XEZ356" s="1"/>
      <c r="XFA356" s="1"/>
      <c r="XFB356" s="1"/>
      <c r="XFC356" s="1"/>
      <c r="XFD356" s="1"/>
    </row>
    <row r="357" spans="1:151 16227:16384" s="11" customFormat="1" ht="20.25" x14ac:dyDescent="0.25">
      <c r="A357" s="93" t="s">
        <v>296</v>
      </c>
      <c r="B357" s="94"/>
      <c r="C357" s="94"/>
      <c r="D357" s="94"/>
      <c r="E357" s="94"/>
      <c r="F357" s="94"/>
      <c r="G357" s="94"/>
      <c r="H357" s="94"/>
      <c r="I357" s="95"/>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c r="XEV357" s="1"/>
      <c r="XEW357" s="1"/>
      <c r="XEX357" s="1"/>
      <c r="XEY357" s="1"/>
      <c r="XEZ357" s="1"/>
      <c r="XFA357" s="1"/>
      <c r="XFB357" s="1"/>
      <c r="XFC357" s="1"/>
      <c r="XFD357" s="1"/>
    </row>
    <row r="358" spans="1:151 16227:16384" s="11" customFormat="1" ht="20.25" x14ac:dyDescent="0.25">
      <c r="A358" s="96" t="str">
        <f>A357</f>
        <v>3rd Floor (Podium) For Part Residential  &amp; Parking</v>
      </c>
      <c r="B358" s="97"/>
      <c r="C358" s="80" t="s">
        <v>264</v>
      </c>
      <c r="D358" s="80"/>
      <c r="E358" s="20" t="s">
        <v>232</v>
      </c>
      <c r="F358" s="81">
        <f>(2.75*1.05+2.45*3.05+3.05*3.05+3.05*6.4+3.05*3.65+1.28*1.28+1.08*0.91+2.2*1.38+3.05*3.35+1.28*1.38+1.08*0.91+1.2*1.1)*10.764</f>
        <v>756.26679959999979</v>
      </c>
      <c r="G358" s="82"/>
      <c r="H358" s="20">
        <v>0</v>
      </c>
      <c r="I358" s="20">
        <f>F358*(($I$144)+1)+H358</f>
        <v>1210.0268793599996</v>
      </c>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c r="XEV358" s="1"/>
      <c r="XEW358" s="1"/>
      <c r="XEX358" s="1"/>
      <c r="XEY358" s="1"/>
      <c r="XEZ358" s="1"/>
      <c r="XFA358" s="1"/>
      <c r="XFB358" s="1"/>
      <c r="XFC358" s="1"/>
      <c r="XFD358" s="1"/>
    </row>
    <row r="359" spans="1:151 16227:16384" s="11" customFormat="1" ht="20.25" x14ac:dyDescent="0.25">
      <c r="A359" s="98"/>
      <c r="B359" s="99"/>
      <c r="C359" s="80" t="s">
        <v>263</v>
      </c>
      <c r="D359" s="80"/>
      <c r="E359" s="20" t="s">
        <v>228</v>
      </c>
      <c r="F359" s="81">
        <f t="shared" ref="F359:F360" si="81">(3.05*5.65+2.1*3.05+3.05*3.05+3.2*3.65+2.28*1.38+2.25*1.38+1.98*1+3.53*1)*10.764</f>
        <v>606.88938959999984</v>
      </c>
      <c r="G359" s="82"/>
      <c r="H359" s="20">
        <v>0</v>
      </c>
      <c r="I359" s="20">
        <f>F359*(($I$144)+1)+H359</f>
        <v>971.0230233599998</v>
      </c>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c r="XEV359" s="1"/>
      <c r="XEW359" s="1"/>
      <c r="XEX359" s="1"/>
      <c r="XEY359" s="1"/>
      <c r="XEZ359" s="1"/>
      <c r="XFA359" s="1"/>
      <c r="XFB359" s="1"/>
      <c r="XFC359" s="1"/>
      <c r="XFD359" s="1"/>
    </row>
    <row r="360" spans="1:151 16227:16384" s="11" customFormat="1" ht="20.25" x14ac:dyDescent="0.25">
      <c r="A360" s="100"/>
      <c r="B360" s="101"/>
      <c r="C360" s="80" t="s">
        <v>262</v>
      </c>
      <c r="D360" s="80"/>
      <c r="E360" s="20" t="s">
        <v>228</v>
      </c>
      <c r="F360" s="81">
        <f t="shared" si="81"/>
        <v>606.88938959999984</v>
      </c>
      <c r="G360" s="82"/>
      <c r="H360" s="20">
        <v>0</v>
      </c>
      <c r="I360" s="20">
        <f>F360*(($I$144)+1)+H360</f>
        <v>971.0230233599998</v>
      </c>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c r="XEW360" s="1"/>
      <c r="XEX360" s="1"/>
      <c r="XEY360" s="1"/>
      <c r="XEZ360" s="1"/>
      <c r="XFA360" s="1"/>
      <c r="XFB360" s="1"/>
      <c r="XFC360" s="1"/>
      <c r="XFD360" s="1"/>
    </row>
    <row r="361" spans="1:151 16227:16384" s="11" customFormat="1" ht="20.25" x14ac:dyDescent="0.25">
      <c r="A361" s="93" t="s">
        <v>294</v>
      </c>
      <c r="B361" s="94"/>
      <c r="C361" s="94"/>
      <c r="D361" s="94"/>
      <c r="E361" s="94"/>
      <c r="F361" s="94"/>
      <c r="G361" s="94"/>
      <c r="H361" s="94"/>
      <c r="I361" s="95"/>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c r="XEW361" s="1"/>
      <c r="XEX361" s="1"/>
      <c r="XEY361" s="1"/>
      <c r="XEZ361" s="1"/>
      <c r="XFA361" s="1"/>
      <c r="XFB361" s="1"/>
      <c r="XFC361" s="1"/>
      <c r="XFD361" s="1"/>
    </row>
    <row r="362" spans="1:151 16227:16384" s="11" customFormat="1" ht="20.25" x14ac:dyDescent="0.25">
      <c r="A362" s="96" t="str">
        <f>A361</f>
        <v>4th Floor (Podium) For Part Residential  &amp; Parking</v>
      </c>
      <c r="B362" s="97"/>
      <c r="C362" s="80" t="s">
        <v>264</v>
      </c>
      <c r="D362" s="80"/>
      <c r="E362" s="20" t="s">
        <v>232</v>
      </c>
      <c r="F362" s="81">
        <f>(2.75*1.05+2.45*3.05+3.05*3.05+3.05*6.4+3.05*3.65+1.28*1.28+1.08*0.91+2.2*1.38+3.05*3.35+1.28*1.38+1.08*0.91+1.2*1.1)*10.764</f>
        <v>756.26679959999979</v>
      </c>
      <c r="G362" s="82"/>
      <c r="H362" s="20">
        <v>0</v>
      </c>
      <c r="I362" s="20">
        <f>F362*(($I$144)+1)+H362</f>
        <v>1210.0268793599996</v>
      </c>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c r="XEV362" s="1"/>
      <c r="XEW362" s="1"/>
      <c r="XEX362" s="1"/>
      <c r="XEY362" s="1"/>
      <c r="XEZ362" s="1"/>
      <c r="XFA362" s="1"/>
      <c r="XFB362" s="1"/>
      <c r="XFC362" s="1"/>
      <c r="XFD362" s="1"/>
    </row>
    <row r="363" spans="1:151 16227:16384" s="11" customFormat="1" ht="20.25" x14ac:dyDescent="0.25">
      <c r="A363" s="98"/>
      <c r="B363" s="99"/>
      <c r="C363" s="80" t="s">
        <v>263</v>
      </c>
      <c r="D363" s="80"/>
      <c r="E363" s="20" t="s">
        <v>228</v>
      </c>
      <c r="F363" s="81">
        <f t="shared" ref="F363:F364" si="82">(3.05*5.65+2.1*3.05+3.05*3.05+3.2*3.65+2.28*1.38+2.25*1.38+1.98*1+3.53*1)*10.764</f>
        <v>606.88938959999984</v>
      </c>
      <c r="G363" s="82"/>
      <c r="H363" s="20">
        <v>0</v>
      </c>
      <c r="I363" s="20">
        <f>F363*(($I$144)+1)+H363</f>
        <v>971.0230233599998</v>
      </c>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c r="XEV363" s="1"/>
      <c r="XEW363" s="1"/>
      <c r="XEX363" s="1"/>
      <c r="XEY363" s="1"/>
      <c r="XEZ363" s="1"/>
      <c r="XFA363" s="1"/>
      <c r="XFB363" s="1"/>
      <c r="XFC363" s="1"/>
      <c r="XFD363" s="1"/>
    </row>
    <row r="364" spans="1:151 16227:16384" s="11" customFormat="1" ht="20.25" x14ac:dyDescent="0.25">
      <c r="A364" s="100"/>
      <c r="B364" s="101"/>
      <c r="C364" s="80" t="s">
        <v>262</v>
      </c>
      <c r="D364" s="80"/>
      <c r="E364" s="20" t="s">
        <v>228</v>
      </c>
      <c r="F364" s="81">
        <f t="shared" si="82"/>
        <v>606.88938959999984</v>
      </c>
      <c r="G364" s="82"/>
      <c r="H364" s="20">
        <v>0</v>
      </c>
      <c r="I364" s="20">
        <f>F364*(($I$144)+1)+H364</f>
        <v>971.0230233599998</v>
      </c>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c r="XEV364" s="1"/>
      <c r="XEW364" s="1"/>
      <c r="XEX364" s="1"/>
      <c r="XEY364" s="1"/>
      <c r="XEZ364" s="1"/>
      <c r="XFA364" s="1"/>
      <c r="XFB364" s="1"/>
      <c r="XFC364" s="1"/>
      <c r="XFD364" s="1"/>
    </row>
    <row r="365" spans="1:151 16227:16384" s="11" customFormat="1" ht="20.25" customHeight="1" x14ac:dyDescent="0.25">
      <c r="A365" s="93" t="s">
        <v>295</v>
      </c>
      <c r="B365" s="94"/>
      <c r="C365" s="94"/>
      <c r="D365" s="94"/>
      <c r="E365" s="94"/>
      <c r="F365" s="94"/>
      <c r="G365" s="94"/>
      <c r="H365" s="94"/>
      <c r="I365" s="102"/>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c r="XEW365" s="1"/>
      <c r="XEX365" s="1"/>
      <c r="XEY365" s="1"/>
      <c r="XEZ365" s="1"/>
      <c r="XFA365" s="1"/>
      <c r="XFB365" s="1"/>
      <c r="XFC365" s="1"/>
      <c r="XFD365" s="1"/>
    </row>
    <row r="366" spans="1:151 16227:16384" s="11" customFormat="1" ht="20.25" customHeight="1" x14ac:dyDescent="0.25">
      <c r="A366" s="96" t="str">
        <f>A365</f>
        <v>5th to 7th, 9th to 14th,16th to 21st, 23rd &amp; 24th Floor For Residential</v>
      </c>
      <c r="B366" s="97"/>
      <c r="C366" s="80" t="s">
        <v>264</v>
      </c>
      <c r="D366" s="80"/>
      <c r="E366" s="20" t="s">
        <v>232</v>
      </c>
      <c r="F366" s="81">
        <f>(2.75*1.05+2.45*3.05+3.05*3.05+3.05*6.4+3.05*3.65+1.28*1.28+1.08*0.91+2.2*1.38+3.05*3.35+1.28*1.38+1.08*0.91+1.2*1.1)*10.764</f>
        <v>756.26679959999979</v>
      </c>
      <c r="G366" s="82"/>
      <c r="H366" s="20">
        <v>0</v>
      </c>
      <c r="I366" s="20">
        <f>F366*(($I$144)+1)+H366</f>
        <v>1210.0268793599996</v>
      </c>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c r="XFD366" s="1"/>
    </row>
    <row r="367" spans="1:151 16227:16384" s="11" customFormat="1" ht="20.25" customHeight="1" x14ac:dyDescent="0.25">
      <c r="A367" s="98"/>
      <c r="B367" s="99"/>
      <c r="C367" s="80" t="s">
        <v>263</v>
      </c>
      <c r="D367" s="80"/>
      <c r="E367" s="20" t="s">
        <v>228</v>
      </c>
      <c r="F367" s="81">
        <f t="shared" ref="F367:F368" si="83">(3.05*5.65+2.1*3.05+3.05*3.05+3.2*3.65+2.28*1.38+2.25*1.38+1.98*1+3.53*1)*10.764</f>
        <v>606.88938959999984</v>
      </c>
      <c r="G367" s="82"/>
      <c r="H367" s="20">
        <v>0</v>
      </c>
      <c r="I367" s="20">
        <f>F367*(($I$144)+1)+H367</f>
        <v>971.0230233599998</v>
      </c>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WZC367" s="1"/>
      <c r="WZD367" s="1"/>
      <c r="WZE367" s="1"/>
      <c r="WZF367" s="1"/>
      <c r="WZG367" s="1"/>
      <c r="WZH367" s="1"/>
      <c r="WZI367" s="1"/>
      <c r="WZJ367" s="1"/>
      <c r="WZK367" s="1"/>
      <c r="WZL367" s="1"/>
      <c r="WZM367" s="1"/>
      <c r="WZN367" s="1"/>
      <c r="WZO367" s="1"/>
      <c r="WZP367" s="1"/>
      <c r="WZQ367" s="1"/>
      <c r="WZR367" s="1"/>
      <c r="WZS367" s="1"/>
      <c r="WZT367" s="1"/>
      <c r="WZU367" s="1"/>
      <c r="WZV367" s="1"/>
      <c r="WZW367" s="1"/>
      <c r="WZX367" s="1"/>
      <c r="WZY367" s="1"/>
      <c r="WZZ367" s="1"/>
      <c r="XAA367" s="1"/>
      <c r="XAB367" s="1"/>
      <c r="XAC367" s="1"/>
      <c r="XAD367" s="1"/>
      <c r="XAE367" s="1"/>
      <c r="XAF367" s="1"/>
      <c r="XAG367" s="1"/>
      <c r="XAH367" s="1"/>
      <c r="XAI367" s="1"/>
      <c r="XAJ367" s="1"/>
      <c r="XAK367" s="1"/>
      <c r="XAL367" s="1"/>
      <c r="XAM367" s="1"/>
      <c r="XAN367" s="1"/>
      <c r="XAO367" s="1"/>
      <c r="XAP367" s="1"/>
      <c r="XAQ367" s="1"/>
      <c r="XAR367" s="1"/>
      <c r="XAS367" s="1"/>
      <c r="XAT367" s="1"/>
      <c r="XAU367" s="1"/>
      <c r="XAV367" s="1"/>
      <c r="XAW367" s="1"/>
      <c r="XAX367" s="1"/>
      <c r="XAY367" s="1"/>
      <c r="XAZ367" s="1"/>
      <c r="XBA367" s="1"/>
      <c r="XBB367" s="1"/>
      <c r="XBC367" s="1"/>
      <c r="XBD367" s="1"/>
      <c r="XBE367" s="1"/>
      <c r="XBF367" s="1"/>
      <c r="XBG367" s="1"/>
      <c r="XBH367" s="1"/>
      <c r="XBI367" s="1"/>
      <c r="XBJ367" s="1"/>
      <c r="XBK367" s="1"/>
      <c r="XBL367" s="1"/>
      <c r="XBM367" s="1"/>
      <c r="XBN367" s="1"/>
      <c r="XBO367" s="1"/>
      <c r="XBP367" s="1"/>
      <c r="XBQ367" s="1"/>
      <c r="XBR367" s="1"/>
      <c r="XBS367" s="1"/>
      <c r="XBT367" s="1"/>
      <c r="XBU367" s="1"/>
      <c r="XBV367" s="1"/>
      <c r="XBW367" s="1"/>
      <c r="XBX367" s="1"/>
      <c r="XBY367" s="1"/>
      <c r="XBZ367" s="1"/>
      <c r="XCA367" s="1"/>
      <c r="XCB367" s="1"/>
      <c r="XCC367" s="1"/>
      <c r="XCD367" s="1"/>
      <c r="XCE367" s="1"/>
      <c r="XCF367" s="1"/>
      <c r="XCG367" s="1"/>
      <c r="XCH367" s="1"/>
      <c r="XCI367" s="1"/>
      <c r="XCJ367" s="1"/>
      <c r="XCK367" s="1"/>
      <c r="XCL367" s="1"/>
      <c r="XCM367" s="1"/>
      <c r="XCN367" s="1"/>
      <c r="XCO367" s="1"/>
      <c r="XCP367" s="1"/>
      <c r="XCQ367" s="1"/>
      <c r="XCR367" s="1"/>
      <c r="XCS367" s="1"/>
      <c r="XCT367" s="1"/>
      <c r="XCU367" s="1"/>
      <c r="XCV367" s="1"/>
      <c r="XCW367" s="1"/>
      <c r="XCX367" s="1"/>
      <c r="XCY367" s="1"/>
      <c r="XCZ367" s="1"/>
      <c r="XDA367" s="1"/>
      <c r="XDB367" s="1"/>
      <c r="XDC367" s="1"/>
      <c r="XDD367" s="1"/>
      <c r="XDE367" s="1"/>
      <c r="XDF367" s="1"/>
      <c r="XDG367" s="1"/>
      <c r="XDH367" s="1"/>
      <c r="XDI367" s="1"/>
      <c r="XDJ367" s="1"/>
      <c r="XDK367" s="1"/>
      <c r="XDL367" s="1"/>
      <c r="XDM367" s="1"/>
      <c r="XDN367" s="1"/>
      <c r="XDO367" s="1"/>
      <c r="XDP367" s="1"/>
      <c r="XDQ367" s="1"/>
      <c r="XDR367" s="1"/>
      <c r="XDS367" s="1"/>
      <c r="XDT367" s="1"/>
      <c r="XDU367" s="1"/>
      <c r="XDV367" s="1"/>
      <c r="XDW367" s="1"/>
      <c r="XDX367" s="1"/>
      <c r="XDY367" s="1"/>
      <c r="XDZ367" s="1"/>
      <c r="XEA367" s="1"/>
      <c r="XEB367" s="1"/>
      <c r="XEC367" s="1"/>
      <c r="XED367" s="1"/>
      <c r="XEE367" s="1"/>
      <c r="XEF367" s="1"/>
      <c r="XEG367" s="1"/>
      <c r="XEH367" s="1"/>
      <c r="XEI367" s="1"/>
      <c r="XEJ367" s="1"/>
      <c r="XEK367" s="1"/>
      <c r="XEL367" s="1"/>
      <c r="XEM367" s="1"/>
      <c r="XEN367" s="1"/>
      <c r="XEO367" s="1"/>
      <c r="XEP367" s="1"/>
      <c r="XEQ367" s="1"/>
      <c r="XER367" s="1"/>
      <c r="XES367" s="1"/>
      <c r="XET367" s="1"/>
      <c r="XEU367" s="1"/>
      <c r="XEV367" s="1"/>
      <c r="XEW367" s="1"/>
      <c r="XEX367" s="1"/>
      <c r="XEY367" s="1"/>
      <c r="XEZ367" s="1"/>
      <c r="XFA367" s="1"/>
      <c r="XFB367" s="1"/>
      <c r="XFC367" s="1"/>
      <c r="XFD367" s="1"/>
    </row>
    <row r="368" spans="1:151 16227:16384" s="11" customFormat="1" ht="20.25" customHeight="1" x14ac:dyDescent="0.25">
      <c r="A368" s="98"/>
      <c r="B368" s="99"/>
      <c r="C368" s="80" t="s">
        <v>262</v>
      </c>
      <c r="D368" s="80"/>
      <c r="E368" s="20" t="s">
        <v>228</v>
      </c>
      <c r="F368" s="81">
        <f t="shared" si="83"/>
        <v>606.88938959999984</v>
      </c>
      <c r="G368" s="82"/>
      <c r="H368" s="20">
        <v>0</v>
      </c>
      <c r="I368" s="20">
        <f>F368*(($I$144)+1)+H368</f>
        <v>971.0230233599998</v>
      </c>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WZC368" s="1"/>
      <c r="WZD368" s="1"/>
      <c r="WZE368" s="1"/>
      <c r="WZF368" s="1"/>
      <c r="WZG368" s="1"/>
      <c r="WZH368" s="1"/>
      <c r="WZI368" s="1"/>
      <c r="WZJ368" s="1"/>
      <c r="WZK368" s="1"/>
      <c r="WZL368" s="1"/>
      <c r="WZM368" s="1"/>
      <c r="WZN368" s="1"/>
      <c r="WZO368" s="1"/>
      <c r="WZP368" s="1"/>
      <c r="WZQ368" s="1"/>
      <c r="WZR368" s="1"/>
      <c r="WZS368" s="1"/>
      <c r="WZT368" s="1"/>
      <c r="WZU368" s="1"/>
      <c r="WZV368" s="1"/>
      <c r="WZW368" s="1"/>
      <c r="WZX368" s="1"/>
      <c r="WZY368" s="1"/>
      <c r="WZZ368" s="1"/>
      <c r="XAA368" s="1"/>
      <c r="XAB368" s="1"/>
      <c r="XAC368" s="1"/>
      <c r="XAD368" s="1"/>
      <c r="XAE368" s="1"/>
      <c r="XAF368" s="1"/>
      <c r="XAG368" s="1"/>
      <c r="XAH368" s="1"/>
      <c r="XAI368" s="1"/>
      <c r="XAJ368" s="1"/>
      <c r="XAK368" s="1"/>
      <c r="XAL368" s="1"/>
      <c r="XAM368" s="1"/>
      <c r="XAN368" s="1"/>
      <c r="XAO368" s="1"/>
      <c r="XAP368" s="1"/>
      <c r="XAQ368" s="1"/>
      <c r="XAR368" s="1"/>
      <c r="XAS368" s="1"/>
      <c r="XAT368" s="1"/>
      <c r="XAU368" s="1"/>
      <c r="XAV368" s="1"/>
      <c r="XAW368" s="1"/>
      <c r="XAX368" s="1"/>
      <c r="XAY368" s="1"/>
      <c r="XAZ368" s="1"/>
      <c r="XBA368" s="1"/>
      <c r="XBB368" s="1"/>
      <c r="XBC368" s="1"/>
      <c r="XBD368" s="1"/>
      <c r="XBE368" s="1"/>
      <c r="XBF368" s="1"/>
      <c r="XBG368" s="1"/>
      <c r="XBH368" s="1"/>
      <c r="XBI368" s="1"/>
      <c r="XBJ368" s="1"/>
      <c r="XBK368" s="1"/>
      <c r="XBL368" s="1"/>
      <c r="XBM368" s="1"/>
      <c r="XBN368" s="1"/>
      <c r="XBO368" s="1"/>
      <c r="XBP368" s="1"/>
      <c r="XBQ368" s="1"/>
      <c r="XBR368" s="1"/>
      <c r="XBS368" s="1"/>
      <c r="XBT368" s="1"/>
      <c r="XBU368" s="1"/>
      <c r="XBV368" s="1"/>
      <c r="XBW368" s="1"/>
      <c r="XBX368" s="1"/>
      <c r="XBY368" s="1"/>
      <c r="XBZ368" s="1"/>
      <c r="XCA368" s="1"/>
      <c r="XCB368" s="1"/>
      <c r="XCC368" s="1"/>
      <c r="XCD368" s="1"/>
      <c r="XCE368" s="1"/>
      <c r="XCF368" s="1"/>
      <c r="XCG368" s="1"/>
      <c r="XCH368" s="1"/>
      <c r="XCI368" s="1"/>
      <c r="XCJ368" s="1"/>
      <c r="XCK368" s="1"/>
      <c r="XCL368" s="1"/>
      <c r="XCM368" s="1"/>
      <c r="XCN368" s="1"/>
      <c r="XCO368" s="1"/>
      <c r="XCP368" s="1"/>
      <c r="XCQ368" s="1"/>
      <c r="XCR368" s="1"/>
      <c r="XCS368" s="1"/>
      <c r="XCT368" s="1"/>
      <c r="XCU368" s="1"/>
      <c r="XCV368" s="1"/>
      <c r="XCW368" s="1"/>
      <c r="XCX368" s="1"/>
      <c r="XCY368" s="1"/>
      <c r="XCZ368" s="1"/>
      <c r="XDA368" s="1"/>
      <c r="XDB368" s="1"/>
      <c r="XDC368" s="1"/>
      <c r="XDD368" s="1"/>
      <c r="XDE368" s="1"/>
      <c r="XDF368" s="1"/>
      <c r="XDG368" s="1"/>
      <c r="XDH368" s="1"/>
      <c r="XDI368" s="1"/>
      <c r="XDJ368" s="1"/>
      <c r="XDK368" s="1"/>
      <c r="XDL368" s="1"/>
      <c r="XDM368" s="1"/>
      <c r="XDN368" s="1"/>
      <c r="XDO368" s="1"/>
      <c r="XDP368" s="1"/>
      <c r="XDQ368" s="1"/>
      <c r="XDR368" s="1"/>
      <c r="XDS368" s="1"/>
      <c r="XDT368" s="1"/>
      <c r="XDU368" s="1"/>
      <c r="XDV368" s="1"/>
      <c r="XDW368" s="1"/>
      <c r="XDX368" s="1"/>
      <c r="XDY368" s="1"/>
      <c r="XDZ368" s="1"/>
      <c r="XEA368" s="1"/>
      <c r="XEB368" s="1"/>
      <c r="XEC368" s="1"/>
      <c r="XED368" s="1"/>
      <c r="XEE368" s="1"/>
      <c r="XEF368" s="1"/>
      <c r="XEG368" s="1"/>
      <c r="XEH368" s="1"/>
      <c r="XEI368" s="1"/>
      <c r="XEJ368" s="1"/>
      <c r="XEK368" s="1"/>
      <c r="XEL368" s="1"/>
      <c r="XEM368" s="1"/>
      <c r="XEN368" s="1"/>
      <c r="XEO368" s="1"/>
      <c r="XEP368" s="1"/>
      <c r="XEQ368" s="1"/>
      <c r="XER368" s="1"/>
      <c r="XES368" s="1"/>
      <c r="XET368" s="1"/>
      <c r="XEU368" s="1"/>
      <c r="XEV368" s="1"/>
      <c r="XEW368" s="1"/>
      <c r="XEX368" s="1"/>
      <c r="XEY368" s="1"/>
      <c r="XEZ368" s="1"/>
      <c r="XFA368" s="1"/>
      <c r="XFB368" s="1"/>
      <c r="XFC368" s="1"/>
      <c r="XFD368" s="1"/>
    </row>
    <row r="369" spans="1:151 16227:16384" s="11" customFormat="1" ht="20.25" x14ac:dyDescent="0.25">
      <c r="A369" s="98"/>
      <c r="B369" s="99"/>
      <c r="C369" s="80" t="s">
        <v>265</v>
      </c>
      <c r="D369" s="80"/>
      <c r="E369" s="20" t="s">
        <v>232</v>
      </c>
      <c r="F369" s="81">
        <f>(1.2*1.25+1.05*1.3+3.05*2.45+3.05*5.95+0.2*2.47+2.55*3.35+3.05*3.05+3.05*3.35+1.38*2.28+2.23*1.38+1*0.85+2.65*1)*10.764</f>
        <v>718.66168919999996</v>
      </c>
      <c r="G369" s="82"/>
      <c r="H369" s="20">
        <v>0</v>
      </c>
      <c r="I369" s="20">
        <f>F369*(($I$144)+1)+H369</f>
        <v>1149.8587027199999</v>
      </c>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WZC369" s="1"/>
      <c r="WZD369" s="1"/>
      <c r="WZE369" s="1"/>
      <c r="WZF369" s="1"/>
      <c r="WZG369" s="1"/>
      <c r="WZH369" s="1"/>
      <c r="WZI369" s="1"/>
      <c r="WZJ369" s="1"/>
      <c r="WZK369" s="1"/>
      <c r="WZL369" s="1"/>
      <c r="WZM369" s="1"/>
      <c r="WZN369" s="1"/>
      <c r="WZO369" s="1"/>
      <c r="WZP369" s="1"/>
      <c r="WZQ369" s="1"/>
      <c r="WZR369" s="1"/>
      <c r="WZS369" s="1"/>
      <c r="WZT369" s="1"/>
      <c r="WZU369" s="1"/>
      <c r="WZV369" s="1"/>
      <c r="WZW369" s="1"/>
      <c r="WZX369" s="1"/>
      <c r="WZY369" s="1"/>
      <c r="WZZ369" s="1"/>
      <c r="XAA369" s="1"/>
      <c r="XAB369" s="1"/>
      <c r="XAC369" s="1"/>
      <c r="XAD369" s="1"/>
      <c r="XAE369" s="1"/>
      <c r="XAF369" s="1"/>
      <c r="XAG369" s="1"/>
      <c r="XAH369" s="1"/>
      <c r="XAI369" s="1"/>
      <c r="XAJ369" s="1"/>
      <c r="XAK369" s="1"/>
      <c r="XAL369" s="1"/>
      <c r="XAM369" s="1"/>
      <c r="XAN369" s="1"/>
      <c r="XAO369" s="1"/>
      <c r="XAP369" s="1"/>
      <c r="XAQ369" s="1"/>
      <c r="XAR369" s="1"/>
      <c r="XAS369" s="1"/>
      <c r="XAT369" s="1"/>
      <c r="XAU369" s="1"/>
      <c r="XAV369" s="1"/>
      <c r="XAW369" s="1"/>
      <c r="XAX369" s="1"/>
      <c r="XAY369" s="1"/>
      <c r="XAZ369" s="1"/>
      <c r="XBA369" s="1"/>
      <c r="XBB369" s="1"/>
      <c r="XBC369" s="1"/>
      <c r="XBD369" s="1"/>
      <c r="XBE369" s="1"/>
      <c r="XBF369" s="1"/>
      <c r="XBG369" s="1"/>
      <c r="XBH369" s="1"/>
      <c r="XBI369" s="1"/>
      <c r="XBJ369" s="1"/>
      <c r="XBK369" s="1"/>
      <c r="XBL369" s="1"/>
      <c r="XBM369" s="1"/>
      <c r="XBN369" s="1"/>
      <c r="XBO369" s="1"/>
      <c r="XBP369" s="1"/>
      <c r="XBQ369" s="1"/>
      <c r="XBR369" s="1"/>
      <c r="XBS369" s="1"/>
      <c r="XBT369" s="1"/>
      <c r="XBU369" s="1"/>
      <c r="XBV369" s="1"/>
      <c r="XBW369" s="1"/>
      <c r="XBX369" s="1"/>
      <c r="XBY369" s="1"/>
      <c r="XBZ369" s="1"/>
      <c r="XCA369" s="1"/>
      <c r="XCB369" s="1"/>
      <c r="XCC369" s="1"/>
      <c r="XCD369" s="1"/>
      <c r="XCE369" s="1"/>
      <c r="XCF369" s="1"/>
      <c r="XCG369" s="1"/>
      <c r="XCH369" s="1"/>
      <c r="XCI369" s="1"/>
      <c r="XCJ369" s="1"/>
      <c r="XCK369" s="1"/>
      <c r="XCL369" s="1"/>
      <c r="XCM369" s="1"/>
      <c r="XCN369" s="1"/>
      <c r="XCO369" s="1"/>
      <c r="XCP369" s="1"/>
      <c r="XCQ369" s="1"/>
      <c r="XCR369" s="1"/>
      <c r="XCS369" s="1"/>
      <c r="XCT369" s="1"/>
      <c r="XCU369" s="1"/>
      <c r="XCV369" s="1"/>
      <c r="XCW369" s="1"/>
      <c r="XCX369" s="1"/>
      <c r="XCY369" s="1"/>
      <c r="XCZ369" s="1"/>
      <c r="XDA369" s="1"/>
      <c r="XDB369" s="1"/>
      <c r="XDC369" s="1"/>
      <c r="XDD369" s="1"/>
      <c r="XDE369" s="1"/>
      <c r="XDF369" s="1"/>
      <c r="XDG369" s="1"/>
      <c r="XDH369" s="1"/>
      <c r="XDI369" s="1"/>
      <c r="XDJ369" s="1"/>
      <c r="XDK369" s="1"/>
      <c r="XDL369" s="1"/>
      <c r="XDM369" s="1"/>
      <c r="XDN369" s="1"/>
      <c r="XDO369" s="1"/>
      <c r="XDP369" s="1"/>
      <c r="XDQ369" s="1"/>
      <c r="XDR369" s="1"/>
      <c r="XDS369" s="1"/>
      <c r="XDT369" s="1"/>
      <c r="XDU369" s="1"/>
      <c r="XDV369" s="1"/>
      <c r="XDW369" s="1"/>
      <c r="XDX369" s="1"/>
      <c r="XDY369" s="1"/>
      <c r="XDZ369" s="1"/>
      <c r="XEA369" s="1"/>
      <c r="XEB369" s="1"/>
      <c r="XEC369" s="1"/>
      <c r="XED369" s="1"/>
      <c r="XEE369" s="1"/>
      <c r="XEF369" s="1"/>
      <c r="XEG369" s="1"/>
      <c r="XEH369" s="1"/>
      <c r="XEI369" s="1"/>
      <c r="XEJ369" s="1"/>
      <c r="XEK369" s="1"/>
      <c r="XEL369" s="1"/>
      <c r="XEM369" s="1"/>
      <c r="XEN369" s="1"/>
      <c r="XEO369" s="1"/>
      <c r="XEP369" s="1"/>
      <c r="XEQ369" s="1"/>
      <c r="XER369" s="1"/>
      <c r="XES369" s="1"/>
      <c r="XET369" s="1"/>
      <c r="XEU369" s="1"/>
      <c r="XEV369" s="1"/>
      <c r="XEW369" s="1"/>
      <c r="XEX369" s="1"/>
      <c r="XEY369" s="1"/>
      <c r="XEZ369" s="1"/>
      <c r="XFA369" s="1"/>
      <c r="XFB369" s="1"/>
      <c r="XFC369" s="1"/>
      <c r="XFD369" s="1"/>
    </row>
    <row r="370" spans="1:151 16227:16384" s="11" customFormat="1" ht="20.25" x14ac:dyDescent="0.25">
      <c r="A370" s="100"/>
      <c r="B370" s="101"/>
      <c r="C370" s="80" t="s">
        <v>266</v>
      </c>
      <c r="D370" s="80"/>
      <c r="E370" s="20" t="s">
        <v>232</v>
      </c>
      <c r="F370" s="81">
        <f>(1.2*1.25+1.05*1.3+3.05*2.45+3.05*5.95+2.45*2.7+3.05*3.65+1.38*2.28+3.45*3.05+2.15*1.38+1.13*0.6+3.75*1)*10.764</f>
        <v>724.37844960000007</v>
      </c>
      <c r="G370" s="82"/>
      <c r="H370" s="20">
        <v>0</v>
      </c>
      <c r="I370" s="20">
        <f>F370*(($I$144)+1)+H370</f>
        <v>1159.0055193600001</v>
      </c>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WZC370" s="1"/>
      <c r="WZD370" s="1"/>
      <c r="WZE370" s="1"/>
      <c r="WZF370" s="1"/>
      <c r="WZG370" s="1"/>
      <c r="WZH370" s="1"/>
      <c r="WZI370" s="1"/>
      <c r="WZJ370" s="1"/>
      <c r="WZK370" s="1"/>
      <c r="WZL370" s="1"/>
      <c r="WZM370" s="1"/>
      <c r="WZN370" s="1"/>
      <c r="WZO370" s="1"/>
      <c r="WZP370" s="1"/>
      <c r="WZQ370" s="1"/>
      <c r="WZR370" s="1"/>
      <c r="WZS370" s="1"/>
      <c r="WZT370" s="1"/>
      <c r="WZU370" s="1"/>
      <c r="WZV370" s="1"/>
      <c r="WZW370" s="1"/>
      <c r="WZX370" s="1"/>
      <c r="WZY370" s="1"/>
      <c r="WZZ370" s="1"/>
      <c r="XAA370" s="1"/>
      <c r="XAB370" s="1"/>
      <c r="XAC370" s="1"/>
      <c r="XAD370" s="1"/>
      <c r="XAE370" s="1"/>
      <c r="XAF370" s="1"/>
      <c r="XAG370" s="1"/>
      <c r="XAH370" s="1"/>
      <c r="XAI370" s="1"/>
      <c r="XAJ370" s="1"/>
      <c r="XAK370" s="1"/>
      <c r="XAL370" s="1"/>
      <c r="XAM370" s="1"/>
      <c r="XAN370" s="1"/>
      <c r="XAO370" s="1"/>
      <c r="XAP370" s="1"/>
      <c r="XAQ370" s="1"/>
      <c r="XAR370" s="1"/>
      <c r="XAS370" s="1"/>
      <c r="XAT370" s="1"/>
      <c r="XAU370" s="1"/>
      <c r="XAV370" s="1"/>
      <c r="XAW370" s="1"/>
      <c r="XAX370" s="1"/>
      <c r="XAY370" s="1"/>
      <c r="XAZ370" s="1"/>
      <c r="XBA370" s="1"/>
      <c r="XBB370" s="1"/>
      <c r="XBC370" s="1"/>
      <c r="XBD370" s="1"/>
      <c r="XBE370" s="1"/>
      <c r="XBF370" s="1"/>
      <c r="XBG370" s="1"/>
      <c r="XBH370" s="1"/>
      <c r="XBI370" s="1"/>
      <c r="XBJ370" s="1"/>
      <c r="XBK370" s="1"/>
      <c r="XBL370" s="1"/>
      <c r="XBM370" s="1"/>
      <c r="XBN370" s="1"/>
      <c r="XBO370" s="1"/>
      <c r="XBP370" s="1"/>
      <c r="XBQ370" s="1"/>
      <c r="XBR370" s="1"/>
      <c r="XBS370" s="1"/>
      <c r="XBT370" s="1"/>
      <c r="XBU370" s="1"/>
      <c r="XBV370" s="1"/>
      <c r="XBW370" s="1"/>
      <c r="XBX370" s="1"/>
      <c r="XBY370" s="1"/>
      <c r="XBZ370" s="1"/>
      <c r="XCA370" s="1"/>
      <c r="XCB370" s="1"/>
      <c r="XCC370" s="1"/>
      <c r="XCD370" s="1"/>
      <c r="XCE370" s="1"/>
      <c r="XCF370" s="1"/>
      <c r="XCG370" s="1"/>
      <c r="XCH370" s="1"/>
      <c r="XCI370" s="1"/>
      <c r="XCJ370" s="1"/>
      <c r="XCK370" s="1"/>
      <c r="XCL370" s="1"/>
      <c r="XCM370" s="1"/>
      <c r="XCN370" s="1"/>
      <c r="XCO370" s="1"/>
      <c r="XCP370" s="1"/>
      <c r="XCQ370" s="1"/>
      <c r="XCR370" s="1"/>
      <c r="XCS370" s="1"/>
      <c r="XCT370" s="1"/>
      <c r="XCU370" s="1"/>
      <c r="XCV370" s="1"/>
      <c r="XCW370" s="1"/>
      <c r="XCX370" s="1"/>
      <c r="XCY370" s="1"/>
      <c r="XCZ370" s="1"/>
      <c r="XDA370" s="1"/>
      <c r="XDB370" s="1"/>
      <c r="XDC370" s="1"/>
      <c r="XDD370" s="1"/>
      <c r="XDE370" s="1"/>
      <c r="XDF370" s="1"/>
      <c r="XDG370" s="1"/>
      <c r="XDH370" s="1"/>
      <c r="XDI370" s="1"/>
      <c r="XDJ370" s="1"/>
      <c r="XDK370" s="1"/>
      <c r="XDL370" s="1"/>
      <c r="XDM370" s="1"/>
      <c r="XDN370" s="1"/>
      <c r="XDO370" s="1"/>
      <c r="XDP370" s="1"/>
      <c r="XDQ370" s="1"/>
      <c r="XDR370" s="1"/>
      <c r="XDS370" s="1"/>
      <c r="XDT370" s="1"/>
      <c r="XDU370" s="1"/>
      <c r="XDV370" s="1"/>
      <c r="XDW370" s="1"/>
      <c r="XDX370" s="1"/>
      <c r="XDY370" s="1"/>
      <c r="XDZ370" s="1"/>
      <c r="XEA370" s="1"/>
      <c r="XEB370" s="1"/>
      <c r="XEC370" s="1"/>
      <c r="XED370" s="1"/>
      <c r="XEE370" s="1"/>
      <c r="XEF370" s="1"/>
      <c r="XEG370" s="1"/>
      <c r="XEH370" s="1"/>
      <c r="XEI370" s="1"/>
      <c r="XEJ370" s="1"/>
      <c r="XEK370" s="1"/>
      <c r="XEL370" s="1"/>
      <c r="XEM370" s="1"/>
      <c r="XEN370" s="1"/>
      <c r="XEO370" s="1"/>
      <c r="XEP370" s="1"/>
      <c r="XEQ370" s="1"/>
      <c r="XER370" s="1"/>
      <c r="XES370" s="1"/>
      <c r="XET370" s="1"/>
      <c r="XEU370" s="1"/>
      <c r="XEV370" s="1"/>
      <c r="XEW370" s="1"/>
      <c r="XEX370" s="1"/>
      <c r="XEY370" s="1"/>
      <c r="XEZ370" s="1"/>
      <c r="XFA370" s="1"/>
      <c r="XFB370" s="1"/>
      <c r="XFC370" s="1"/>
      <c r="XFD370" s="1"/>
    </row>
    <row r="371" spans="1:151 16227:16384" s="11" customFormat="1" ht="20.25" customHeight="1" x14ac:dyDescent="0.25">
      <c r="A371" s="93" t="s">
        <v>284</v>
      </c>
      <c r="B371" s="94"/>
      <c r="C371" s="94"/>
      <c r="D371" s="94"/>
      <c r="E371" s="94"/>
      <c r="F371" s="94"/>
      <c r="G371" s="94"/>
      <c r="H371" s="94"/>
      <c r="I371" s="95"/>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WZC371" s="1"/>
      <c r="WZD371" s="1"/>
      <c r="WZE371" s="1"/>
      <c r="WZF371" s="1"/>
      <c r="WZG371" s="1"/>
      <c r="WZH371" s="1"/>
      <c r="WZI371" s="1"/>
      <c r="WZJ371" s="1"/>
      <c r="WZK371" s="1"/>
      <c r="WZL371" s="1"/>
      <c r="WZM371" s="1"/>
      <c r="WZN371" s="1"/>
      <c r="WZO371" s="1"/>
      <c r="WZP371" s="1"/>
      <c r="WZQ371" s="1"/>
      <c r="WZR371" s="1"/>
      <c r="WZS371" s="1"/>
      <c r="WZT371" s="1"/>
      <c r="WZU371" s="1"/>
      <c r="WZV371" s="1"/>
      <c r="WZW371" s="1"/>
      <c r="WZX371" s="1"/>
      <c r="WZY371" s="1"/>
      <c r="WZZ371" s="1"/>
      <c r="XAA371" s="1"/>
      <c r="XAB371" s="1"/>
      <c r="XAC371" s="1"/>
      <c r="XAD371" s="1"/>
      <c r="XAE371" s="1"/>
      <c r="XAF371" s="1"/>
      <c r="XAG371" s="1"/>
      <c r="XAH371" s="1"/>
      <c r="XAI371" s="1"/>
      <c r="XAJ371" s="1"/>
      <c r="XAK371" s="1"/>
      <c r="XAL371" s="1"/>
      <c r="XAM371" s="1"/>
      <c r="XAN371" s="1"/>
      <c r="XAO371" s="1"/>
      <c r="XAP371" s="1"/>
      <c r="XAQ371" s="1"/>
      <c r="XAR371" s="1"/>
      <c r="XAS371" s="1"/>
      <c r="XAT371" s="1"/>
      <c r="XAU371" s="1"/>
      <c r="XAV371" s="1"/>
      <c r="XAW371" s="1"/>
      <c r="XAX371" s="1"/>
      <c r="XAY371" s="1"/>
      <c r="XAZ371" s="1"/>
      <c r="XBA371" s="1"/>
      <c r="XBB371" s="1"/>
      <c r="XBC371" s="1"/>
      <c r="XBD371" s="1"/>
      <c r="XBE371" s="1"/>
      <c r="XBF371" s="1"/>
      <c r="XBG371" s="1"/>
      <c r="XBH371" s="1"/>
      <c r="XBI371" s="1"/>
      <c r="XBJ371" s="1"/>
      <c r="XBK371" s="1"/>
      <c r="XBL371" s="1"/>
      <c r="XBM371" s="1"/>
      <c r="XBN371" s="1"/>
      <c r="XBO371" s="1"/>
      <c r="XBP371" s="1"/>
      <c r="XBQ371" s="1"/>
      <c r="XBR371" s="1"/>
      <c r="XBS371" s="1"/>
      <c r="XBT371" s="1"/>
      <c r="XBU371" s="1"/>
      <c r="XBV371" s="1"/>
      <c r="XBW371" s="1"/>
      <c r="XBX371" s="1"/>
      <c r="XBY371" s="1"/>
      <c r="XBZ371" s="1"/>
      <c r="XCA371" s="1"/>
      <c r="XCB371" s="1"/>
      <c r="XCC371" s="1"/>
      <c r="XCD371" s="1"/>
      <c r="XCE371" s="1"/>
      <c r="XCF371" s="1"/>
      <c r="XCG371" s="1"/>
      <c r="XCH371" s="1"/>
      <c r="XCI371" s="1"/>
      <c r="XCJ371" s="1"/>
      <c r="XCK371" s="1"/>
      <c r="XCL371" s="1"/>
      <c r="XCM371" s="1"/>
      <c r="XCN371" s="1"/>
      <c r="XCO371" s="1"/>
      <c r="XCP371" s="1"/>
      <c r="XCQ371" s="1"/>
      <c r="XCR371" s="1"/>
      <c r="XCS371" s="1"/>
      <c r="XCT371" s="1"/>
      <c r="XCU371" s="1"/>
      <c r="XCV371" s="1"/>
      <c r="XCW371" s="1"/>
      <c r="XCX371" s="1"/>
      <c r="XCY371" s="1"/>
      <c r="XCZ371" s="1"/>
      <c r="XDA371" s="1"/>
      <c r="XDB371" s="1"/>
      <c r="XDC371" s="1"/>
      <c r="XDD371" s="1"/>
      <c r="XDE371" s="1"/>
      <c r="XDF371" s="1"/>
      <c r="XDG371" s="1"/>
      <c r="XDH371" s="1"/>
      <c r="XDI371" s="1"/>
      <c r="XDJ371" s="1"/>
      <c r="XDK371" s="1"/>
      <c r="XDL371" s="1"/>
      <c r="XDM371" s="1"/>
      <c r="XDN371" s="1"/>
      <c r="XDO371" s="1"/>
      <c r="XDP371" s="1"/>
      <c r="XDQ371" s="1"/>
      <c r="XDR371" s="1"/>
      <c r="XDS371" s="1"/>
      <c r="XDT371" s="1"/>
      <c r="XDU371" s="1"/>
      <c r="XDV371" s="1"/>
      <c r="XDW371" s="1"/>
      <c r="XDX371" s="1"/>
      <c r="XDY371" s="1"/>
      <c r="XDZ371" s="1"/>
      <c r="XEA371" s="1"/>
      <c r="XEB371" s="1"/>
      <c r="XEC371" s="1"/>
      <c r="XED371" s="1"/>
      <c r="XEE371" s="1"/>
      <c r="XEF371" s="1"/>
      <c r="XEG371" s="1"/>
      <c r="XEH371" s="1"/>
      <c r="XEI371" s="1"/>
      <c r="XEJ371" s="1"/>
      <c r="XEK371" s="1"/>
      <c r="XEL371" s="1"/>
      <c r="XEM371" s="1"/>
      <c r="XEN371" s="1"/>
      <c r="XEO371" s="1"/>
      <c r="XEP371" s="1"/>
      <c r="XEQ371" s="1"/>
      <c r="XER371" s="1"/>
      <c r="XES371" s="1"/>
      <c r="XET371" s="1"/>
      <c r="XEU371" s="1"/>
      <c r="XEV371" s="1"/>
      <c r="XEW371" s="1"/>
      <c r="XEX371" s="1"/>
      <c r="XEY371" s="1"/>
      <c r="XEZ371" s="1"/>
      <c r="XFA371" s="1"/>
      <c r="XFB371" s="1"/>
      <c r="XFC371" s="1"/>
      <c r="XFD371" s="1"/>
    </row>
    <row r="372" spans="1:151 16227:16384" s="11" customFormat="1" ht="20.25" customHeight="1" x14ac:dyDescent="0.25">
      <c r="A372" s="96" t="str">
        <f>A371</f>
        <v>8th, 15th &amp; 22nd Floor (Part Refuge Area)</v>
      </c>
      <c r="B372" s="97"/>
      <c r="C372" s="80" t="s">
        <v>264</v>
      </c>
      <c r="D372" s="80"/>
      <c r="E372" s="20" t="s">
        <v>232</v>
      </c>
      <c r="F372" s="81">
        <f>(2.75*1.05+2.45*3.05+3.05*3.05+3.05*6.4+3.05*3.65+1.28*1.28+1.08*0.91+2.2*1.38+3.05*3.35+1.28*1.38+1.08*0.91+1.2*1.1)*10.764</f>
        <v>756.26679959999979</v>
      </c>
      <c r="G372" s="82"/>
      <c r="H372" s="20">
        <v>0</v>
      </c>
      <c r="I372" s="20">
        <f>F372*(($I$144)+1)+H372</f>
        <v>1210.0268793599996</v>
      </c>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WZC372" s="1"/>
      <c r="WZD372" s="1"/>
      <c r="WZE372" s="1"/>
      <c r="WZF372" s="1"/>
      <c r="WZG372" s="1"/>
      <c r="WZH372" s="1"/>
      <c r="WZI372" s="1"/>
      <c r="WZJ372" s="1"/>
      <c r="WZK372" s="1"/>
      <c r="WZL372" s="1"/>
      <c r="WZM372" s="1"/>
      <c r="WZN372" s="1"/>
      <c r="WZO372" s="1"/>
      <c r="WZP372" s="1"/>
      <c r="WZQ372" s="1"/>
      <c r="WZR372" s="1"/>
      <c r="WZS372" s="1"/>
      <c r="WZT372" s="1"/>
      <c r="WZU372" s="1"/>
      <c r="WZV372" s="1"/>
      <c r="WZW372" s="1"/>
      <c r="WZX372" s="1"/>
      <c r="WZY372" s="1"/>
      <c r="WZZ372" s="1"/>
      <c r="XAA372" s="1"/>
      <c r="XAB372" s="1"/>
      <c r="XAC372" s="1"/>
      <c r="XAD372" s="1"/>
      <c r="XAE372" s="1"/>
      <c r="XAF372" s="1"/>
      <c r="XAG372" s="1"/>
      <c r="XAH372" s="1"/>
      <c r="XAI372" s="1"/>
      <c r="XAJ372" s="1"/>
      <c r="XAK372" s="1"/>
      <c r="XAL372" s="1"/>
      <c r="XAM372" s="1"/>
      <c r="XAN372" s="1"/>
      <c r="XAO372" s="1"/>
      <c r="XAP372" s="1"/>
      <c r="XAQ372" s="1"/>
      <c r="XAR372" s="1"/>
      <c r="XAS372" s="1"/>
      <c r="XAT372" s="1"/>
      <c r="XAU372" s="1"/>
      <c r="XAV372" s="1"/>
      <c r="XAW372" s="1"/>
      <c r="XAX372" s="1"/>
      <c r="XAY372" s="1"/>
      <c r="XAZ372" s="1"/>
      <c r="XBA372" s="1"/>
      <c r="XBB372" s="1"/>
      <c r="XBC372" s="1"/>
      <c r="XBD372" s="1"/>
      <c r="XBE372" s="1"/>
      <c r="XBF372" s="1"/>
      <c r="XBG372" s="1"/>
      <c r="XBH372" s="1"/>
      <c r="XBI372" s="1"/>
      <c r="XBJ372" s="1"/>
      <c r="XBK372" s="1"/>
      <c r="XBL372" s="1"/>
      <c r="XBM372" s="1"/>
      <c r="XBN372" s="1"/>
      <c r="XBO372" s="1"/>
      <c r="XBP372" s="1"/>
      <c r="XBQ372" s="1"/>
      <c r="XBR372" s="1"/>
      <c r="XBS372" s="1"/>
      <c r="XBT372" s="1"/>
      <c r="XBU372" s="1"/>
      <c r="XBV372" s="1"/>
      <c r="XBW372" s="1"/>
      <c r="XBX372" s="1"/>
      <c r="XBY372" s="1"/>
      <c r="XBZ372" s="1"/>
      <c r="XCA372" s="1"/>
      <c r="XCB372" s="1"/>
      <c r="XCC372" s="1"/>
      <c r="XCD372" s="1"/>
      <c r="XCE372" s="1"/>
      <c r="XCF372" s="1"/>
      <c r="XCG372" s="1"/>
      <c r="XCH372" s="1"/>
      <c r="XCI372" s="1"/>
      <c r="XCJ372" s="1"/>
      <c r="XCK372" s="1"/>
      <c r="XCL372" s="1"/>
      <c r="XCM372" s="1"/>
      <c r="XCN372" s="1"/>
      <c r="XCO372" s="1"/>
      <c r="XCP372" s="1"/>
      <c r="XCQ372" s="1"/>
      <c r="XCR372" s="1"/>
      <c r="XCS372" s="1"/>
      <c r="XCT372" s="1"/>
      <c r="XCU372" s="1"/>
      <c r="XCV372" s="1"/>
      <c r="XCW372" s="1"/>
      <c r="XCX372" s="1"/>
      <c r="XCY372" s="1"/>
      <c r="XCZ372" s="1"/>
      <c r="XDA372" s="1"/>
      <c r="XDB372" s="1"/>
      <c r="XDC372" s="1"/>
      <c r="XDD372" s="1"/>
      <c r="XDE372" s="1"/>
      <c r="XDF372" s="1"/>
      <c r="XDG372" s="1"/>
      <c r="XDH372" s="1"/>
      <c r="XDI372" s="1"/>
      <c r="XDJ372" s="1"/>
      <c r="XDK372" s="1"/>
      <c r="XDL372" s="1"/>
      <c r="XDM372" s="1"/>
      <c r="XDN372" s="1"/>
      <c r="XDO372" s="1"/>
      <c r="XDP372" s="1"/>
      <c r="XDQ372" s="1"/>
      <c r="XDR372" s="1"/>
      <c r="XDS372" s="1"/>
      <c r="XDT372" s="1"/>
      <c r="XDU372" s="1"/>
      <c r="XDV372" s="1"/>
      <c r="XDW372" s="1"/>
      <c r="XDX372" s="1"/>
      <c r="XDY372" s="1"/>
      <c r="XDZ372" s="1"/>
      <c r="XEA372" s="1"/>
      <c r="XEB372" s="1"/>
      <c r="XEC372" s="1"/>
      <c r="XED372" s="1"/>
      <c r="XEE372" s="1"/>
      <c r="XEF372" s="1"/>
      <c r="XEG372" s="1"/>
      <c r="XEH372" s="1"/>
      <c r="XEI372" s="1"/>
      <c r="XEJ372" s="1"/>
      <c r="XEK372" s="1"/>
      <c r="XEL372" s="1"/>
      <c r="XEM372" s="1"/>
      <c r="XEN372" s="1"/>
      <c r="XEO372" s="1"/>
      <c r="XEP372" s="1"/>
      <c r="XEQ372" s="1"/>
      <c r="XER372" s="1"/>
      <c r="XES372" s="1"/>
      <c r="XET372" s="1"/>
      <c r="XEU372" s="1"/>
      <c r="XEV372" s="1"/>
      <c r="XEW372" s="1"/>
      <c r="XEX372" s="1"/>
      <c r="XEY372" s="1"/>
      <c r="XEZ372" s="1"/>
      <c r="XFA372" s="1"/>
      <c r="XFB372" s="1"/>
      <c r="XFC372" s="1"/>
      <c r="XFD372" s="1"/>
    </row>
    <row r="373" spans="1:151 16227:16384" s="11" customFormat="1" ht="20.25" customHeight="1" x14ac:dyDescent="0.25">
      <c r="A373" s="98"/>
      <c r="B373" s="99"/>
      <c r="C373" s="80" t="s">
        <v>263</v>
      </c>
      <c r="D373" s="80"/>
      <c r="E373" s="20" t="s">
        <v>228</v>
      </c>
      <c r="F373" s="81">
        <f t="shared" ref="F373" si="84">(3.05*5.65+2.1*3.05+3.05*3.05+3.2*3.65+2.28*1.38+2.25*1.38+1.98*1+3.53*1)*10.764</f>
        <v>606.88938959999984</v>
      </c>
      <c r="G373" s="82"/>
      <c r="H373" s="20">
        <v>0</v>
      </c>
      <c r="I373" s="20">
        <f>F373*(($I$144)+1)+H373</f>
        <v>971.0230233599998</v>
      </c>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WZC373" s="1"/>
      <c r="WZD373" s="1"/>
      <c r="WZE373" s="1"/>
      <c r="WZF373" s="1"/>
      <c r="WZG373" s="1"/>
      <c r="WZH373" s="1"/>
      <c r="WZI373" s="1"/>
      <c r="WZJ373" s="1"/>
      <c r="WZK373" s="1"/>
      <c r="WZL373" s="1"/>
      <c r="WZM373" s="1"/>
      <c r="WZN373" s="1"/>
      <c r="WZO373" s="1"/>
      <c r="WZP373" s="1"/>
      <c r="WZQ373" s="1"/>
      <c r="WZR373" s="1"/>
      <c r="WZS373" s="1"/>
      <c r="WZT373" s="1"/>
      <c r="WZU373" s="1"/>
      <c r="WZV373" s="1"/>
      <c r="WZW373" s="1"/>
      <c r="WZX373" s="1"/>
      <c r="WZY373" s="1"/>
      <c r="WZZ373" s="1"/>
      <c r="XAA373" s="1"/>
      <c r="XAB373" s="1"/>
      <c r="XAC373" s="1"/>
      <c r="XAD373" s="1"/>
      <c r="XAE373" s="1"/>
      <c r="XAF373" s="1"/>
      <c r="XAG373" s="1"/>
      <c r="XAH373" s="1"/>
      <c r="XAI373" s="1"/>
      <c r="XAJ373" s="1"/>
      <c r="XAK373" s="1"/>
      <c r="XAL373" s="1"/>
      <c r="XAM373" s="1"/>
      <c r="XAN373" s="1"/>
      <c r="XAO373" s="1"/>
      <c r="XAP373" s="1"/>
      <c r="XAQ373" s="1"/>
      <c r="XAR373" s="1"/>
      <c r="XAS373" s="1"/>
      <c r="XAT373" s="1"/>
      <c r="XAU373" s="1"/>
      <c r="XAV373" s="1"/>
      <c r="XAW373" s="1"/>
      <c r="XAX373" s="1"/>
      <c r="XAY373" s="1"/>
      <c r="XAZ373" s="1"/>
      <c r="XBA373" s="1"/>
      <c r="XBB373" s="1"/>
      <c r="XBC373" s="1"/>
      <c r="XBD373" s="1"/>
      <c r="XBE373" s="1"/>
      <c r="XBF373" s="1"/>
      <c r="XBG373" s="1"/>
      <c r="XBH373" s="1"/>
      <c r="XBI373" s="1"/>
      <c r="XBJ373" s="1"/>
      <c r="XBK373" s="1"/>
      <c r="XBL373" s="1"/>
      <c r="XBM373" s="1"/>
      <c r="XBN373" s="1"/>
      <c r="XBO373" s="1"/>
      <c r="XBP373" s="1"/>
      <c r="XBQ373" s="1"/>
      <c r="XBR373" s="1"/>
      <c r="XBS373" s="1"/>
      <c r="XBT373" s="1"/>
      <c r="XBU373" s="1"/>
      <c r="XBV373" s="1"/>
      <c r="XBW373" s="1"/>
      <c r="XBX373" s="1"/>
      <c r="XBY373" s="1"/>
      <c r="XBZ373" s="1"/>
      <c r="XCA373" s="1"/>
      <c r="XCB373" s="1"/>
      <c r="XCC373" s="1"/>
      <c r="XCD373" s="1"/>
      <c r="XCE373" s="1"/>
      <c r="XCF373" s="1"/>
      <c r="XCG373" s="1"/>
      <c r="XCH373" s="1"/>
      <c r="XCI373" s="1"/>
      <c r="XCJ373" s="1"/>
      <c r="XCK373" s="1"/>
      <c r="XCL373" s="1"/>
      <c r="XCM373" s="1"/>
      <c r="XCN373" s="1"/>
      <c r="XCO373" s="1"/>
      <c r="XCP373" s="1"/>
      <c r="XCQ373" s="1"/>
      <c r="XCR373" s="1"/>
      <c r="XCS373" s="1"/>
      <c r="XCT373" s="1"/>
      <c r="XCU373" s="1"/>
      <c r="XCV373" s="1"/>
      <c r="XCW373" s="1"/>
      <c r="XCX373" s="1"/>
      <c r="XCY373" s="1"/>
      <c r="XCZ373" s="1"/>
      <c r="XDA373" s="1"/>
      <c r="XDB373" s="1"/>
      <c r="XDC373" s="1"/>
      <c r="XDD373" s="1"/>
      <c r="XDE373" s="1"/>
      <c r="XDF373" s="1"/>
      <c r="XDG373" s="1"/>
      <c r="XDH373" s="1"/>
      <c r="XDI373" s="1"/>
      <c r="XDJ373" s="1"/>
      <c r="XDK373" s="1"/>
      <c r="XDL373" s="1"/>
      <c r="XDM373" s="1"/>
      <c r="XDN373" s="1"/>
      <c r="XDO373" s="1"/>
      <c r="XDP373" s="1"/>
      <c r="XDQ373" s="1"/>
      <c r="XDR373" s="1"/>
      <c r="XDS373" s="1"/>
      <c r="XDT373" s="1"/>
      <c r="XDU373" s="1"/>
      <c r="XDV373" s="1"/>
      <c r="XDW373" s="1"/>
      <c r="XDX373" s="1"/>
      <c r="XDY373" s="1"/>
      <c r="XDZ373" s="1"/>
      <c r="XEA373" s="1"/>
      <c r="XEB373" s="1"/>
      <c r="XEC373" s="1"/>
      <c r="XED373" s="1"/>
      <c r="XEE373" s="1"/>
      <c r="XEF373" s="1"/>
      <c r="XEG373" s="1"/>
      <c r="XEH373" s="1"/>
      <c r="XEI373" s="1"/>
      <c r="XEJ373" s="1"/>
      <c r="XEK373" s="1"/>
      <c r="XEL373" s="1"/>
      <c r="XEM373" s="1"/>
      <c r="XEN373" s="1"/>
      <c r="XEO373" s="1"/>
      <c r="XEP373" s="1"/>
      <c r="XEQ373" s="1"/>
      <c r="XER373" s="1"/>
      <c r="XES373" s="1"/>
      <c r="XET373" s="1"/>
      <c r="XEU373" s="1"/>
      <c r="XEV373" s="1"/>
      <c r="XEW373" s="1"/>
      <c r="XEX373" s="1"/>
      <c r="XEY373" s="1"/>
      <c r="XEZ373" s="1"/>
      <c r="XFA373" s="1"/>
      <c r="XFB373" s="1"/>
      <c r="XFC373" s="1"/>
      <c r="XFD373" s="1"/>
    </row>
    <row r="374" spans="1:151 16227:16384" s="11" customFormat="1" ht="20.25" customHeight="1" x14ac:dyDescent="0.25">
      <c r="A374" s="98"/>
      <c r="B374" s="99"/>
      <c r="C374" s="80" t="s">
        <v>262</v>
      </c>
      <c r="D374" s="80"/>
      <c r="E374" s="81" t="s">
        <v>235</v>
      </c>
      <c r="F374" s="83"/>
      <c r="G374" s="83"/>
      <c r="H374" s="83"/>
      <c r="I374" s="82"/>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WZC374" s="1"/>
      <c r="WZD374" s="1"/>
      <c r="WZE374" s="1"/>
      <c r="WZF374" s="1"/>
      <c r="WZG374" s="1"/>
      <c r="WZH374" s="1"/>
      <c r="WZI374" s="1"/>
      <c r="WZJ374" s="1"/>
      <c r="WZK374" s="1"/>
      <c r="WZL374" s="1"/>
      <c r="WZM374" s="1"/>
      <c r="WZN374" s="1"/>
      <c r="WZO374" s="1"/>
      <c r="WZP374" s="1"/>
      <c r="WZQ374" s="1"/>
      <c r="WZR374" s="1"/>
      <c r="WZS374" s="1"/>
      <c r="WZT374" s="1"/>
      <c r="WZU374" s="1"/>
      <c r="WZV374" s="1"/>
      <c r="WZW374" s="1"/>
      <c r="WZX374" s="1"/>
      <c r="WZY374" s="1"/>
      <c r="WZZ374" s="1"/>
      <c r="XAA374" s="1"/>
      <c r="XAB374" s="1"/>
      <c r="XAC374" s="1"/>
      <c r="XAD374" s="1"/>
      <c r="XAE374" s="1"/>
      <c r="XAF374" s="1"/>
      <c r="XAG374" s="1"/>
      <c r="XAH374" s="1"/>
      <c r="XAI374" s="1"/>
      <c r="XAJ374" s="1"/>
      <c r="XAK374" s="1"/>
      <c r="XAL374" s="1"/>
      <c r="XAM374" s="1"/>
      <c r="XAN374" s="1"/>
      <c r="XAO374" s="1"/>
      <c r="XAP374" s="1"/>
      <c r="XAQ374" s="1"/>
      <c r="XAR374" s="1"/>
      <c r="XAS374" s="1"/>
      <c r="XAT374" s="1"/>
      <c r="XAU374" s="1"/>
      <c r="XAV374" s="1"/>
      <c r="XAW374" s="1"/>
      <c r="XAX374" s="1"/>
      <c r="XAY374" s="1"/>
      <c r="XAZ374" s="1"/>
      <c r="XBA374" s="1"/>
      <c r="XBB374" s="1"/>
      <c r="XBC374" s="1"/>
      <c r="XBD374" s="1"/>
      <c r="XBE374" s="1"/>
      <c r="XBF374" s="1"/>
      <c r="XBG374" s="1"/>
      <c r="XBH374" s="1"/>
      <c r="XBI374" s="1"/>
      <c r="XBJ374" s="1"/>
      <c r="XBK374" s="1"/>
      <c r="XBL374" s="1"/>
      <c r="XBM374" s="1"/>
      <c r="XBN374" s="1"/>
      <c r="XBO374" s="1"/>
      <c r="XBP374" s="1"/>
      <c r="XBQ374" s="1"/>
      <c r="XBR374" s="1"/>
      <c r="XBS374" s="1"/>
      <c r="XBT374" s="1"/>
      <c r="XBU374" s="1"/>
      <c r="XBV374" s="1"/>
      <c r="XBW374" s="1"/>
      <c r="XBX374" s="1"/>
      <c r="XBY374" s="1"/>
      <c r="XBZ374" s="1"/>
      <c r="XCA374" s="1"/>
      <c r="XCB374" s="1"/>
      <c r="XCC374" s="1"/>
      <c r="XCD374" s="1"/>
      <c r="XCE374" s="1"/>
      <c r="XCF374" s="1"/>
      <c r="XCG374" s="1"/>
      <c r="XCH374" s="1"/>
      <c r="XCI374" s="1"/>
      <c r="XCJ374" s="1"/>
      <c r="XCK374" s="1"/>
      <c r="XCL374" s="1"/>
      <c r="XCM374" s="1"/>
      <c r="XCN374" s="1"/>
      <c r="XCO374" s="1"/>
      <c r="XCP374" s="1"/>
      <c r="XCQ374" s="1"/>
      <c r="XCR374" s="1"/>
      <c r="XCS374" s="1"/>
      <c r="XCT374" s="1"/>
      <c r="XCU374" s="1"/>
      <c r="XCV374" s="1"/>
      <c r="XCW374" s="1"/>
      <c r="XCX374" s="1"/>
      <c r="XCY374" s="1"/>
      <c r="XCZ374" s="1"/>
      <c r="XDA374" s="1"/>
      <c r="XDB374" s="1"/>
      <c r="XDC374" s="1"/>
      <c r="XDD374" s="1"/>
      <c r="XDE374" s="1"/>
      <c r="XDF374" s="1"/>
      <c r="XDG374" s="1"/>
      <c r="XDH374" s="1"/>
      <c r="XDI374" s="1"/>
      <c r="XDJ374" s="1"/>
      <c r="XDK374" s="1"/>
      <c r="XDL374" s="1"/>
      <c r="XDM374" s="1"/>
      <c r="XDN374" s="1"/>
      <c r="XDO374" s="1"/>
      <c r="XDP374" s="1"/>
      <c r="XDQ374" s="1"/>
      <c r="XDR374" s="1"/>
      <c r="XDS374" s="1"/>
      <c r="XDT374" s="1"/>
      <c r="XDU374" s="1"/>
      <c r="XDV374" s="1"/>
      <c r="XDW374" s="1"/>
      <c r="XDX374" s="1"/>
      <c r="XDY374" s="1"/>
      <c r="XDZ374" s="1"/>
      <c r="XEA374" s="1"/>
      <c r="XEB374" s="1"/>
      <c r="XEC374" s="1"/>
      <c r="XED374" s="1"/>
      <c r="XEE374" s="1"/>
      <c r="XEF374" s="1"/>
      <c r="XEG374" s="1"/>
      <c r="XEH374" s="1"/>
      <c r="XEI374" s="1"/>
      <c r="XEJ374" s="1"/>
      <c r="XEK374" s="1"/>
      <c r="XEL374" s="1"/>
      <c r="XEM374" s="1"/>
      <c r="XEN374" s="1"/>
      <c r="XEO374" s="1"/>
      <c r="XEP374" s="1"/>
      <c r="XEQ374" s="1"/>
      <c r="XER374" s="1"/>
      <c r="XES374" s="1"/>
      <c r="XET374" s="1"/>
      <c r="XEU374" s="1"/>
      <c r="XEV374" s="1"/>
      <c r="XEW374" s="1"/>
      <c r="XEX374" s="1"/>
      <c r="XEY374" s="1"/>
      <c r="XEZ374" s="1"/>
      <c r="XFA374" s="1"/>
      <c r="XFB374" s="1"/>
      <c r="XFC374" s="1"/>
      <c r="XFD374" s="1"/>
    </row>
    <row r="375" spans="1:151 16227:16384" s="11" customFormat="1" ht="20.25" x14ac:dyDescent="0.25">
      <c r="A375" s="98"/>
      <c r="B375" s="99"/>
      <c r="C375" s="80" t="s">
        <v>265</v>
      </c>
      <c r="D375" s="80"/>
      <c r="E375" s="20" t="s">
        <v>232</v>
      </c>
      <c r="F375" s="81">
        <f>(1.2*1.25+1.05*1.3+3.05*2.45+3.05*5.95+0.2*2.47+2.55*3.35+3.05*3.05+3.05*3.35+1.38*2.28+2.23*1.38+1*0.85+2.65*1)*10.764</f>
        <v>718.66168919999996</v>
      </c>
      <c r="G375" s="82"/>
      <c r="H375" s="20">
        <v>0</v>
      </c>
      <c r="I375" s="20">
        <f>F375*(($I$144)+1)+H375</f>
        <v>1149.8587027199999</v>
      </c>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WZC375" s="1"/>
      <c r="WZD375" s="1"/>
      <c r="WZE375" s="1"/>
      <c r="WZF375" s="1"/>
      <c r="WZG375" s="1"/>
      <c r="WZH375" s="1"/>
      <c r="WZI375" s="1"/>
      <c r="WZJ375" s="1"/>
      <c r="WZK375" s="1"/>
      <c r="WZL375" s="1"/>
      <c r="WZM375" s="1"/>
      <c r="WZN375" s="1"/>
      <c r="WZO375" s="1"/>
      <c r="WZP375" s="1"/>
      <c r="WZQ375" s="1"/>
      <c r="WZR375" s="1"/>
      <c r="WZS375" s="1"/>
      <c r="WZT375" s="1"/>
      <c r="WZU375" s="1"/>
      <c r="WZV375" s="1"/>
      <c r="WZW375" s="1"/>
      <c r="WZX375" s="1"/>
      <c r="WZY375" s="1"/>
      <c r="WZZ375" s="1"/>
      <c r="XAA375" s="1"/>
      <c r="XAB375" s="1"/>
      <c r="XAC375" s="1"/>
      <c r="XAD375" s="1"/>
      <c r="XAE375" s="1"/>
      <c r="XAF375" s="1"/>
      <c r="XAG375" s="1"/>
      <c r="XAH375" s="1"/>
      <c r="XAI375" s="1"/>
      <c r="XAJ375" s="1"/>
      <c r="XAK375" s="1"/>
      <c r="XAL375" s="1"/>
      <c r="XAM375" s="1"/>
      <c r="XAN375" s="1"/>
      <c r="XAO375" s="1"/>
      <c r="XAP375" s="1"/>
      <c r="XAQ375" s="1"/>
      <c r="XAR375" s="1"/>
      <c r="XAS375" s="1"/>
      <c r="XAT375" s="1"/>
      <c r="XAU375" s="1"/>
      <c r="XAV375" s="1"/>
      <c r="XAW375" s="1"/>
      <c r="XAX375" s="1"/>
      <c r="XAY375" s="1"/>
      <c r="XAZ375" s="1"/>
      <c r="XBA375" s="1"/>
      <c r="XBB375" s="1"/>
      <c r="XBC375" s="1"/>
      <c r="XBD375" s="1"/>
      <c r="XBE375" s="1"/>
      <c r="XBF375" s="1"/>
      <c r="XBG375" s="1"/>
      <c r="XBH375" s="1"/>
      <c r="XBI375" s="1"/>
      <c r="XBJ375" s="1"/>
      <c r="XBK375" s="1"/>
      <c r="XBL375" s="1"/>
      <c r="XBM375" s="1"/>
      <c r="XBN375" s="1"/>
      <c r="XBO375" s="1"/>
      <c r="XBP375" s="1"/>
      <c r="XBQ375" s="1"/>
      <c r="XBR375" s="1"/>
      <c r="XBS375" s="1"/>
      <c r="XBT375" s="1"/>
      <c r="XBU375" s="1"/>
      <c r="XBV375" s="1"/>
      <c r="XBW375" s="1"/>
      <c r="XBX375" s="1"/>
      <c r="XBY375" s="1"/>
      <c r="XBZ375" s="1"/>
      <c r="XCA375" s="1"/>
      <c r="XCB375" s="1"/>
      <c r="XCC375" s="1"/>
      <c r="XCD375" s="1"/>
      <c r="XCE375" s="1"/>
      <c r="XCF375" s="1"/>
      <c r="XCG375" s="1"/>
      <c r="XCH375" s="1"/>
      <c r="XCI375" s="1"/>
      <c r="XCJ375" s="1"/>
      <c r="XCK375" s="1"/>
      <c r="XCL375" s="1"/>
      <c r="XCM375" s="1"/>
      <c r="XCN375" s="1"/>
      <c r="XCO375" s="1"/>
      <c r="XCP375" s="1"/>
      <c r="XCQ375" s="1"/>
      <c r="XCR375" s="1"/>
      <c r="XCS375" s="1"/>
      <c r="XCT375" s="1"/>
      <c r="XCU375" s="1"/>
      <c r="XCV375" s="1"/>
      <c r="XCW375" s="1"/>
      <c r="XCX375" s="1"/>
      <c r="XCY375" s="1"/>
      <c r="XCZ375" s="1"/>
      <c r="XDA375" s="1"/>
      <c r="XDB375" s="1"/>
      <c r="XDC375" s="1"/>
      <c r="XDD375" s="1"/>
      <c r="XDE375" s="1"/>
      <c r="XDF375" s="1"/>
      <c r="XDG375" s="1"/>
      <c r="XDH375" s="1"/>
      <c r="XDI375" s="1"/>
      <c r="XDJ375" s="1"/>
      <c r="XDK375" s="1"/>
      <c r="XDL375" s="1"/>
      <c r="XDM375" s="1"/>
      <c r="XDN375" s="1"/>
      <c r="XDO375" s="1"/>
      <c r="XDP375" s="1"/>
      <c r="XDQ375" s="1"/>
      <c r="XDR375" s="1"/>
      <c r="XDS375" s="1"/>
      <c r="XDT375" s="1"/>
      <c r="XDU375" s="1"/>
      <c r="XDV375" s="1"/>
      <c r="XDW375" s="1"/>
      <c r="XDX375" s="1"/>
      <c r="XDY375" s="1"/>
      <c r="XDZ375" s="1"/>
      <c r="XEA375" s="1"/>
      <c r="XEB375" s="1"/>
      <c r="XEC375" s="1"/>
      <c r="XED375" s="1"/>
      <c r="XEE375" s="1"/>
      <c r="XEF375" s="1"/>
      <c r="XEG375" s="1"/>
      <c r="XEH375" s="1"/>
      <c r="XEI375" s="1"/>
      <c r="XEJ375" s="1"/>
      <c r="XEK375" s="1"/>
      <c r="XEL375" s="1"/>
      <c r="XEM375" s="1"/>
      <c r="XEN375" s="1"/>
      <c r="XEO375" s="1"/>
      <c r="XEP375" s="1"/>
      <c r="XEQ375" s="1"/>
      <c r="XER375" s="1"/>
      <c r="XES375" s="1"/>
      <c r="XET375" s="1"/>
      <c r="XEU375" s="1"/>
      <c r="XEV375" s="1"/>
      <c r="XEW375" s="1"/>
      <c r="XEX375" s="1"/>
      <c r="XEY375" s="1"/>
      <c r="XEZ375" s="1"/>
      <c r="XFA375" s="1"/>
      <c r="XFB375" s="1"/>
      <c r="XFC375" s="1"/>
      <c r="XFD375" s="1"/>
    </row>
    <row r="376" spans="1:151 16227:16384" s="11" customFormat="1" ht="20.25" x14ac:dyDescent="0.25">
      <c r="A376" s="100"/>
      <c r="B376" s="101"/>
      <c r="C376" s="80" t="s">
        <v>266</v>
      </c>
      <c r="D376" s="80"/>
      <c r="E376" s="20" t="s">
        <v>232</v>
      </c>
      <c r="F376" s="81">
        <f>(1.2*1.25+1.05*1.3+3.05*2.45+3.05*5.95+2.45*2.7+3.05*3.65+1.38*2.28+3.45*3.05+2.15*1.38+1.13*0.6+3.75*1)*10.764</f>
        <v>724.37844960000007</v>
      </c>
      <c r="G376" s="82"/>
      <c r="H376" s="20">
        <v>0</v>
      </c>
      <c r="I376" s="20">
        <f>F376*(($I$144)+1)+H376</f>
        <v>1159.0055193600001</v>
      </c>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WZC376" s="1"/>
      <c r="WZD376" s="1"/>
      <c r="WZE376" s="1"/>
      <c r="WZF376" s="1"/>
      <c r="WZG376" s="1"/>
      <c r="WZH376" s="1"/>
      <c r="WZI376" s="1"/>
      <c r="WZJ376" s="1"/>
      <c r="WZK376" s="1"/>
      <c r="WZL376" s="1"/>
      <c r="WZM376" s="1"/>
      <c r="WZN376" s="1"/>
      <c r="WZO376" s="1"/>
      <c r="WZP376" s="1"/>
      <c r="WZQ376" s="1"/>
      <c r="WZR376" s="1"/>
      <c r="WZS376" s="1"/>
      <c r="WZT376" s="1"/>
      <c r="WZU376" s="1"/>
      <c r="WZV376" s="1"/>
      <c r="WZW376" s="1"/>
      <c r="WZX376" s="1"/>
      <c r="WZY376" s="1"/>
      <c r="WZZ376" s="1"/>
      <c r="XAA376" s="1"/>
      <c r="XAB376" s="1"/>
      <c r="XAC376" s="1"/>
      <c r="XAD376" s="1"/>
      <c r="XAE376" s="1"/>
      <c r="XAF376" s="1"/>
      <c r="XAG376" s="1"/>
      <c r="XAH376" s="1"/>
      <c r="XAI376" s="1"/>
      <c r="XAJ376" s="1"/>
      <c r="XAK376" s="1"/>
      <c r="XAL376" s="1"/>
      <c r="XAM376" s="1"/>
      <c r="XAN376" s="1"/>
      <c r="XAO376" s="1"/>
      <c r="XAP376" s="1"/>
      <c r="XAQ376" s="1"/>
      <c r="XAR376" s="1"/>
      <c r="XAS376" s="1"/>
      <c r="XAT376" s="1"/>
      <c r="XAU376" s="1"/>
      <c r="XAV376" s="1"/>
      <c r="XAW376" s="1"/>
      <c r="XAX376" s="1"/>
      <c r="XAY376" s="1"/>
      <c r="XAZ376" s="1"/>
      <c r="XBA376" s="1"/>
      <c r="XBB376" s="1"/>
      <c r="XBC376" s="1"/>
      <c r="XBD376" s="1"/>
      <c r="XBE376" s="1"/>
      <c r="XBF376" s="1"/>
      <c r="XBG376" s="1"/>
      <c r="XBH376" s="1"/>
      <c r="XBI376" s="1"/>
      <c r="XBJ376" s="1"/>
      <c r="XBK376" s="1"/>
      <c r="XBL376" s="1"/>
      <c r="XBM376" s="1"/>
      <c r="XBN376" s="1"/>
      <c r="XBO376" s="1"/>
      <c r="XBP376" s="1"/>
      <c r="XBQ376" s="1"/>
      <c r="XBR376" s="1"/>
      <c r="XBS376" s="1"/>
      <c r="XBT376" s="1"/>
      <c r="XBU376" s="1"/>
      <c r="XBV376" s="1"/>
      <c r="XBW376" s="1"/>
      <c r="XBX376" s="1"/>
      <c r="XBY376" s="1"/>
      <c r="XBZ376" s="1"/>
      <c r="XCA376" s="1"/>
      <c r="XCB376" s="1"/>
      <c r="XCC376" s="1"/>
      <c r="XCD376" s="1"/>
      <c r="XCE376" s="1"/>
      <c r="XCF376" s="1"/>
      <c r="XCG376" s="1"/>
      <c r="XCH376" s="1"/>
      <c r="XCI376" s="1"/>
      <c r="XCJ376" s="1"/>
      <c r="XCK376" s="1"/>
      <c r="XCL376" s="1"/>
      <c r="XCM376" s="1"/>
      <c r="XCN376" s="1"/>
      <c r="XCO376" s="1"/>
      <c r="XCP376" s="1"/>
      <c r="XCQ376" s="1"/>
      <c r="XCR376" s="1"/>
      <c r="XCS376" s="1"/>
      <c r="XCT376" s="1"/>
      <c r="XCU376" s="1"/>
      <c r="XCV376" s="1"/>
      <c r="XCW376" s="1"/>
      <c r="XCX376" s="1"/>
      <c r="XCY376" s="1"/>
      <c r="XCZ376" s="1"/>
      <c r="XDA376" s="1"/>
      <c r="XDB376" s="1"/>
      <c r="XDC376" s="1"/>
      <c r="XDD376" s="1"/>
      <c r="XDE376" s="1"/>
      <c r="XDF376" s="1"/>
      <c r="XDG376" s="1"/>
      <c r="XDH376" s="1"/>
      <c r="XDI376" s="1"/>
      <c r="XDJ376" s="1"/>
      <c r="XDK376" s="1"/>
      <c r="XDL376" s="1"/>
      <c r="XDM376" s="1"/>
      <c r="XDN376" s="1"/>
      <c r="XDO376" s="1"/>
      <c r="XDP376" s="1"/>
      <c r="XDQ376" s="1"/>
      <c r="XDR376" s="1"/>
      <c r="XDS376" s="1"/>
      <c r="XDT376" s="1"/>
      <c r="XDU376" s="1"/>
      <c r="XDV376" s="1"/>
      <c r="XDW376" s="1"/>
      <c r="XDX376" s="1"/>
      <c r="XDY376" s="1"/>
      <c r="XDZ376" s="1"/>
      <c r="XEA376" s="1"/>
      <c r="XEB376" s="1"/>
      <c r="XEC376" s="1"/>
      <c r="XED376" s="1"/>
      <c r="XEE376" s="1"/>
      <c r="XEF376" s="1"/>
      <c r="XEG376" s="1"/>
      <c r="XEH376" s="1"/>
      <c r="XEI376" s="1"/>
      <c r="XEJ376" s="1"/>
      <c r="XEK376" s="1"/>
      <c r="XEL376" s="1"/>
      <c r="XEM376" s="1"/>
      <c r="XEN376" s="1"/>
      <c r="XEO376" s="1"/>
      <c r="XEP376" s="1"/>
      <c r="XEQ376" s="1"/>
      <c r="XER376" s="1"/>
      <c r="XES376" s="1"/>
      <c r="XET376" s="1"/>
      <c r="XEU376" s="1"/>
      <c r="XEV376" s="1"/>
      <c r="XEW376" s="1"/>
      <c r="XEX376" s="1"/>
      <c r="XEY376" s="1"/>
      <c r="XEZ376" s="1"/>
      <c r="XFA376" s="1"/>
      <c r="XFB376" s="1"/>
      <c r="XFC376" s="1"/>
      <c r="XFD376" s="1"/>
    </row>
    <row r="377" spans="1:151 16227:16384" s="11" customFormat="1" ht="20.25" customHeight="1" x14ac:dyDescent="0.25">
      <c r="A377" s="93" t="s">
        <v>285</v>
      </c>
      <c r="B377" s="94"/>
      <c r="C377" s="94"/>
      <c r="D377" s="94"/>
      <c r="E377" s="94"/>
      <c r="F377" s="94"/>
      <c r="G377" s="94"/>
      <c r="H377" s="94"/>
      <c r="I377" s="102"/>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WZC377" s="1"/>
      <c r="WZD377" s="1"/>
      <c r="WZE377" s="1"/>
      <c r="WZF377" s="1"/>
      <c r="WZG377" s="1"/>
      <c r="WZH377" s="1"/>
      <c r="WZI377" s="1"/>
      <c r="WZJ377" s="1"/>
      <c r="WZK377" s="1"/>
      <c r="WZL377" s="1"/>
      <c r="WZM377" s="1"/>
      <c r="WZN377" s="1"/>
      <c r="WZO377" s="1"/>
      <c r="WZP377" s="1"/>
      <c r="WZQ377" s="1"/>
      <c r="WZR377" s="1"/>
      <c r="WZS377" s="1"/>
      <c r="WZT377" s="1"/>
      <c r="WZU377" s="1"/>
      <c r="WZV377" s="1"/>
      <c r="WZW377" s="1"/>
      <c r="WZX377" s="1"/>
      <c r="WZY377" s="1"/>
      <c r="WZZ377" s="1"/>
      <c r="XAA377" s="1"/>
      <c r="XAB377" s="1"/>
      <c r="XAC377" s="1"/>
      <c r="XAD377" s="1"/>
      <c r="XAE377" s="1"/>
      <c r="XAF377" s="1"/>
      <c r="XAG377" s="1"/>
      <c r="XAH377" s="1"/>
      <c r="XAI377" s="1"/>
      <c r="XAJ377" s="1"/>
      <c r="XAK377" s="1"/>
      <c r="XAL377" s="1"/>
      <c r="XAM377" s="1"/>
      <c r="XAN377" s="1"/>
      <c r="XAO377" s="1"/>
      <c r="XAP377" s="1"/>
      <c r="XAQ377" s="1"/>
      <c r="XAR377" s="1"/>
      <c r="XAS377" s="1"/>
      <c r="XAT377" s="1"/>
      <c r="XAU377" s="1"/>
      <c r="XAV377" s="1"/>
      <c r="XAW377" s="1"/>
      <c r="XAX377" s="1"/>
      <c r="XAY377" s="1"/>
      <c r="XAZ377" s="1"/>
      <c r="XBA377" s="1"/>
      <c r="XBB377" s="1"/>
      <c r="XBC377" s="1"/>
      <c r="XBD377" s="1"/>
      <c r="XBE377" s="1"/>
      <c r="XBF377" s="1"/>
      <c r="XBG377" s="1"/>
      <c r="XBH377" s="1"/>
      <c r="XBI377" s="1"/>
      <c r="XBJ377" s="1"/>
      <c r="XBK377" s="1"/>
      <c r="XBL377" s="1"/>
      <c r="XBM377" s="1"/>
      <c r="XBN377" s="1"/>
      <c r="XBO377" s="1"/>
      <c r="XBP377" s="1"/>
      <c r="XBQ377" s="1"/>
      <c r="XBR377" s="1"/>
      <c r="XBS377" s="1"/>
      <c r="XBT377" s="1"/>
      <c r="XBU377" s="1"/>
      <c r="XBV377" s="1"/>
      <c r="XBW377" s="1"/>
      <c r="XBX377" s="1"/>
      <c r="XBY377" s="1"/>
      <c r="XBZ377" s="1"/>
      <c r="XCA377" s="1"/>
      <c r="XCB377" s="1"/>
      <c r="XCC377" s="1"/>
      <c r="XCD377" s="1"/>
      <c r="XCE377" s="1"/>
      <c r="XCF377" s="1"/>
      <c r="XCG377" s="1"/>
      <c r="XCH377" s="1"/>
      <c r="XCI377" s="1"/>
      <c r="XCJ377" s="1"/>
      <c r="XCK377" s="1"/>
      <c r="XCL377" s="1"/>
      <c r="XCM377" s="1"/>
      <c r="XCN377" s="1"/>
      <c r="XCO377" s="1"/>
      <c r="XCP377" s="1"/>
      <c r="XCQ377" s="1"/>
      <c r="XCR377" s="1"/>
      <c r="XCS377" s="1"/>
      <c r="XCT377" s="1"/>
      <c r="XCU377" s="1"/>
      <c r="XCV377" s="1"/>
      <c r="XCW377" s="1"/>
      <c r="XCX377" s="1"/>
      <c r="XCY377" s="1"/>
      <c r="XCZ377" s="1"/>
      <c r="XDA377" s="1"/>
      <c r="XDB377" s="1"/>
      <c r="XDC377" s="1"/>
      <c r="XDD377" s="1"/>
      <c r="XDE377" s="1"/>
      <c r="XDF377" s="1"/>
      <c r="XDG377" s="1"/>
      <c r="XDH377" s="1"/>
      <c r="XDI377" s="1"/>
      <c r="XDJ377" s="1"/>
      <c r="XDK377" s="1"/>
      <c r="XDL377" s="1"/>
      <c r="XDM377" s="1"/>
      <c r="XDN377" s="1"/>
      <c r="XDO377" s="1"/>
      <c r="XDP377" s="1"/>
      <c r="XDQ377" s="1"/>
      <c r="XDR377" s="1"/>
      <c r="XDS377" s="1"/>
      <c r="XDT377" s="1"/>
      <c r="XDU377" s="1"/>
      <c r="XDV377" s="1"/>
      <c r="XDW377" s="1"/>
      <c r="XDX377" s="1"/>
      <c r="XDY377" s="1"/>
      <c r="XDZ377" s="1"/>
      <c r="XEA377" s="1"/>
      <c r="XEB377" s="1"/>
      <c r="XEC377" s="1"/>
      <c r="XED377" s="1"/>
      <c r="XEE377" s="1"/>
      <c r="XEF377" s="1"/>
      <c r="XEG377" s="1"/>
      <c r="XEH377" s="1"/>
      <c r="XEI377" s="1"/>
      <c r="XEJ377" s="1"/>
      <c r="XEK377" s="1"/>
      <c r="XEL377" s="1"/>
      <c r="XEM377" s="1"/>
      <c r="XEN377" s="1"/>
      <c r="XEO377" s="1"/>
      <c r="XEP377" s="1"/>
      <c r="XEQ377" s="1"/>
      <c r="XER377" s="1"/>
      <c r="XES377" s="1"/>
      <c r="XET377" s="1"/>
      <c r="XEU377" s="1"/>
      <c r="XEV377" s="1"/>
      <c r="XEW377" s="1"/>
      <c r="XEX377" s="1"/>
      <c r="XEY377" s="1"/>
      <c r="XEZ377" s="1"/>
      <c r="XFA377" s="1"/>
      <c r="XFB377" s="1"/>
      <c r="XFC377" s="1"/>
      <c r="XFD377" s="1"/>
    </row>
    <row r="378" spans="1:151 16227:16384" s="11" customFormat="1" ht="20.25" customHeight="1" x14ac:dyDescent="0.25">
      <c r="A378" s="96" t="str">
        <f>A377</f>
        <v>25th to 28th, 30th to 32nd Floor</v>
      </c>
      <c r="B378" s="97"/>
      <c r="C378" s="80" t="s">
        <v>264</v>
      </c>
      <c r="D378" s="80"/>
      <c r="E378" s="20" t="s">
        <v>232</v>
      </c>
      <c r="F378" s="81">
        <f>(2.75*1.05+2.45*3.05+3.05*3.05+3.05*6.4+3.05*3.65+1.28*1.28+1.08*0.91+2.2*1.38+3.05*3.35+1.28*1.38+1.08*0.91+1.2*1.1+2.47*1.38)*10.764</f>
        <v>792.95696999999984</v>
      </c>
      <c r="G378" s="82"/>
      <c r="H378" s="20">
        <v>0</v>
      </c>
      <c r="I378" s="20">
        <f>F378*(($I$144)+1)+H378</f>
        <v>1268.7311519999998</v>
      </c>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WZC378" s="1"/>
      <c r="WZD378" s="1"/>
      <c r="WZE378" s="1"/>
      <c r="WZF378" s="1"/>
      <c r="WZG378" s="1"/>
      <c r="WZH378" s="1"/>
      <c r="WZI378" s="1"/>
      <c r="WZJ378" s="1"/>
      <c r="WZK378" s="1"/>
      <c r="WZL378" s="1"/>
      <c r="WZM378" s="1"/>
      <c r="WZN378" s="1"/>
      <c r="WZO378" s="1"/>
      <c r="WZP378" s="1"/>
      <c r="WZQ378" s="1"/>
      <c r="WZR378" s="1"/>
      <c r="WZS378" s="1"/>
      <c r="WZT378" s="1"/>
      <c r="WZU378" s="1"/>
      <c r="WZV378" s="1"/>
      <c r="WZW378" s="1"/>
      <c r="WZX378" s="1"/>
      <c r="WZY378" s="1"/>
      <c r="WZZ378" s="1"/>
      <c r="XAA378" s="1"/>
      <c r="XAB378" s="1"/>
      <c r="XAC378" s="1"/>
      <c r="XAD378" s="1"/>
      <c r="XAE378" s="1"/>
      <c r="XAF378" s="1"/>
      <c r="XAG378" s="1"/>
      <c r="XAH378" s="1"/>
      <c r="XAI378" s="1"/>
      <c r="XAJ378" s="1"/>
      <c r="XAK378" s="1"/>
      <c r="XAL378" s="1"/>
      <c r="XAM378" s="1"/>
      <c r="XAN378" s="1"/>
      <c r="XAO378" s="1"/>
      <c r="XAP378" s="1"/>
      <c r="XAQ378" s="1"/>
      <c r="XAR378" s="1"/>
      <c r="XAS378" s="1"/>
      <c r="XAT378" s="1"/>
      <c r="XAU378" s="1"/>
      <c r="XAV378" s="1"/>
      <c r="XAW378" s="1"/>
      <c r="XAX378" s="1"/>
      <c r="XAY378" s="1"/>
      <c r="XAZ378" s="1"/>
      <c r="XBA378" s="1"/>
      <c r="XBB378" s="1"/>
      <c r="XBC378" s="1"/>
      <c r="XBD378" s="1"/>
      <c r="XBE378" s="1"/>
      <c r="XBF378" s="1"/>
      <c r="XBG378" s="1"/>
      <c r="XBH378" s="1"/>
      <c r="XBI378" s="1"/>
      <c r="XBJ378" s="1"/>
      <c r="XBK378" s="1"/>
      <c r="XBL378" s="1"/>
      <c r="XBM378" s="1"/>
      <c r="XBN378" s="1"/>
      <c r="XBO378" s="1"/>
      <c r="XBP378" s="1"/>
      <c r="XBQ378" s="1"/>
      <c r="XBR378" s="1"/>
      <c r="XBS378" s="1"/>
      <c r="XBT378" s="1"/>
      <c r="XBU378" s="1"/>
      <c r="XBV378" s="1"/>
      <c r="XBW378" s="1"/>
      <c r="XBX378" s="1"/>
      <c r="XBY378" s="1"/>
      <c r="XBZ378" s="1"/>
      <c r="XCA378" s="1"/>
      <c r="XCB378" s="1"/>
      <c r="XCC378" s="1"/>
      <c r="XCD378" s="1"/>
      <c r="XCE378" s="1"/>
      <c r="XCF378" s="1"/>
      <c r="XCG378" s="1"/>
      <c r="XCH378" s="1"/>
      <c r="XCI378" s="1"/>
      <c r="XCJ378" s="1"/>
      <c r="XCK378" s="1"/>
      <c r="XCL378" s="1"/>
      <c r="XCM378" s="1"/>
      <c r="XCN378" s="1"/>
      <c r="XCO378" s="1"/>
      <c r="XCP378" s="1"/>
      <c r="XCQ378" s="1"/>
      <c r="XCR378" s="1"/>
      <c r="XCS378" s="1"/>
      <c r="XCT378" s="1"/>
      <c r="XCU378" s="1"/>
      <c r="XCV378" s="1"/>
      <c r="XCW378" s="1"/>
      <c r="XCX378" s="1"/>
      <c r="XCY378" s="1"/>
      <c r="XCZ378" s="1"/>
      <c r="XDA378" s="1"/>
      <c r="XDB378" s="1"/>
      <c r="XDC378" s="1"/>
      <c r="XDD378" s="1"/>
      <c r="XDE378" s="1"/>
      <c r="XDF378" s="1"/>
      <c r="XDG378" s="1"/>
      <c r="XDH378" s="1"/>
      <c r="XDI378" s="1"/>
      <c r="XDJ378" s="1"/>
      <c r="XDK378" s="1"/>
      <c r="XDL378" s="1"/>
      <c r="XDM378" s="1"/>
      <c r="XDN378" s="1"/>
      <c r="XDO378" s="1"/>
      <c r="XDP378" s="1"/>
      <c r="XDQ378" s="1"/>
      <c r="XDR378" s="1"/>
      <c r="XDS378" s="1"/>
      <c r="XDT378" s="1"/>
      <c r="XDU378" s="1"/>
      <c r="XDV378" s="1"/>
      <c r="XDW378" s="1"/>
      <c r="XDX378" s="1"/>
      <c r="XDY378" s="1"/>
      <c r="XDZ378" s="1"/>
      <c r="XEA378" s="1"/>
      <c r="XEB378" s="1"/>
      <c r="XEC378" s="1"/>
      <c r="XED378" s="1"/>
      <c r="XEE378" s="1"/>
      <c r="XEF378" s="1"/>
      <c r="XEG378" s="1"/>
      <c r="XEH378" s="1"/>
      <c r="XEI378" s="1"/>
      <c r="XEJ378" s="1"/>
      <c r="XEK378" s="1"/>
      <c r="XEL378" s="1"/>
      <c r="XEM378" s="1"/>
      <c r="XEN378" s="1"/>
      <c r="XEO378" s="1"/>
      <c r="XEP378" s="1"/>
      <c r="XEQ378" s="1"/>
      <c r="XER378" s="1"/>
      <c r="XES378" s="1"/>
      <c r="XET378" s="1"/>
      <c r="XEU378" s="1"/>
      <c r="XEV378" s="1"/>
      <c r="XEW378" s="1"/>
      <c r="XEX378" s="1"/>
      <c r="XEY378" s="1"/>
      <c r="XEZ378" s="1"/>
      <c r="XFA378" s="1"/>
      <c r="XFB378" s="1"/>
      <c r="XFC378" s="1"/>
      <c r="XFD378" s="1"/>
    </row>
    <row r="379" spans="1:151 16227:16384" s="11" customFormat="1" ht="20.25" customHeight="1" x14ac:dyDescent="0.25">
      <c r="A379" s="98"/>
      <c r="B379" s="99"/>
      <c r="C379" s="80" t="s">
        <v>263</v>
      </c>
      <c r="D379" s="80"/>
      <c r="E379" s="20" t="s">
        <v>228</v>
      </c>
      <c r="F379" s="81">
        <f t="shared" ref="F379:F380" si="85">(3.05*5.65+2.1*3.05+3.05*3.05+3.2*3.65+2.28*1.38+2.25*1.38+1.98*1+3.53*1)*10.764</f>
        <v>606.88938959999984</v>
      </c>
      <c r="G379" s="82"/>
      <c r="H379" s="20">
        <v>0</v>
      </c>
      <c r="I379" s="20">
        <f>F379*(($I$144)+1)+H379</f>
        <v>971.0230233599998</v>
      </c>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WZC379" s="1"/>
      <c r="WZD379" s="1"/>
      <c r="WZE379" s="1"/>
      <c r="WZF379" s="1"/>
      <c r="WZG379" s="1"/>
      <c r="WZH379" s="1"/>
      <c r="WZI379" s="1"/>
      <c r="WZJ379" s="1"/>
      <c r="WZK379" s="1"/>
      <c r="WZL379" s="1"/>
      <c r="WZM379" s="1"/>
      <c r="WZN379" s="1"/>
      <c r="WZO379" s="1"/>
      <c r="WZP379" s="1"/>
      <c r="WZQ379" s="1"/>
      <c r="WZR379" s="1"/>
      <c r="WZS379" s="1"/>
      <c r="WZT379" s="1"/>
      <c r="WZU379" s="1"/>
      <c r="WZV379" s="1"/>
      <c r="WZW379" s="1"/>
      <c r="WZX379" s="1"/>
      <c r="WZY379" s="1"/>
      <c r="WZZ379" s="1"/>
      <c r="XAA379" s="1"/>
      <c r="XAB379" s="1"/>
      <c r="XAC379" s="1"/>
      <c r="XAD379" s="1"/>
      <c r="XAE379" s="1"/>
      <c r="XAF379" s="1"/>
      <c r="XAG379" s="1"/>
      <c r="XAH379" s="1"/>
      <c r="XAI379" s="1"/>
      <c r="XAJ379" s="1"/>
      <c r="XAK379" s="1"/>
      <c r="XAL379" s="1"/>
      <c r="XAM379" s="1"/>
      <c r="XAN379" s="1"/>
      <c r="XAO379" s="1"/>
      <c r="XAP379" s="1"/>
      <c r="XAQ379" s="1"/>
      <c r="XAR379" s="1"/>
      <c r="XAS379" s="1"/>
      <c r="XAT379" s="1"/>
      <c r="XAU379" s="1"/>
      <c r="XAV379" s="1"/>
      <c r="XAW379" s="1"/>
      <c r="XAX379" s="1"/>
      <c r="XAY379" s="1"/>
      <c r="XAZ379" s="1"/>
      <c r="XBA379" s="1"/>
      <c r="XBB379" s="1"/>
      <c r="XBC379" s="1"/>
      <c r="XBD379" s="1"/>
      <c r="XBE379" s="1"/>
      <c r="XBF379" s="1"/>
      <c r="XBG379" s="1"/>
      <c r="XBH379" s="1"/>
      <c r="XBI379" s="1"/>
      <c r="XBJ379" s="1"/>
      <c r="XBK379" s="1"/>
      <c r="XBL379" s="1"/>
      <c r="XBM379" s="1"/>
      <c r="XBN379" s="1"/>
      <c r="XBO379" s="1"/>
      <c r="XBP379" s="1"/>
      <c r="XBQ379" s="1"/>
      <c r="XBR379" s="1"/>
      <c r="XBS379" s="1"/>
      <c r="XBT379" s="1"/>
      <c r="XBU379" s="1"/>
      <c r="XBV379" s="1"/>
      <c r="XBW379" s="1"/>
      <c r="XBX379" s="1"/>
      <c r="XBY379" s="1"/>
      <c r="XBZ379" s="1"/>
      <c r="XCA379" s="1"/>
      <c r="XCB379" s="1"/>
      <c r="XCC379" s="1"/>
      <c r="XCD379" s="1"/>
      <c r="XCE379" s="1"/>
      <c r="XCF379" s="1"/>
      <c r="XCG379" s="1"/>
      <c r="XCH379" s="1"/>
      <c r="XCI379" s="1"/>
      <c r="XCJ379" s="1"/>
      <c r="XCK379" s="1"/>
      <c r="XCL379" s="1"/>
      <c r="XCM379" s="1"/>
      <c r="XCN379" s="1"/>
      <c r="XCO379" s="1"/>
      <c r="XCP379" s="1"/>
      <c r="XCQ379" s="1"/>
      <c r="XCR379" s="1"/>
      <c r="XCS379" s="1"/>
      <c r="XCT379" s="1"/>
      <c r="XCU379" s="1"/>
      <c r="XCV379" s="1"/>
      <c r="XCW379" s="1"/>
      <c r="XCX379" s="1"/>
      <c r="XCY379" s="1"/>
      <c r="XCZ379" s="1"/>
      <c r="XDA379" s="1"/>
      <c r="XDB379" s="1"/>
      <c r="XDC379" s="1"/>
      <c r="XDD379" s="1"/>
      <c r="XDE379" s="1"/>
      <c r="XDF379" s="1"/>
      <c r="XDG379" s="1"/>
      <c r="XDH379" s="1"/>
      <c r="XDI379" s="1"/>
      <c r="XDJ379" s="1"/>
      <c r="XDK379" s="1"/>
      <c r="XDL379" s="1"/>
      <c r="XDM379" s="1"/>
      <c r="XDN379" s="1"/>
      <c r="XDO379" s="1"/>
      <c r="XDP379" s="1"/>
      <c r="XDQ379" s="1"/>
      <c r="XDR379" s="1"/>
      <c r="XDS379" s="1"/>
      <c r="XDT379" s="1"/>
      <c r="XDU379" s="1"/>
      <c r="XDV379" s="1"/>
      <c r="XDW379" s="1"/>
      <c r="XDX379" s="1"/>
      <c r="XDY379" s="1"/>
      <c r="XDZ379" s="1"/>
      <c r="XEA379" s="1"/>
      <c r="XEB379" s="1"/>
      <c r="XEC379" s="1"/>
      <c r="XED379" s="1"/>
      <c r="XEE379" s="1"/>
      <c r="XEF379" s="1"/>
      <c r="XEG379" s="1"/>
      <c r="XEH379" s="1"/>
      <c r="XEI379" s="1"/>
      <c r="XEJ379" s="1"/>
      <c r="XEK379" s="1"/>
      <c r="XEL379" s="1"/>
      <c r="XEM379" s="1"/>
      <c r="XEN379" s="1"/>
      <c r="XEO379" s="1"/>
      <c r="XEP379" s="1"/>
      <c r="XEQ379" s="1"/>
      <c r="XER379" s="1"/>
      <c r="XES379" s="1"/>
      <c r="XET379" s="1"/>
      <c r="XEU379" s="1"/>
      <c r="XEV379" s="1"/>
      <c r="XEW379" s="1"/>
      <c r="XEX379" s="1"/>
      <c r="XEY379" s="1"/>
      <c r="XEZ379" s="1"/>
      <c r="XFA379" s="1"/>
      <c r="XFB379" s="1"/>
      <c r="XFC379" s="1"/>
      <c r="XFD379" s="1"/>
    </row>
    <row r="380" spans="1:151 16227:16384" s="11" customFormat="1" ht="20.25" customHeight="1" x14ac:dyDescent="0.25">
      <c r="A380" s="98"/>
      <c r="B380" s="99"/>
      <c r="C380" s="80" t="s">
        <v>262</v>
      </c>
      <c r="D380" s="80"/>
      <c r="E380" s="20" t="s">
        <v>228</v>
      </c>
      <c r="F380" s="81">
        <f t="shared" si="85"/>
        <v>606.88938959999984</v>
      </c>
      <c r="G380" s="82"/>
      <c r="H380" s="20">
        <v>0</v>
      </c>
      <c r="I380" s="20">
        <f>F380*(($I$144)+1)+H380</f>
        <v>971.0230233599998</v>
      </c>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WZC380" s="1"/>
      <c r="WZD380" s="1"/>
      <c r="WZE380" s="1"/>
      <c r="WZF380" s="1"/>
      <c r="WZG380" s="1"/>
      <c r="WZH380" s="1"/>
      <c r="WZI380" s="1"/>
      <c r="WZJ380" s="1"/>
      <c r="WZK380" s="1"/>
      <c r="WZL380" s="1"/>
      <c r="WZM380" s="1"/>
      <c r="WZN380" s="1"/>
      <c r="WZO380" s="1"/>
      <c r="WZP380" s="1"/>
      <c r="WZQ380" s="1"/>
      <c r="WZR380" s="1"/>
      <c r="WZS380" s="1"/>
      <c r="WZT380" s="1"/>
      <c r="WZU380" s="1"/>
      <c r="WZV380" s="1"/>
      <c r="WZW380" s="1"/>
      <c r="WZX380" s="1"/>
      <c r="WZY380" s="1"/>
      <c r="WZZ380" s="1"/>
      <c r="XAA380" s="1"/>
      <c r="XAB380" s="1"/>
      <c r="XAC380" s="1"/>
      <c r="XAD380" s="1"/>
      <c r="XAE380" s="1"/>
      <c r="XAF380" s="1"/>
      <c r="XAG380" s="1"/>
      <c r="XAH380" s="1"/>
      <c r="XAI380" s="1"/>
      <c r="XAJ380" s="1"/>
      <c r="XAK380" s="1"/>
      <c r="XAL380" s="1"/>
      <c r="XAM380" s="1"/>
      <c r="XAN380" s="1"/>
      <c r="XAO380" s="1"/>
      <c r="XAP380" s="1"/>
      <c r="XAQ380" s="1"/>
      <c r="XAR380" s="1"/>
      <c r="XAS380" s="1"/>
      <c r="XAT380" s="1"/>
      <c r="XAU380" s="1"/>
      <c r="XAV380" s="1"/>
      <c r="XAW380" s="1"/>
      <c r="XAX380" s="1"/>
      <c r="XAY380" s="1"/>
      <c r="XAZ380" s="1"/>
      <c r="XBA380" s="1"/>
      <c r="XBB380" s="1"/>
      <c r="XBC380" s="1"/>
      <c r="XBD380" s="1"/>
      <c r="XBE380" s="1"/>
      <c r="XBF380" s="1"/>
      <c r="XBG380" s="1"/>
      <c r="XBH380" s="1"/>
      <c r="XBI380" s="1"/>
      <c r="XBJ380" s="1"/>
      <c r="XBK380" s="1"/>
      <c r="XBL380" s="1"/>
      <c r="XBM380" s="1"/>
      <c r="XBN380" s="1"/>
      <c r="XBO380" s="1"/>
      <c r="XBP380" s="1"/>
      <c r="XBQ380" s="1"/>
      <c r="XBR380" s="1"/>
      <c r="XBS380" s="1"/>
      <c r="XBT380" s="1"/>
      <c r="XBU380" s="1"/>
      <c r="XBV380" s="1"/>
      <c r="XBW380" s="1"/>
      <c r="XBX380" s="1"/>
      <c r="XBY380" s="1"/>
      <c r="XBZ380" s="1"/>
      <c r="XCA380" s="1"/>
      <c r="XCB380" s="1"/>
      <c r="XCC380" s="1"/>
      <c r="XCD380" s="1"/>
      <c r="XCE380" s="1"/>
      <c r="XCF380" s="1"/>
      <c r="XCG380" s="1"/>
      <c r="XCH380" s="1"/>
      <c r="XCI380" s="1"/>
      <c r="XCJ380" s="1"/>
      <c r="XCK380" s="1"/>
      <c r="XCL380" s="1"/>
      <c r="XCM380" s="1"/>
      <c r="XCN380" s="1"/>
      <c r="XCO380" s="1"/>
      <c r="XCP380" s="1"/>
      <c r="XCQ380" s="1"/>
      <c r="XCR380" s="1"/>
      <c r="XCS380" s="1"/>
      <c r="XCT380" s="1"/>
      <c r="XCU380" s="1"/>
      <c r="XCV380" s="1"/>
      <c r="XCW380" s="1"/>
      <c r="XCX380" s="1"/>
      <c r="XCY380" s="1"/>
      <c r="XCZ380" s="1"/>
      <c r="XDA380" s="1"/>
      <c r="XDB380" s="1"/>
      <c r="XDC380" s="1"/>
      <c r="XDD380" s="1"/>
      <c r="XDE380" s="1"/>
      <c r="XDF380" s="1"/>
      <c r="XDG380" s="1"/>
      <c r="XDH380" s="1"/>
      <c r="XDI380" s="1"/>
      <c r="XDJ380" s="1"/>
      <c r="XDK380" s="1"/>
      <c r="XDL380" s="1"/>
      <c r="XDM380" s="1"/>
      <c r="XDN380" s="1"/>
      <c r="XDO380" s="1"/>
      <c r="XDP380" s="1"/>
      <c r="XDQ380" s="1"/>
      <c r="XDR380" s="1"/>
      <c r="XDS380" s="1"/>
      <c r="XDT380" s="1"/>
      <c r="XDU380" s="1"/>
      <c r="XDV380" s="1"/>
      <c r="XDW380" s="1"/>
      <c r="XDX380" s="1"/>
      <c r="XDY380" s="1"/>
      <c r="XDZ380" s="1"/>
      <c r="XEA380" s="1"/>
      <c r="XEB380" s="1"/>
      <c r="XEC380" s="1"/>
      <c r="XED380" s="1"/>
      <c r="XEE380" s="1"/>
      <c r="XEF380" s="1"/>
      <c r="XEG380" s="1"/>
      <c r="XEH380" s="1"/>
      <c r="XEI380" s="1"/>
      <c r="XEJ380" s="1"/>
      <c r="XEK380" s="1"/>
      <c r="XEL380" s="1"/>
      <c r="XEM380" s="1"/>
      <c r="XEN380" s="1"/>
      <c r="XEO380" s="1"/>
      <c r="XEP380" s="1"/>
      <c r="XEQ380" s="1"/>
      <c r="XER380" s="1"/>
      <c r="XES380" s="1"/>
      <c r="XET380" s="1"/>
      <c r="XEU380" s="1"/>
      <c r="XEV380" s="1"/>
      <c r="XEW380" s="1"/>
      <c r="XEX380" s="1"/>
      <c r="XEY380" s="1"/>
      <c r="XEZ380" s="1"/>
      <c r="XFA380" s="1"/>
      <c r="XFB380" s="1"/>
      <c r="XFC380" s="1"/>
      <c r="XFD380" s="1"/>
    </row>
    <row r="381" spans="1:151 16227:16384" s="11" customFormat="1" ht="20.25" x14ac:dyDescent="0.25">
      <c r="A381" s="98"/>
      <c r="B381" s="99"/>
      <c r="C381" s="80" t="s">
        <v>265</v>
      </c>
      <c r="D381" s="80"/>
      <c r="E381" s="20" t="s">
        <v>232</v>
      </c>
      <c r="F381" s="81">
        <f>(1.2*1.25+1.05*1.3+3.05*2.45+3.05*5.95+0.2*2.47+2.55*3.35+3.05*3.05+3.05*3.35+1.38*2.28+2.23*1.38+1*0.85+2.65*1+2.33*1.38)*10.764</f>
        <v>753.27225479999993</v>
      </c>
      <c r="G381" s="82"/>
      <c r="H381" s="20">
        <v>0</v>
      </c>
      <c r="I381" s="20">
        <f>F381*(($I$144)+1)+H381</f>
        <v>1205.2356076799999</v>
      </c>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WZC381" s="1"/>
      <c r="WZD381" s="1"/>
      <c r="WZE381" s="1"/>
      <c r="WZF381" s="1"/>
      <c r="WZG381" s="1"/>
      <c r="WZH381" s="1"/>
      <c r="WZI381" s="1"/>
      <c r="WZJ381" s="1"/>
      <c r="WZK381" s="1"/>
      <c r="WZL381" s="1"/>
      <c r="WZM381" s="1"/>
      <c r="WZN381" s="1"/>
      <c r="WZO381" s="1"/>
      <c r="WZP381" s="1"/>
      <c r="WZQ381" s="1"/>
      <c r="WZR381" s="1"/>
      <c r="WZS381" s="1"/>
      <c r="WZT381" s="1"/>
      <c r="WZU381" s="1"/>
      <c r="WZV381" s="1"/>
      <c r="WZW381" s="1"/>
      <c r="WZX381" s="1"/>
      <c r="WZY381" s="1"/>
      <c r="WZZ381" s="1"/>
      <c r="XAA381" s="1"/>
      <c r="XAB381" s="1"/>
      <c r="XAC381" s="1"/>
      <c r="XAD381" s="1"/>
      <c r="XAE381" s="1"/>
      <c r="XAF381" s="1"/>
      <c r="XAG381" s="1"/>
      <c r="XAH381" s="1"/>
      <c r="XAI381" s="1"/>
      <c r="XAJ381" s="1"/>
      <c r="XAK381" s="1"/>
      <c r="XAL381" s="1"/>
      <c r="XAM381" s="1"/>
      <c r="XAN381" s="1"/>
      <c r="XAO381" s="1"/>
      <c r="XAP381" s="1"/>
      <c r="XAQ381" s="1"/>
      <c r="XAR381" s="1"/>
      <c r="XAS381" s="1"/>
      <c r="XAT381" s="1"/>
      <c r="XAU381" s="1"/>
      <c r="XAV381" s="1"/>
      <c r="XAW381" s="1"/>
      <c r="XAX381" s="1"/>
      <c r="XAY381" s="1"/>
      <c r="XAZ381" s="1"/>
      <c r="XBA381" s="1"/>
      <c r="XBB381" s="1"/>
      <c r="XBC381" s="1"/>
      <c r="XBD381" s="1"/>
      <c r="XBE381" s="1"/>
      <c r="XBF381" s="1"/>
      <c r="XBG381" s="1"/>
      <c r="XBH381" s="1"/>
      <c r="XBI381" s="1"/>
      <c r="XBJ381" s="1"/>
      <c r="XBK381" s="1"/>
      <c r="XBL381" s="1"/>
      <c r="XBM381" s="1"/>
      <c r="XBN381" s="1"/>
      <c r="XBO381" s="1"/>
      <c r="XBP381" s="1"/>
      <c r="XBQ381" s="1"/>
      <c r="XBR381" s="1"/>
      <c r="XBS381" s="1"/>
      <c r="XBT381" s="1"/>
      <c r="XBU381" s="1"/>
      <c r="XBV381" s="1"/>
      <c r="XBW381" s="1"/>
      <c r="XBX381" s="1"/>
      <c r="XBY381" s="1"/>
      <c r="XBZ381" s="1"/>
      <c r="XCA381" s="1"/>
      <c r="XCB381" s="1"/>
      <c r="XCC381" s="1"/>
      <c r="XCD381" s="1"/>
      <c r="XCE381" s="1"/>
      <c r="XCF381" s="1"/>
      <c r="XCG381" s="1"/>
      <c r="XCH381" s="1"/>
      <c r="XCI381" s="1"/>
      <c r="XCJ381" s="1"/>
      <c r="XCK381" s="1"/>
      <c r="XCL381" s="1"/>
      <c r="XCM381" s="1"/>
      <c r="XCN381" s="1"/>
      <c r="XCO381" s="1"/>
      <c r="XCP381" s="1"/>
      <c r="XCQ381" s="1"/>
      <c r="XCR381" s="1"/>
      <c r="XCS381" s="1"/>
      <c r="XCT381" s="1"/>
      <c r="XCU381" s="1"/>
      <c r="XCV381" s="1"/>
      <c r="XCW381" s="1"/>
      <c r="XCX381" s="1"/>
      <c r="XCY381" s="1"/>
      <c r="XCZ381" s="1"/>
      <c r="XDA381" s="1"/>
      <c r="XDB381" s="1"/>
      <c r="XDC381" s="1"/>
      <c r="XDD381" s="1"/>
      <c r="XDE381" s="1"/>
      <c r="XDF381" s="1"/>
      <c r="XDG381" s="1"/>
      <c r="XDH381" s="1"/>
      <c r="XDI381" s="1"/>
      <c r="XDJ381" s="1"/>
      <c r="XDK381" s="1"/>
      <c r="XDL381" s="1"/>
      <c r="XDM381" s="1"/>
      <c r="XDN381" s="1"/>
      <c r="XDO381" s="1"/>
      <c r="XDP381" s="1"/>
      <c r="XDQ381" s="1"/>
      <c r="XDR381" s="1"/>
      <c r="XDS381" s="1"/>
      <c r="XDT381" s="1"/>
      <c r="XDU381" s="1"/>
      <c r="XDV381" s="1"/>
      <c r="XDW381" s="1"/>
      <c r="XDX381" s="1"/>
      <c r="XDY381" s="1"/>
      <c r="XDZ381" s="1"/>
      <c r="XEA381" s="1"/>
      <c r="XEB381" s="1"/>
      <c r="XEC381" s="1"/>
      <c r="XED381" s="1"/>
      <c r="XEE381" s="1"/>
      <c r="XEF381" s="1"/>
      <c r="XEG381" s="1"/>
      <c r="XEH381" s="1"/>
      <c r="XEI381" s="1"/>
      <c r="XEJ381" s="1"/>
      <c r="XEK381" s="1"/>
      <c r="XEL381" s="1"/>
      <c r="XEM381" s="1"/>
      <c r="XEN381" s="1"/>
      <c r="XEO381" s="1"/>
      <c r="XEP381" s="1"/>
      <c r="XEQ381" s="1"/>
      <c r="XER381" s="1"/>
      <c r="XES381" s="1"/>
      <c r="XET381" s="1"/>
      <c r="XEU381" s="1"/>
      <c r="XEV381" s="1"/>
      <c r="XEW381" s="1"/>
      <c r="XEX381" s="1"/>
      <c r="XEY381" s="1"/>
      <c r="XEZ381" s="1"/>
      <c r="XFA381" s="1"/>
      <c r="XFB381" s="1"/>
      <c r="XFC381" s="1"/>
      <c r="XFD381" s="1"/>
    </row>
    <row r="382" spans="1:151 16227:16384" s="11" customFormat="1" ht="20.25" x14ac:dyDescent="0.25">
      <c r="A382" s="100"/>
      <c r="B382" s="101"/>
      <c r="C382" s="80" t="s">
        <v>266</v>
      </c>
      <c r="D382" s="80"/>
      <c r="E382" s="20" t="s">
        <v>232</v>
      </c>
      <c r="F382" s="81">
        <f>(1.2*1.25+1.05*1.3+3.05*2.45+3.05*5.95+2.45*2.7+3.05*3.65+1.38*2.28+3.45*3.05+2.15*1.38+1.13*0.6+3.75*1+2.33*1.38)*10.764</f>
        <v>758.98901520000004</v>
      </c>
      <c r="G382" s="82"/>
      <c r="H382" s="20">
        <v>0</v>
      </c>
      <c r="I382" s="20">
        <f>F382*(($I$144)+1)+H382</f>
        <v>1214.3824243200002</v>
      </c>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WZC382" s="1"/>
      <c r="WZD382" s="1"/>
      <c r="WZE382" s="1"/>
      <c r="WZF382" s="1"/>
      <c r="WZG382" s="1"/>
      <c r="WZH382" s="1"/>
      <c r="WZI382" s="1"/>
      <c r="WZJ382" s="1"/>
      <c r="WZK382" s="1"/>
      <c r="WZL382" s="1"/>
      <c r="WZM382" s="1"/>
      <c r="WZN382" s="1"/>
      <c r="WZO382" s="1"/>
      <c r="WZP382" s="1"/>
      <c r="WZQ382" s="1"/>
      <c r="WZR382" s="1"/>
      <c r="WZS382" s="1"/>
      <c r="WZT382" s="1"/>
      <c r="WZU382" s="1"/>
      <c r="WZV382" s="1"/>
      <c r="WZW382" s="1"/>
      <c r="WZX382" s="1"/>
      <c r="WZY382" s="1"/>
      <c r="WZZ382" s="1"/>
      <c r="XAA382" s="1"/>
      <c r="XAB382" s="1"/>
      <c r="XAC382" s="1"/>
      <c r="XAD382" s="1"/>
      <c r="XAE382" s="1"/>
      <c r="XAF382" s="1"/>
      <c r="XAG382" s="1"/>
      <c r="XAH382" s="1"/>
      <c r="XAI382" s="1"/>
      <c r="XAJ382" s="1"/>
      <c r="XAK382" s="1"/>
      <c r="XAL382" s="1"/>
      <c r="XAM382" s="1"/>
      <c r="XAN382" s="1"/>
      <c r="XAO382" s="1"/>
      <c r="XAP382" s="1"/>
      <c r="XAQ382" s="1"/>
      <c r="XAR382" s="1"/>
      <c r="XAS382" s="1"/>
      <c r="XAT382" s="1"/>
      <c r="XAU382" s="1"/>
      <c r="XAV382" s="1"/>
      <c r="XAW382" s="1"/>
      <c r="XAX382" s="1"/>
      <c r="XAY382" s="1"/>
      <c r="XAZ382" s="1"/>
      <c r="XBA382" s="1"/>
      <c r="XBB382" s="1"/>
      <c r="XBC382" s="1"/>
      <c r="XBD382" s="1"/>
      <c r="XBE382" s="1"/>
      <c r="XBF382" s="1"/>
      <c r="XBG382" s="1"/>
      <c r="XBH382" s="1"/>
      <c r="XBI382" s="1"/>
      <c r="XBJ382" s="1"/>
      <c r="XBK382" s="1"/>
      <c r="XBL382" s="1"/>
      <c r="XBM382" s="1"/>
      <c r="XBN382" s="1"/>
      <c r="XBO382" s="1"/>
      <c r="XBP382" s="1"/>
      <c r="XBQ382" s="1"/>
      <c r="XBR382" s="1"/>
      <c r="XBS382" s="1"/>
      <c r="XBT382" s="1"/>
      <c r="XBU382" s="1"/>
      <c r="XBV382" s="1"/>
      <c r="XBW382" s="1"/>
      <c r="XBX382" s="1"/>
      <c r="XBY382" s="1"/>
      <c r="XBZ382" s="1"/>
      <c r="XCA382" s="1"/>
      <c r="XCB382" s="1"/>
      <c r="XCC382" s="1"/>
      <c r="XCD382" s="1"/>
      <c r="XCE382" s="1"/>
      <c r="XCF382" s="1"/>
      <c r="XCG382" s="1"/>
      <c r="XCH382" s="1"/>
      <c r="XCI382" s="1"/>
      <c r="XCJ382" s="1"/>
      <c r="XCK382" s="1"/>
      <c r="XCL382" s="1"/>
      <c r="XCM382" s="1"/>
      <c r="XCN382" s="1"/>
      <c r="XCO382" s="1"/>
      <c r="XCP382" s="1"/>
      <c r="XCQ382" s="1"/>
      <c r="XCR382" s="1"/>
      <c r="XCS382" s="1"/>
      <c r="XCT382" s="1"/>
      <c r="XCU382" s="1"/>
      <c r="XCV382" s="1"/>
      <c r="XCW382" s="1"/>
      <c r="XCX382" s="1"/>
      <c r="XCY382" s="1"/>
      <c r="XCZ382" s="1"/>
      <c r="XDA382" s="1"/>
      <c r="XDB382" s="1"/>
      <c r="XDC382" s="1"/>
      <c r="XDD382" s="1"/>
      <c r="XDE382" s="1"/>
      <c r="XDF382" s="1"/>
      <c r="XDG382" s="1"/>
      <c r="XDH382" s="1"/>
      <c r="XDI382" s="1"/>
      <c r="XDJ382" s="1"/>
      <c r="XDK382" s="1"/>
      <c r="XDL382" s="1"/>
      <c r="XDM382" s="1"/>
      <c r="XDN382" s="1"/>
      <c r="XDO382" s="1"/>
      <c r="XDP382" s="1"/>
      <c r="XDQ382" s="1"/>
      <c r="XDR382" s="1"/>
      <c r="XDS382" s="1"/>
      <c r="XDT382" s="1"/>
      <c r="XDU382" s="1"/>
      <c r="XDV382" s="1"/>
      <c r="XDW382" s="1"/>
      <c r="XDX382" s="1"/>
      <c r="XDY382" s="1"/>
      <c r="XDZ382" s="1"/>
      <c r="XEA382" s="1"/>
      <c r="XEB382" s="1"/>
      <c r="XEC382" s="1"/>
      <c r="XED382" s="1"/>
      <c r="XEE382" s="1"/>
      <c r="XEF382" s="1"/>
      <c r="XEG382" s="1"/>
      <c r="XEH382" s="1"/>
      <c r="XEI382" s="1"/>
      <c r="XEJ382" s="1"/>
      <c r="XEK382" s="1"/>
      <c r="XEL382" s="1"/>
      <c r="XEM382" s="1"/>
      <c r="XEN382" s="1"/>
      <c r="XEO382" s="1"/>
      <c r="XEP382" s="1"/>
      <c r="XEQ382" s="1"/>
      <c r="XER382" s="1"/>
      <c r="XES382" s="1"/>
      <c r="XET382" s="1"/>
      <c r="XEU382" s="1"/>
      <c r="XEV382" s="1"/>
      <c r="XEW382" s="1"/>
      <c r="XEX382" s="1"/>
      <c r="XEY382" s="1"/>
      <c r="XEZ382" s="1"/>
      <c r="XFA382" s="1"/>
      <c r="XFB382" s="1"/>
      <c r="XFC382" s="1"/>
      <c r="XFD382" s="1"/>
    </row>
    <row r="383" spans="1:151 16227:16384" s="11" customFormat="1" ht="20.25" customHeight="1" x14ac:dyDescent="0.25">
      <c r="A383" s="93" t="s">
        <v>286</v>
      </c>
      <c r="B383" s="94"/>
      <c r="C383" s="94"/>
      <c r="D383" s="94"/>
      <c r="E383" s="94"/>
      <c r="F383" s="94"/>
      <c r="G383" s="94"/>
      <c r="H383" s="94"/>
      <c r="I383" s="102"/>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WZC383" s="1"/>
      <c r="WZD383" s="1"/>
      <c r="WZE383" s="1"/>
      <c r="WZF383" s="1"/>
      <c r="WZG383" s="1"/>
      <c r="WZH383" s="1"/>
      <c r="WZI383" s="1"/>
      <c r="WZJ383" s="1"/>
      <c r="WZK383" s="1"/>
      <c r="WZL383" s="1"/>
      <c r="WZM383" s="1"/>
      <c r="WZN383" s="1"/>
      <c r="WZO383" s="1"/>
      <c r="WZP383" s="1"/>
      <c r="WZQ383" s="1"/>
      <c r="WZR383" s="1"/>
      <c r="WZS383" s="1"/>
      <c r="WZT383" s="1"/>
      <c r="WZU383" s="1"/>
      <c r="WZV383" s="1"/>
      <c r="WZW383" s="1"/>
      <c r="WZX383" s="1"/>
      <c r="WZY383" s="1"/>
      <c r="WZZ383" s="1"/>
      <c r="XAA383" s="1"/>
      <c r="XAB383" s="1"/>
      <c r="XAC383" s="1"/>
      <c r="XAD383" s="1"/>
      <c r="XAE383" s="1"/>
      <c r="XAF383" s="1"/>
      <c r="XAG383" s="1"/>
      <c r="XAH383" s="1"/>
      <c r="XAI383" s="1"/>
      <c r="XAJ383" s="1"/>
      <c r="XAK383" s="1"/>
      <c r="XAL383" s="1"/>
      <c r="XAM383" s="1"/>
      <c r="XAN383" s="1"/>
      <c r="XAO383" s="1"/>
      <c r="XAP383" s="1"/>
      <c r="XAQ383" s="1"/>
      <c r="XAR383" s="1"/>
      <c r="XAS383" s="1"/>
      <c r="XAT383" s="1"/>
      <c r="XAU383" s="1"/>
      <c r="XAV383" s="1"/>
      <c r="XAW383" s="1"/>
      <c r="XAX383" s="1"/>
      <c r="XAY383" s="1"/>
      <c r="XAZ383" s="1"/>
      <c r="XBA383" s="1"/>
      <c r="XBB383" s="1"/>
      <c r="XBC383" s="1"/>
      <c r="XBD383" s="1"/>
      <c r="XBE383" s="1"/>
      <c r="XBF383" s="1"/>
      <c r="XBG383" s="1"/>
      <c r="XBH383" s="1"/>
      <c r="XBI383" s="1"/>
      <c r="XBJ383" s="1"/>
      <c r="XBK383" s="1"/>
      <c r="XBL383" s="1"/>
      <c r="XBM383" s="1"/>
      <c r="XBN383" s="1"/>
      <c r="XBO383" s="1"/>
      <c r="XBP383" s="1"/>
      <c r="XBQ383" s="1"/>
      <c r="XBR383" s="1"/>
      <c r="XBS383" s="1"/>
      <c r="XBT383" s="1"/>
      <c r="XBU383" s="1"/>
      <c r="XBV383" s="1"/>
      <c r="XBW383" s="1"/>
      <c r="XBX383" s="1"/>
      <c r="XBY383" s="1"/>
      <c r="XBZ383" s="1"/>
      <c r="XCA383" s="1"/>
      <c r="XCB383" s="1"/>
      <c r="XCC383" s="1"/>
      <c r="XCD383" s="1"/>
      <c r="XCE383" s="1"/>
      <c r="XCF383" s="1"/>
      <c r="XCG383" s="1"/>
      <c r="XCH383" s="1"/>
      <c r="XCI383" s="1"/>
      <c r="XCJ383" s="1"/>
      <c r="XCK383" s="1"/>
      <c r="XCL383" s="1"/>
      <c r="XCM383" s="1"/>
      <c r="XCN383" s="1"/>
      <c r="XCO383" s="1"/>
      <c r="XCP383" s="1"/>
      <c r="XCQ383" s="1"/>
      <c r="XCR383" s="1"/>
      <c r="XCS383" s="1"/>
      <c r="XCT383" s="1"/>
      <c r="XCU383" s="1"/>
      <c r="XCV383" s="1"/>
      <c r="XCW383" s="1"/>
      <c r="XCX383" s="1"/>
      <c r="XCY383" s="1"/>
      <c r="XCZ383" s="1"/>
      <c r="XDA383" s="1"/>
      <c r="XDB383" s="1"/>
      <c r="XDC383" s="1"/>
      <c r="XDD383" s="1"/>
      <c r="XDE383" s="1"/>
      <c r="XDF383" s="1"/>
      <c r="XDG383" s="1"/>
      <c r="XDH383" s="1"/>
      <c r="XDI383" s="1"/>
      <c r="XDJ383" s="1"/>
      <c r="XDK383" s="1"/>
      <c r="XDL383" s="1"/>
      <c r="XDM383" s="1"/>
      <c r="XDN383" s="1"/>
      <c r="XDO383" s="1"/>
      <c r="XDP383" s="1"/>
      <c r="XDQ383" s="1"/>
      <c r="XDR383" s="1"/>
      <c r="XDS383" s="1"/>
      <c r="XDT383" s="1"/>
      <c r="XDU383" s="1"/>
      <c r="XDV383" s="1"/>
      <c r="XDW383" s="1"/>
      <c r="XDX383" s="1"/>
      <c r="XDY383" s="1"/>
      <c r="XDZ383" s="1"/>
      <c r="XEA383" s="1"/>
      <c r="XEB383" s="1"/>
      <c r="XEC383" s="1"/>
      <c r="XED383" s="1"/>
      <c r="XEE383" s="1"/>
      <c r="XEF383" s="1"/>
      <c r="XEG383" s="1"/>
      <c r="XEH383" s="1"/>
      <c r="XEI383" s="1"/>
      <c r="XEJ383" s="1"/>
      <c r="XEK383" s="1"/>
      <c r="XEL383" s="1"/>
      <c r="XEM383" s="1"/>
      <c r="XEN383" s="1"/>
      <c r="XEO383" s="1"/>
      <c r="XEP383" s="1"/>
      <c r="XEQ383" s="1"/>
      <c r="XER383" s="1"/>
      <c r="XES383" s="1"/>
      <c r="XET383" s="1"/>
      <c r="XEU383" s="1"/>
      <c r="XEV383" s="1"/>
      <c r="XEW383" s="1"/>
      <c r="XEX383" s="1"/>
      <c r="XEY383" s="1"/>
      <c r="XEZ383" s="1"/>
      <c r="XFA383" s="1"/>
      <c r="XFB383" s="1"/>
      <c r="XFC383" s="1"/>
      <c r="XFD383" s="1"/>
    </row>
    <row r="384" spans="1:151 16227:16384" s="11" customFormat="1" ht="20.25" customHeight="1" x14ac:dyDescent="0.25">
      <c r="A384" s="96" t="str">
        <f>A383</f>
        <v>29th Floor (Part Refuge Area)</v>
      </c>
      <c r="B384" s="97"/>
      <c r="C384" s="80" t="s">
        <v>264</v>
      </c>
      <c r="D384" s="80"/>
      <c r="E384" s="20" t="s">
        <v>232</v>
      </c>
      <c r="F384" s="81">
        <f>(2.75*1.05+2.45*3.05+3.05*3.05+3.05*6.4+3.05*3.65+1.28*1.28+1.08*0.91+2.2*1.38+3.05*3.35+1.28*1.38+1.08*0.91+1.2*1.1+2.47*1.38)*10.764</f>
        <v>792.95696999999984</v>
      </c>
      <c r="G384" s="82"/>
      <c r="H384" s="20">
        <v>0</v>
      </c>
      <c r="I384" s="20">
        <f>F384*(($I$144)+1)+H384</f>
        <v>1268.7311519999998</v>
      </c>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WZC384" s="1"/>
      <c r="WZD384" s="1"/>
      <c r="WZE384" s="1"/>
      <c r="WZF384" s="1"/>
      <c r="WZG384" s="1"/>
      <c r="WZH384" s="1"/>
      <c r="WZI384" s="1"/>
      <c r="WZJ384" s="1"/>
      <c r="WZK384" s="1"/>
      <c r="WZL384" s="1"/>
      <c r="WZM384" s="1"/>
      <c r="WZN384" s="1"/>
      <c r="WZO384" s="1"/>
      <c r="WZP384" s="1"/>
      <c r="WZQ384" s="1"/>
      <c r="WZR384" s="1"/>
      <c r="WZS384" s="1"/>
      <c r="WZT384" s="1"/>
      <c r="WZU384" s="1"/>
      <c r="WZV384" s="1"/>
      <c r="WZW384" s="1"/>
      <c r="WZX384" s="1"/>
      <c r="WZY384" s="1"/>
      <c r="WZZ384" s="1"/>
      <c r="XAA384" s="1"/>
      <c r="XAB384" s="1"/>
      <c r="XAC384" s="1"/>
      <c r="XAD384" s="1"/>
      <c r="XAE384" s="1"/>
      <c r="XAF384" s="1"/>
      <c r="XAG384" s="1"/>
      <c r="XAH384" s="1"/>
      <c r="XAI384" s="1"/>
      <c r="XAJ384" s="1"/>
      <c r="XAK384" s="1"/>
      <c r="XAL384" s="1"/>
      <c r="XAM384" s="1"/>
      <c r="XAN384" s="1"/>
      <c r="XAO384" s="1"/>
      <c r="XAP384" s="1"/>
      <c r="XAQ384" s="1"/>
      <c r="XAR384" s="1"/>
      <c r="XAS384" s="1"/>
      <c r="XAT384" s="1"/>
      <c r="XAU384" s="1"/>
      <c r="XAV384" s="1"/>
      <c r="XAW384" s="1"/>
      <c r="XAX384" s="1"/>
      <c r="XAY384" s="1"/>
      <c r="XAZ384" s="1"/>
      <c r="XBA384" s="1"/>
      <c r="XBB384" s="1"/>
      <c r="XBC384" s="1"/>
      <c r="XBD384" s="1"/>
      <c r="XBE384" s="1"/>
      <c r="XBF384" s="1"/>
      <c r="XBG384" s="1"/>
      <c r="XBH384" s="1"/>
      <c r="XBI384" s="1"/>
      <c r="XBJ384" s="1"/>
      <c r="XBK384" s="1"/>
      <c r="XBL384" s="1"/>
      <c r="XBM384" s="1"/>
      <c r="XBN384" s="1"/>
      <c r="XBO384" s="1"/>
      <c r="XBP384" s="1"/>
      <c r="XBQ384" s="1"/>
      <c r="XBR384" s="1"/>
      <c r="XBS384" s="1"/>
      <c r="XBT384" s="1"/>
      <c r="XBU384" s="1"/>
      <c r="XBV384" s="1"/>
      <c r="XBW384" s="1"/>
      <c r="XBX384" s="1"/>
      <c r="XBY384" s="1"/>
      <c r="XBZ384" s="1"/>
      <c r="XCA384" s="1"/>
      <c r="XCB384" s="1"/>
      <c r="XCC384" s="1"/>
      <c r="XCD384" s="1"/>
      <c r="XCE384" s="1"/>
      <c r="XCF384" s="1"/>
      <c r="XCG384" s="1"/>
      <c r="XCH384" s="1"/>
      <c r="XCI384" s="1"/>
      <c r="XCJ384" s="1"/>
      <c r="XCK384" s="1"/>
      <c r="XCL384" s="1"/>
      <c r="XCM384" s="1"/>
      <c r="XCN384" s="1"/>
      <c r="XCO384" s="1"/>
      <c r="XCP384" s="1"/>
      <c r="XCQ384" s="1"/>
      <c r="XCR384" s="1"/>
      <c r="XCS384" s="1"/>
      <c r="XCT384" s="1"/>
      <c r="XCU384" s="1"/>
      <c r="XCV384" s="1"/>
      <c r="XCW384" s="1"/>
      <c r="XCX384" s="1"/>
      <c r="XCY384" s="1"/>
      <c r="XCZ384" s="1"/>
      <c r="XDA384" s="1"/>
      <c r="XDB384" s="1"/>
      <c r="XDC384" s="1"/>
      <c r="XDD384" s="1"/>
      <c r="XDE384" s="1"/>
      <c r="XDF384" s="1"/>
      <c r="XDG384" s="1"/>
      <c r="XDH384" s="1"/>
      <c r="XDI384" s="1"/>
      <c r="XDJ384" s="1"/>
      <c r="XDK384" s="1"/>
      <c r="XDL384" s="1"/>
      <c r="XDM384" s="1"/>
      <c r="XDN384" s="1"/>
      <c r="XDO384" s="1"/>
      <c r="XDP384" s="1"/>
      <c r="XDQ384" s="1"/>
      <c r="XDR384" s="1"/>
      <c r="XDS384" s="1"/>
      <c r="XDT384" s="1"/>
      <c r="XDU384" s="1"/>
      <c r="XDV384" s="1"/>
      <c r="XDW384" s="1"/>
      <c r="XDX384" s="1"/>
      <c r="XDY384" s="1"/>
      <c r="XDZ384" s="1"/>
      <c r="XEA384" s="1"/>
      <c r="XEB384" s="1"/>
      <c r="XEC384" s="1"/>
      <c r="XED384" s="1"/>
      <c r="XEE384" s="1"/>
      <c r="XEF384" s="1"/>
      <c r="XEG384" s="1"/>
      <c r="XEH384" s="1"/>
      <c r="XEI384" s="1"/>
      <c r="XEJ384" s="1"/>
      <c r="XEK384" s="1"/>
      <c r="XEL384" s="1"/>
      <c r="XEM384" s="1"/>
      <c r="XEN384" s="1"/>
      <c r="XEO384" s="1"/>
      <c r="XEP384" s="1"/>
      <c r="XEQ384" s="1"/>
      <c r="XER384" s="1"/>
      <c r="XES384" s="1"/>
      <c r="XET384" s="1"/>
      <c r="XEU384" s="1"/>
      <c r="XEV384" s="1"/>
      <c r="XEW384" s="1"/>
      <c r="XEX384" s="1"/>
      <c r="XEY384" s="1"/>
      <c r="XEZ384" s="1"/>
      <c r="XFA384" s="1"/>
      <c r="XFB384" s="1"/>
      <c r="XFC384" s="1"/>
      <c r="XFD384" s="1"/>
    </row>
    <row r="385" spans="1:151 16227:16384" s="11" customFormat="1" ht="20.25" customHeight="1" x14ac:dyDescent="0.25">
      <c r="A385" s="98"/>
      <c r="B385" s="99"/>
      <c r="C385" s="80" t="s">
        <v>263</v>
      </c>
      <c r="D385" s="80"/>
      <c r="E385" s="20" t="s">
        <v>228</v>
      </c>
      <c r="F385" s="81">
        <f t="shared" ref="F385" si="86">(3.05*5.65+2.1*3.05+3.05*3.05+3.2*3.65+2.28*1.38+2.25*1.38+1.98*1+3.53*1)*10.764</f>
        <v>606.88938959999984</v>
      </c>
      <c r="G385" s="82"/>
      <c r="H385" s="20">
        <v>0</v>
      </c>
      <c r="I385" s="20">
        <f>F385*(($I$144)+1)+H385</f>
        <v>971.0230233599998</v>
      </c>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WZC385" s="1"/>
      <c r="WZD385" s="1"/>
      <c r="WZE385" s="1"/>
      <c r="WZF385" s="1"/>
      <c r="WZG385" s="1"/>
      <c r="WZH385" s="1"/>
      <c r="WZI385" s="1"/>
      <c r="WZJ385" s="1"/>
      <c r="WZK385" s="1"/>
      <c r="WZL385" s="1"/>
      <c r="WZM385" s="1"/>
      <c r="WZN385" s="1"/>
      <c r="WZO385" s="1"/>
      <c r="WZP385" s="1"/>
      <c r="WZQ385" s="1"/>
      <c r="WZR385" s="1"/>
      <c r="WZS385" s="1"/>
      <c r="WZT385" s="1"/>
      <c r="WZU385" s="1"/>
      <c r="WZV385" s="1"/>
      <c r="WZW385" s="1"/>
      <c r="WZX385" s="1"/>
      <c r="WZY385" s="1"/>
      <c r="WZZ385" s="1"/>
      <c r="XAA385" s="1"/>
      <c r="XAB385" s="1"/>
      <c r="XAC385" s="1"/>
      <c r="XAD385" s="1"/>
      <c r="XAE385" s="1"/>
      <c r="XAF385" s="1"/>
      <c r="XAG385" s="1"/>
      <c r="XAH385" s="1"/>
      <c r="XAI385" s="1"/>
      <c r="XAJ385" s="1"/>
      <c r="XAK385" s="1"/>
      <c r="XAL385" s="1"/>
      <c r="XAM385" s="1"/>
      <c r="XAN385" s="1"/>
      <c r="XAO385" s="1"/>
      <c r="XAP385" s="1"/>
      <c r="XAQ385" s="1"/>
      <c r="XAR385" s="1"/>
      <c r="XAS385" s="1"/>
      <c r="XAT385" s="1"/>
      <c r="XAU385" s="1"/>
      <c r="XAV385" s="1"/>
      <c r="XAW385" s="1"/>
      <c r="XAX385" s="1"/>
      <c r="XAY385" s="1"/>
      <c r="XAZ385" s="1"/>
      <c r="XBA385" s="1"/>
      <c r="XBB385" s="1"/>
      <c r="XBC385" s="1"/>
      <c r="XBD385" s="1"/>
      <c r="XBE385" s="1"/>
      <c r="XBF385" s="1"/>
      <c r="XBG385" s="1"/>
      <c r="XBH385" s="1"/>
      <c r="XBI385" s="1"/>
      <c r="XBJ385" s="1"/>
      <c r="XBK385" s="1"/>
      <c r="XBL385" s="1"/>
      <c r="XBM385" s="1"/>
      <c r="XBN385" s="1"/>
      <c r="XBO385" s="1"/>
      <c r="XBP385" s="1"/>
      <c r="XBQ385" s="1"/>
      <c r="XBR385" s="1"/>
      <c r="XBS385" s="1"/>
      <c r="XBT385" s="1"/>
      <c r="XBU385" s="1"/>
      <c r="XBV385" s="1"/>
      <c r="XBW385" s="1"/>
      <c r="XBX385" s="1"/>
      <c r="XBY385" s="1"/>
      <c r="XBZ385" s="1"/>
      <c r="XCA385" s="1"/>
      <c r="XCB385" s="1"/>
      <c r="XCC385" s="1"/>
      <c r="XCD385" s="1"/>
      <c r="XCE385" s="1"/>
      <c r="XCF385" s="1"/>
      <c r="XCG385" s="1"/>
      <c r="XCH385" s="1"/>
      <c r="XCI385" s="1"/>
      <c r="XCJ385" s="1"/>
      <c r="XCK385" s="1"/>
      <c r="XCL385" s="1"/>
      <c r="XCM385" s="1"/>
      <c r="XCN385" s="1"/>
      <c r="XCO385" s="1"/>
      <c r="XCP385" s="1"/>
      <c r="XCQ385" s="1"/>
      <c r="XCR385" s="1"/>
      <c r="XCS385" s="1"/>
      <c r="XCT385" s="1"/>
      <c r="XCU385" s="1"/>
      <c r="XCV385" s="1"/>
      <c r="XCW385" s="1"/>
      <c r="XCX385" s="1"/>
      <c r="XCY385" s="1"/>
      <c r="XCZ385" s="1"/>
      <c r="XDA385" s="1"/>
      <c r="XDB385" s="1"/>
      <c r="XDC385" s="1"/>
      <c r="XDD385" s="1"/>
      <c r="XDE385" s="1"/>
      <c r="XDF385" s="1"/>
      <c r="XDG385" s="1"/>
      <c r="XDH385" s="1"/>
      <c r="XDI385" s="1"/>
      <c r="XDJ385" s="1"/>
      <c r="XDK385" s="1"/>
      <c r="XDL385" s="1"/>
      <c r="XDM385" s="1"/>
      <c r="XDN385" s="1"/>
      <c r="XDO385" s="1"/>
      <c r="XDP385" s="1"/>
      <c r="XDQ385" s="1"/>
      <c r="XDR385" s="1"/>
      <c r="XDS385" s="1"/>
      <c r="XDT385" s="1"/>
      <c r="XDU385" s="1"/>
      <c r="XDV385" s="1"/>
      <c r="XDW385" s="1"/>
      <c r="XDX385" s="1"/>
      <c r="XDY385" s="1"/>
      <c r="XDZ385" s="1"/>
      <c r="XEA385" s="1"/>
      <c r="XEB385" s="1"/>
      <c r="XEC385" s="1"/>
      <c r="XED385" s="1"/>
      <c r="XEE385" s="1"/>
      <c r="XEF385" s="1"/>
      <c r="XEG385" s="1"/>
      <c r="XEH385" s="1"/>
      <c r="XEI385" s="1"/>
      <c r="XEJ385" s="1"/>
      <c r="XEK385" s="1"/>
      <c r="XEL385" s="1"/>
      <c r="XEM385" s="1"/>
      <c r="XEN385" s="1"/>
      <c r="XEO385" s="1"/>
      <c r="XEP385" s="1"/>
      <c r="XEQ385" s="1"/>
      <c r="XER385" s="1"/>
      <c r="XES385" s="1"/>
      <c r="XET385" s="1"/>
      <c r="XEU385" s="1"/>
      <c r="XEV385" s="1"/>
      <c r="XEW385" s="1"/>
      <c r="XEX385" s="1"/>
      <c r="XEY385" s="1"/>
      <c r="XEZ385" s="1"/>
      <c r="XFA385" s="1"/>
      <c r="XFB385" s="1"/>
      <c r="XFC385" s="1"/>
      <c r="XFD385" s="1"/>
    </row>
    <row r="386" spans="1:151 16227:16384" s="11" customFormat="1" ht="20.25" customHeight="1" x14ac:dyDescent="0.25">
      <c r="A386" s="98"/>
      <c r="B386" s="99"/>
      <c r="C386" s="80" t="s">
        <v>262</v>
      </c>
      <c r="D386" s="80"/>
      <c r="E386" s="81" t="s">
        <v>235</v>
      </c>
      <c r="F386" s="83"/>
      <c r="G386" s="83"/>
      <c r="H386" s="83"/>
      <c r="I386" s="82"/>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WZC386" s="1"/>
      <c r="WZD386" s="1"/>
      <c r="WZE386" s="1"/>
      <c r="WZF386" s="1"/>
      <c r="WZG386" s="1"/>
      <c r="WZH386" s="1"/>
      <c r="WZI386" s="1"/>
      <c r="WZJ386" s="1"/>
      <c r="WZK386" s="1"/>
      <c r="WZL386" s="1"/>
      <c r="WZM386" s="1"/>
      <c r="WZN386" s="1"/>
      <c r="WZO386" s="1"/>
      <c r="WZP386" s="1"/>
      <c r="WZQ386" s="1"/>
      <c r="WZR386" s="1"/>
      <c r="WZS386" s="1"/>
      <c r="WZT386" s="1"/>
      <c r="WZU386" s="1"/>
      <c r="WZV386" s="1"/>
      <c r="WZW386" s="1"/>
      <c r="WZX386" s="1"/>
      <c r="WZY386" s="1"/>
      <c r="WZZ386" s="1"/>
      <c r="XAA386" s="1"/>
      <c r="XAB386" s="1"/>
      <c r="XAC386" s="1"/>
      <c r="XAD386" s="1"/>
      <c r="XAE386" s="1"/>
      <c r="XAF386" s="1"/>
      <c r="XAG386" s="1"/>
      <c r="XAH386" s="1"/>
      <c r="XAI386" s="1"/>
      <c r="XAJ386" s="1"/>
      <c r="XAK386" s="1"/>
      <c r="XAL386" s="1"/>
      <c r="XAM386" s="1"/>
      <c r="XAN386" s="1"/>
      <c r="XAO386" s="1"/>
      <c r="XAP386" s="1"/>
      <c r="XAQ386" s="1"/>
      <c r="XAR386" s="1"/>
      <c r="XAS386" s="1"/>
      <c r="XAT386" s="1"/>
      <c r="XAU386" s="1"/>
      <c r="XAV386" s="1"/>
      <c r="XAW386" s="1"/>
      <c r="XAX386" s="1"/>
      <c r="XAY386" s="1"/>
      <c r="XAZ386" s="1"/>
      <c r="XBA386" s="1"/>
      <c r="XBB386" s="1"/>
      <c r="XBC386" s="1"/>
      <c r="XBD386" s="1"/>
      <c r="XBE386" s="1"/>
      <c r="XBF386" s="1"/>
      <c r="XBG386" s="1"/>
      <c r="XBH386" s="1"/>
      <c r="XBI386" s="1"/>
      <c r="XBJ386" s="1"/>
      <c r="XBK386" s="1"/>
      <c r="XBL386" s="1"/>
      <c r="XBM386" s="1"/>
      <c r="XBN386" s="1"/>
      <c r="XBO386" s="1"/>
      <c r="XBP386" s="1"/>
      <c r="XBQ386" s="1"/>
      <c r="XBR386" s="1"/>
      <c r="XBS386" s="1"/>
      <c r="XBT386" s="1"/>
      <c r="XBU386" s="1"/>
      <c r="XBV386" s="1"/>
      <c r="XBW386" s="1"/>
      <c r="XBX386" s="1"/>
      <c r="XBY386" s="1"/>
      <c r="XBZ386" s="1"/>
      <c r="XCA386" s="1"/>
      <c r="XCB386" s="1"/>
      <c r="XCC386" s="1"/>
      <c r="XCD386" s="1"/>
      <c r="XCE386" s="1"/>
      <c r="XCF386" s="1"/>
      <c r="XCG386" s="1"/>
      <c r="XCH386" s="1"/>
      <c r="XCI386" s="1"/>
      <c r="XCJ386" s="1"/>
      <c r="XCK386" s="1"/>
      <c r="XCL386" s="1"/>
      <c r="XCM386" s="1"/>
      <c r="XCN386" s="1"/>
      <c r="XCO386" s="1"/>
      <c r="XCP386" s="1"/>
      <c r="XCQ386" s="1"/>
      <c r="XCR386" s="1"/>
      <c r="XCS386" s="1"/>
      <c r="XCT386" s="1"/>
      <c r="XCU386" s="1"/>
      <c r="XCV386" s="1"/>
      <c r="XCW386" s="1"/>
      <c r="XCX386" s="1"/>
      <c r="XCY386" s="1"/>
      <c r="XCZ386" s="1"/>
      <c r="XDA386" s="1"/>
      <c r="XDB386" s="1"/>
      <c r="XDC386" s="1"/>
      <c r="XDD386" s="1"/>
      <c r="XDE386" s="1"/>
      <c r="XDF386" s="1"/>
      <c r="XDG386" s="1"/>
      <c r="XDH386" s="1"/>
      <c r="XDI386" s="1"/>
      <c r="XDJ386" s="1"/>
      <c r="XDK386" s="1"/>
      <c r="XDL386" s="1"/>
      <c r="XDM386" s="1"/>
      <c r="XDN386" s="1"/>
      <c r="XDO386" s="1"/>
      <c r="XDP386" s="1"/>
      <c r="XDQ386" s="1"/>
      <c r="XDR386" s="1"/>
      <c r="XDS386" s="1"/>
      <c r="XDT386" s="1"/>
      <c r="XDU386" s="1"/>
      <c r="XDV386" s="1"/>
      <c r="XDW386" s="1"/>
      <c r="XDX386" s="1"/>
      <c r="XDY386" s="1"/>
      <c r="XDZ386" s="1"/>
      <c r="XEA386" s="1"/>
      <c r="XEB386" s="1"/>
      <c r="XEC386" s="1"/>
      <c r="XED386" s="1"/>
      <c r="XEE386" s="1"/>
      <c r="XEF386" s="1"/>
      <c r="XEG386" s="1"/>
      <c r="XEH386" s="1"/>
      <c r="XEI386" s="1"/>
      <c r="XEJ386" s="1"/>
      <c r="XEK386" s="1"/>
      <c r="XEL386" s="1"/>
      <c r="XEM386" s="1"/>
      <c r="XEN386" s="1"/>
      <c r="XEO386" s="1"/>
      <c r="XEP386" s="1"/>
      <c r="XEQ386" s="1"/>
      <c r="XER386" s="1"/>
      <c r="XES386" s="1"/>
      <c r="XET386" s="1"/>
      <c r="XEU386" s="1"/>
      <c r="XEV386" s="1"/>
      <c r="XEW386" s="1"/>
      <c r="XEX386" s="1"/>
      <c r="XEY386" s="1"/>
      <c r="XEZ386" s="1"/>
      <c r="XFA386" s="1"/>
      <c r="XFB386" s="1"/>
      <c r="XFC386" s="1"/>
      <c r="XFD386" s="1"/>
    </row>
    <row r="387" spans="1:151 16227:16384" s="11" customFormat="1" ht="20.25" x14ac:dyDescent="0.25">
      <c r="A387" s="98"/>
      <c r="B387" s="99"/>
      <c r="C387" s="80" t="s">
        <v>265</v>
      </c>
      <c r="D387" s="80"/>
      <c r="E387" s="20" t="s">
        <v>232</v>
      </c>
      <c r="F387" s="81">
        <f>(1.2*1.25+1.05*1.3+3.05*2.45+3.05*5.95+0.2*2.47+2.55*3.35+3.05*3.05+3.05*3.35+1.38*2.28+2.23*1.38+1*0.85+2.65*1+2.33*1.38)*10.764</f>
        <v>753.27225479999993</v>
      </c>
      <c r="G387" s="82"/>
      <c r="H387" s="20">
        <v>0</v>
      </c>
      <c r="I387" s="20">
        <f>F387*(($I$144)+1)+H387</f>
        <v>1205.2356076799999</v>
      </c>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WZC387" s="1"/>
      <c r="WZD387" s="1"/>
      <c r="WZE387" s="1"/>
      <c r="WZF387" s="1"/>
      <c r="WZG387" s="1"/>
      <c r="WZH387" s="1"/>
      <c r="WZI387" s="1"/>
      <c r="WZJ387" s="1"/>
      <c r="WZK387" s="1"/>
      <c r="WZL387" s="1"/>
      <c r="WZM387" s="1"/>
      <c r="WZN387" s="1"/>
      <c r="WZO387" s="1"/>
      <c r="WZP387" s="1"/>
      <c r="WZQ387" s="1"/>
      <c r="WZR387" s="1"/>
      <c r="WZS387" s="1"/>
      <c r="WZT387" s="1"/>
      <c r="WZU387" s="1"/>
      <c r="WZV387" s="1"/>
      <c r="WZW387" s="1"/>
      <c r="WZX387" s="1"/>
      <c r="WZY387" s="1"/>
      <c r="WZZ387" s="1"/>
      <c r="XAA387" s="1"/>
      <c r="XAB387" s="1"/>
      <c r="XAC387" s="1"/>
      <c r="XAD387" s="1"/>
      <c r="XAE387" s="1"/>
      <c r="XAF387" s="1"/>
      <c r="XAG387" s="1"/>
      <c r="XAH387" s="1"/>
      <c r="XAI387" s="1"/>
      <c r="XAJ387" s="1"/>
      <c r="XAK387" s="1"/>
      <c r="XAL387" s="1"/>
      <c r="XAM387" s="1"/>
      <c r="XAN387" s="1"/>
      <c r="XAO387" s="1"/>
      <c r="XAP387" s="1"/>
      <c r="XAQ387" s="1"/>
      <c r="XAR387" s="1"/>
      <c r="XAS387" s="1"/>
      <c r="XAT387" s="1"/>
      <c r="XAU387" s="1"/>
      <c r="XAV387" s="1"/>
      <c r="XAW387" s="1"/>
      <c r="XAX387" s="1"/>
      <c r="XAY387" s="1"/>
      <c r="XAZ387" s="1"/>
      <c r="XBA387" s="1"/>
      <c r="XBB387" s="1"/>
      <c r="XBC387" s="1"/>
      <c r="XBD387" s="1"/>
      <c r="XBE387" s="1"/>
      <c r="XBF387" s="1"/>
      <c r="XBG387" s="1"/>
      <c r="XBH387" s="1"/>
      <c r="XBI387" s="1"/>
      <c r="XBJ387" s="1"/>
      <c r="XBK387" s="1"/>
      <c r="XBL387" s="1"/>
      <c r="XBM387" s="1"/>
      <c r="XBN387" s="1"/>
      <c r="XBO387" s="1"/>
      <c r="XBP387" s="1"/>
      <c r="XBQ387" s="1"/>
      <c r="XBR387" s="1"/>
      <c r="XBS387" s="1"/>
      <c r="XBT387" s="1"/>
      <c r="XBU387" s="1"/>
      <c r="XBV387" s="1"/>
      <c r="XBW387" s="1"/>
      <c r="XBX387" s="1"/>
      <c r="XBY387" s="1"/>
      <c r="XBZ387" s="1"/>
      <c r="XCA387" s="1"/>
      <c r="XCB387" s="1"/>
      <c r="XCC387" s="1"/>
      <c r="XCD387" s="1"/>
      <c r="XCE387" s="1"/>
      <c r="XCF387" s="1"/>
      <c r="XCG387" s="1"/>
      <c r="XCH387" s="1"/>
      <c r="XCI387" s="1"/>
      <c r="XCJ387" s="1"/>
      <c r="XCK387" s="1"/>
      <c r="XCL387" s="1"/>
      <c r="XCM387" s="1"/>
      <c r="XCN387" s="1"/>
      <c r="XCO387" s="1"/>
      <c r="XCP387" s="1"/>
      <c r="XCQ387" s="1"/>
      <c r="XCR387" s="1"/>
      <c r="XCS387" s="1"/>
      <c r="XCT387" s="1"/>
      <c r="XCU387" s="1"/>
      <c r="XCV387" s="1"/>
      <c r="XCW387" s="1"/>
      <c r="XCX387" s="1"/>
      <c r="XCY387" s="1"/>
      <c r="XCZ387" s="1"/>
      <c r="XDA387" s="1"/>
      <c r="XDB387" s="1"/>
      <c r="XDC387" s="1"/>
      <c r="XDD387" s="1"/>
      <c r="XDE387" s="1"/>
      <c r="XDF387" s="1"/>
      <c r="XDG387" s="1"/>
      <c r="XDH387" s="1"/>
      <c r="XDI387" s="1"/>
      <c r="XDJ387" s="1"/>
      <c r="XDK387" s="1"/>
      <c r="XDL387" s="1"/>
      <c r="XDM387" s="1"/>
      <c r="XDN387" s="1"/>
      <c r="XDO387" s="1"/>
      <c r="XDP387" s="1"/>
      <c r="XDQ387" s="1"/>
      <c r="XDR387" s="1"/>
      <c r="XDS387" s="1"/>
      <c r="XDT387" s="1"/>
      <c r="XDU387" s="1"/>
      <c r="XDV387" s="1"/>
      <c r="XDW387" s="1"/>
      <c r="XDX387" s="1"/>
      <c r="XDY387" s="1"/>
      <c r="XDZ387" s="1"/>
      <c r="XEA387" s="1"/>
      <c r="XEB387" s="1"/>
      <c r="XEC387" s="1"/>
      <c r="XED387" s="1"/>
      <c r="XEE387" s="1"/>
      <c r="XEF387" s="1"/>
      <c r="XEG387" s="1"/>
      <c r="XEH387" s="1"/>
      <c r="XEI387" s="1"/>
      <c r="XEJ387" s="1"/>
      <c r="XEK387" s="1"/>
      <c r="XEL387" s="1"/>
      <c r="XEM387" s="1"/>
      <c r="XEN387" s="1"/>
      <c r="XEO387" s="1"/>
      <c r="XEP387" s="1"/>
      <c r="XEQ387" s="1"/>
      <c r="XER387" s="1"/>
      <c r="XES387" s="1"/>
      <c r="XET387" s="1"/>
      <c r="XEU387" s="1"/>
      <c r="XEV387" s="1"/>
      <c r="XEW387" s="1"/>
      <c r="XEX387" s="1"/>
      <c r="XEY387" s="1"/>
      <c r="XEZ387" s="1"/>
      <c r="XFA387" s="1"/>
      <c r="XFB387" s="1"/>
      <c r="XFC387" s="1"/>
      <c r="XFD387" s="1"/>
    </row>
    <row r="388" spans="1:151 16227:16384" s="11" customFormat="1" ht="20.25" x14ac:dyDescent="0.25">
      <c r="A388" s="100"/>
      <c r="B388" s="101"/>
      <c r="C388" s="80" t="s">
        <v>266</v>
      </c>
      <c r="D388" s="80"/>
      <c r="E388" s="20" t="s">
        <v>232</v>
      </c>
      <c r="F388" s="81">
        <f>(1.2*1.25+1.05*1.3+3.05*2.45+3.05*5.95+2.45*2.7+3.05*3.65+1.38*2.28+3.45*3.05+2.15*1.38+1.13*0.6+3.75*1+2.33*1.38)*10.764</f>
        <v>758.98901520000004</v>
      </c>
      <c r="G388" s="82"/>
      <c r="H388" s="20">
        <v>0</v>
      </c>
      <c r="I388" s="20">
        <f>F388*(($I$144)+1)+H388</f>
        <v>1214.3824243200002</v>
      </c>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WZC388" s="1"/>
      <c r="WZD388" s="1"/>
      <c r="WZE388" s="1"/>
      <c r="WZF388" s="1"/>
      <c r="WZG388" s="1"/>
      <c r="WZH388" s="1"/>
      <c r="WZI388" s="1"/>
      <c r="WZJ388" s="1"/>
      <c r="WZK388" s="1"/>
      <c r="WZL388" s="1"/>
      <c r="WZM388" s="1"/>
      <c r="WZN388" s="1"/>
      <c r="WZO388" s="1"/>
      <c r="WZP388" s="1"/>
      <c r="WZQ388" s="1"/>
      <c r="WZR388" s="1"/>
      <c r="WZS388" s="1"/>
      <c r="WZT388" s="1"/>
      <c r="WZU388" s="1"/>
      <c r="WZV388" s="1"/>
      <c r="WZW388" s="1"/>
      <c r="WZX388" s="1"/>
      <c r="WZY388" s="1"/>
      <c r="WZZ388" s="1"/>
      <c r="XAA388" s="1"/>
      <c r="XAB388" s="1"/>
      <c r="XAC388" s="1"/>
      <c r="XAD388" s="1"/>
      <c r="XAE388" s="1"/>
      <c r="XAF388" s="1"/>
      <c r="XAG388" s="1"/>
      <c r="XAH388" s="1"/>
      <c r="XAI388" s="1"/>
      <c r="XAJ388" s="1"/>
      <c r="XAK388" s="1"/>
      <c r="XAL388" s="1"/>
      <c r="XAM388" s="1"/>
      <c r="XAN388" s="1"/>
      <c r="XAO388" s="1"/>
      <c r="XAP388" s="1"/>
      <c r="XAQ388" s="1"/>
      <c r="XAR388" s="1"/>
      <c r="XAS388" s="1"/>
      <c r="XAT388" s="1"/>
      <c r="XAU388" s="1"/>
      <c r="XAV388" s="1"/>
      <c r="XAW388" s="1"/>
      <c r="XAX388" s="1"/>
      <c r="XAY388" s="1"/>
      <c r="XAZ388" s="1"/>
      <c r="XBA388" s="1"/>
      <c r="XBB388" s="1"/>
      <c r="XBC388" s="1"/>
      <c r="XBD388" s="1"/>
      <c r="XBE388" s="1"/>
      <c r="XBF388" s="1"/>
      <c r="XBG388" s="1"/>
      <c r="XBH388" s="1"/>
      <c r="XBI388" s="1"/>
      <c r="XBJ388" s="1"/>
      <c r="XBK388" s="1"/>
      <c r="XBL388" s="1"/>
      <c r="XBM388" s="1"/>
      <c r="XBN388" s="1"/>
      <c r="XBO388" s="1"/>
      <c r="XBP388" s="1"/>
      <c r="XBQ388" s="1"/>
      <c r="XBR388" s="1"/>
      <c r="XBS388" s="1"/>
      <c r="XBT388" s="1"/>
      <c r="XBU388" s="1"/>
      <c r="XBV388" s="1"/>
      <c r="XBW388" s="1"/>
      <c r="XBX388" s="1"/>
      <c r="XBY388" s="1"/>
      <c r="XBZ388" s="1"/>
      <c r="XCA388" s="1"/>
      <c r="XCB388" s="1"/>
      <c r="XCC388" s="1"/>
      <c r="XCD388" s="1"/>
      <c r="XCE388" s="1"/>
      <c r="XCF388" s="1"/>
      <c r="XCG388" s="1"/>
      <c r="XCH388" s="1"/>
      <c r="XCI388" s="1"/>
      <c r="XCJ388" s="1"/>
      <c r="XCK388" s="1"/>
      <c r="XCL388" s="1"/>
      <c r="XCM388" s="1"/>
      <c r="XCN388" s="1"/>
      <c r="XCO388" s="1"/>
      <c r="XCP388" s="1"/>
      <c r="XCQ388" s="1"/>
      <c r="XCR388" s="1"/>
      <c r="XCS388" s="1"/>
      <c r="XCT388" s="1"/>
      <c r="XCU388" s="1"/>
      <c r="XCV388" s="1"/>
      <c r="XCW388" s="1"/>
      <c r="XCX388" s="1"/>
      <c r="XCY388" s="1"/>
      <c r="XCZ388" s="1"/>
      <c r="XDA388" s="1"/>
      <c r="XDB388" s="1"/>
      <c r="XDC388" s="1"/>
      <c r="XDD388" s="1"/>
      <c r="XDE388" s="1"/>
      <c r="XDF388" s="1"/>
      <c r="XDG388" s="1"/>
      <c r="XDH388" s="1"/>
      <c r="XDI388" s="1"/>
      <c r="XDJ388" s="1"/>
      <c r="XDK388" s="1"/>
      <c r="XDL388" s="1"/>
      <c r="XDM388" s="1"/>
      <c r="XDN388" s="1"/>
      <c r="XDO388" s="1"/>
      <c r="XDP388" s="1"/>
      <c r="XDQ388" s="1"/>
      <c r="XDR388" s="1"/>
      <c r="XDS388" s="1"/>
      <c r="XDT388" s="1"/>
      <c r="XDU388" s="1"/>
      <c r="XDV388" s="1"/>
      <c r="XDW388" s="1"/>
      <c r="XDX388" s="1"/>
      <c r="XDY388" s="1"/>
      <c r="XDZ388" s="1"/>
      <c r="XEA388" s="1"/>
      <c r="XEB388" s="1"/>
      <c r="XEC388" s="1"/>
      <c r="XED388" s="1"/>
      <c r="XEE388" s="1"/>
      <c r="XEF388" s="1"/>
      <c r="XEG388" s="1"/>
      <c r="XEH388" s="1"/>
      <c r="XEI388" s="1"/>
      <c r="XEJ388" s="1"/>
      <c r="XEK388" s="1"/>
      <c r="XEL388" s="1"/>
      <c r="XEM388" s="1"/>
      <c r="XEN388" s="1"/>
      <c r="XEO388" s="1"/>
      <c r="XEP388" s="1"/>
      <c r="XEQ388" s="1"/>
      <c r="XER388" s="1"/>
      <c r="XES388" s="1"/>
      <c r="XET388" s="1"/>
      <c r="XEU388" s="1"/>
      <c r="XEV388" s="1"/>
      <c r="XEW388" s="1"/>
      <c r="XEX388" s="1"/>
      <c r="XEY388" s="1"/>
      <c r="XEZ388" s="1"/>
      <c r="XFA388" s="1"/>
      <c r="XFB388" s="1"/>
      <c r="XFC388" s="1"/>
      <c r="XFD388" s="1"/>
    </row>
    <row r="389" spans="1:151 16227:16384" ht="20.25" x14ac:dyDescent="0.25">
      <c r="A389" s="84" t="s">
        <v>74</v>
      </c>
      <c r="B389" s="84"/>
      <c r="C389" s="84"/>
      <c r="D389" s="84"/>
      <c r="E389" s="84"/>
      <c r="F389" s="84"/>
      <c r="G389" s="84"/>
      <c r="H389" s="84"/>
      <c r="I389" s="84"/>
    </row>
    <row r="390" spans="1:151 16227:16384" ht="330.75" customHeight="1" x14ac:dyDescent="0.25">
      <c r="A390" s="9" t="s">
        <v>82</v>
      </c>
      <c r="B390" s="12" t="s">
        <v>4</v>
      </c>
      <c r="C390" s="66" t="s">
        <v>307</v>
      </c>
      <c r="D390" s="66"/>
      <c r="E390" s="66"/>
      <c r="F390" s="66"/>
      <c r="G390" s="66"/>
      <c r="H390" s="66"/>
      <c r="I390" s="66"/>
    </row>
    <row r="391" spans="1:151 16227:16384" ht="20.25" x14ac:dyDescent="0.25">
      <c r="A391" s="155" t="s">
        <v>83</v>
      </c>
      <c r="B391" s="155"/>
      <c r="C391" s="155"/>
      <c r="D391" s="155"/>
      <c r="E391" s="155"/>
      <c r="F391" s="155"/>
      <c r="G391" s="155"/>
      <c r="H391" s="155"/>
      <c r="I391" s="155"/>
    </row>
    <row r="392" spans="1:151 16227:16384" ht="20.25" x14ac:dyDescent="0.25">
      <c r="A392" s="124" t="s">
        <v>75</v>
      </c>
      <c r="B392" s="124"/>
      <c r="C392" s="124"/>
      <c r="D392" s="2" t="s">
        <v>4</v>
      </c>
      <c r="E392" s="125" t="str">
        <f>E3</f>
        <v>Wadhwa Atmosphere O2 (Wing D, E, F and G)</v>
      </c>
      <c r="F392" s="128"/>
      <c r="G392" s="128"/>
      <c r="H392" s="128"/>
      <c r="I392" s="126"/>
    </row>
    <row r="393" spans="1:151 16227:16384" ht="40.5" customHeight="1" x14ac:dyDescent="0.25">
      <c r="A393" s="124" t="s">
        <v>133</v>
      </c>
      <c r="B393" s="124"/>
      <c r="C393" s="124"/>
      <c r="D393" s="2" t="s">
        <v>4</v>
      </c>
      <c r="E393" s="125" t="str">
        <f>E9</f>
        <v>Building No. 2, CTS NO. 784-1, 785,.., 793 &amp; 848, Village - Nahur, Mulund link road, Mulund (W), Mumbai - 4000080.</v>
      </c>
      <c r="F393" s="128"/>
      <c r="G393" s="128"/>
      <c r="H393" s="128"/>
      <c r="I393" s="126"/>
    </row>
    <row r="394" spans="1:151 16227:16384" ht="20.25" customHeight="1" x14ac:dyDescent="0.25">
      <c r="A394" s="68" t="s">
        <v>139</v>
      </c>
      <c r="B394" s="68"/>
      <c r="C394" s="68"/>
      <c r="D394" s="16" t="s">
        <v>4</v>
      </c>
      <c r="E394" s="165" t="str">
        <f>I3</f>
        <v>06/08/2025 at 03:50PM</v>
      </c>
      <c r="F394" s="166"/>
      <c r="G394" s="166"/>
      <c r="H394" s="166"/>
      <c r="I394" s="167"/>
    </row>
    <row r="395" spans="1:151 16227:16384" ht="20.25" x14ac:dyDescent="0.25">
      <c r="A395" s="30"/>
      <c r="B395" s="31"/>
      <c r="C395" s="31"/>
      <c r="D395" s="31"/>
      <c r="E395" s="31"/>
      <c r="F395" s="31"/>
      <c r="G395" s="31"/>
      <c r="H395" s="31"/>
      <c r="I395" s="25"/>
    </row>
    <row r="396" spans="1:151 16227:16384" ht="20.25" x14ac:dyDescent="0.25">
      <c r="A396" s="32"/>
      <c r="B396" s="33"/>
      <c r="C396" s="33"/>
      <c r="D396" s="33"/>
      <c r="E396" s="33"/>
      <c r="F396" s="33"/>
      <c r="G396" s="33"/>
      <c r="H396" s="33"/>
      <c r="I396" s="26"/>
    </row>
    <row r="397" spans="1:151 16227:16384" ht="20.25" x14ac:dyDescent="0.25">
      <c r="A397" s="32"/>
      <c r="B397" s="33"/>
      <c r="C397" s="33"/>
      <c r="D397" s="33"/>
      <c r="E397" s="33"/>
      <c r="F397" s="33"/>
      <c r="G397" s="33"/>
      <c r="H397" s="33"/>
      <c r="I397" s="26"/>
    </row>
    <row r="398" spans="1:151 16227:16384" ht="20.25" x14ac:dyDescent="0.25">
      <c r="A398" s="32"/>
      <c r="B398" s="33"/>
      <c r="C398" s="33"/>
      <c r="D398" s="33"/>
      <c r="E398" s="33"/>
      <c r="F398" s="33"/>
      <c r="G398" s="33"/>
      <c r="H398" s="33"/>
      <c r="I398" s="26"/>
    </row>
    <row r="399" spans="1:151 16227:16384" ht="20.25" x14ac:dyDescent="0.25">
      <c r="A399" s="32"/>
      <c r="B399" s="33"/>
      <c r="C399" s="33"/>
      <c r="D399" s="33"/>
      <c r="E399" s="33"/>
      <c r="F399" s="33"/>
      <c r="G399" s="33"/>
      <c r="H399" s="33"/>
      <c r="I399" s="26"/>
    </row>
    <row r="400" spans="1:151 16227:16384" ht="20.25" x14ac:dyDescent="0.25">
      <c r="A400" s="32"/>
      <c r="B400" s="33"/>
      <c r="C400" s="33"/>
      <c r="D400" s="33"/>
      <c r="E400" s="33"/>
      <c r="F400" s="33"/>
      <c r="G400" s="33"/>
      <c r="H400" s="33"/>
      <c r="I400" s="26"/>
    </row>
    <row r="401" spans="1:9" ht="20.25" x14ac:dyDescent="0.25">
      <c r="A401" s="32"/>
      <c r="B401" s="33"/>
      <c r="C401" s="33"/>
      <c r="D401" s="33"/>
      <c r="E401" s="33"/>
      <c r="F401" s="33"/>
      <c r="G401" s="33"/>
      <c r="H401" s="33"/>
      <c r="I401" s="26"/>
    </row>
    <row r="402" spans="1:9" ht="20.25" x14ac:dyDescent="0.25">
      <c r="A402" s="32"/>
      <c r="B402" s="33"/>
      <c r="C402" s="33"/>
      <c r="D402" s="33"/>
      <c r="E402" s="33"/>
      <c r="F402" s="33"/>
      <c r="G402" s="33"/>
      <c r="H402" s="33"/>
      <c r="I402" s="26"/>
    </row>
    <row r="403" spans="1:9" ht="20.25" x14ac:dyDescent="0.25">
      <c r="A403" s="32"/>
      <c r="B403" s="33"/>
      <c r="C403" s="33"/>
      <c r="D403" s="33"/>
      <c r="E403" s="33"/>
      <c r="F403" s="33"/>
      <c r="G403" s="33"/>
      <c r="H403" s="33"/>
      <c r="I403" s="26"/>
    </row>
    <row r="404" spans="1:9" ht="20.25" x14ac:dyDescent="0.25">
      <c r="A404" s="32"/>
      <c r="B404" s="33"/>
      <c r="C404" s="33"/>
      <c r="D404" s="33"/>
      <c r="E404" s="33"/>
      <c r="F404" s="33"/>
      <c r="G404" s="33"/>
      <c r="H404" s="33"/>
      <c r="I404" s="26"/>
    </row>
    <row r="405" spans="1:9" ht="20.25" x14ac:dyDescent="0.25">
      <c r="A405" s="32"/>
      <c r="B405" s="33"/>
      <c r="C405" s="33"/>
      <c r="D405" s="33"/>
      <c r="E405" s="33"/>
      <c r="F405" s="33"/>
      <c r="G405" s="33"/>
      <c r="H405" s="33"/>
      <c r="I405" s="26"/>
    </row>
    <row r="406" spans="1:9" ht="20.25" x14ac:dyDescent="0.25">
      <c r="A406" s="32"/>
      <c r="B406" s="33"/>
      <c r="C406" s="33"/>
      <c r="D406" s="33"/>
      <c r="E406" s="33"/>
      <c r="F406" s="33"/>
      <c r="G406" s="33"/>
      <c r="H406" s="33"/>
      <c r="I406" s="26"/>
    </row>
    <row r="407" spans="1:9" ht="20.25" x14ac:dyDescent="0.25">
      <c r="A407" s="32"/>
      <c r="B407" s="33"/>
      <c r="C407" s="33"/>
      <c r="D407" s="33"/>
      <c r="E407" s="33"/>
      <c r="F407" s="33"/>
      <c r="G407" s="33"/>
      <c r="H407" s="33"/>
      <c r="I407" s="26"/>
    </row>
    <row r="408" spans="1:9" ht="20.25" x14ac:dyDescent="0.25">
      <c r="A408" s="32"/>
      <c r="B408" s="33"/>
      <c r="C408" s="33"/>
      <c r="D408" s="33"/>
      <c r="E408" s="33"/>
      <c r="F408" s="33"/>
      <c r="G408" s="33"/>
      <c r="H408" s="33"/>
      <c r="I408" s="26"/>
    </row>
    <row r="409" spans="1:9" ht="20.25" x14ac:dyDescent="0.25">
      <c r="A409" s="32"/>
      <c r="B409" s="33"/>
      <c r="C409" s="33"/>
      <c r="D409" s="33"/>
      <c r="E409" s="33"/>
      <c r="F409" s="33"/>
      <c r="G409" s="33"/>
      <c r="H409" s="33"/>
      <c r="I409" s="26"/>
    </row>
    <row r="410" spans="1:9" ht="20.25" x14ac:dyDescent="0.25">
      <c r="A410" s="32"/>
      <c r="B410" s="33"/>
      <c r="C410" s="33"/>
      <c r="D410" s="33"/>
      <c r="E410" s="33"/>
      <c r="F410" s="33"/>
      <c r="G410" s="33"/>
      <c r="H410" s="33"/>
      <c r="I410" s="26"/>
    </row>
    <row r="411" spans="1:9" ht="20.25" x14ac:dyDescent="0.25">
      <c r="A411" s="32"/>
      <c r="B411" s="33"/>
      <c r="C411" s="33"/>
      <c r="D411" s="33"/>
      <c r="E411" s="33"/>
      <c r="F411" s="33"/>
      <c r="G411" s="33"/>
      <c r="H411" s="33"/>
      <c r="I411" s="26"/>
    </row>
    <row r="412" spans="1:9" ht="20.25" x14ac:dyDescent="0.25">
      <c r="A412" s="32"/>
      <c r="B412" s="33"/>
      <c r="C412" s="33"/>
      <c r="D412" s="33"/>
      <c r="E412" s="33"/>
      <c r="F412" s="33"/>
      <c r="G412" s="33"/>
      <c r="H412" s="33"/>
      <c r="I412" s="26"/>
    </row>
    <row r="413" spans="1:9" ht="20.25" x14ac:dyDescent="0.25">
      <c r="A413" s="32"/>
      <c r="B413" s="33"/>
      <c r="C413" s="33"/>
      <c r="D413" s="33"/>
      <c r="E413" s="33"/>
      <c r="F413" s="33"/>
      <c r="G413" s="33"/>
      <c r="H413" s="33"/>
      <c r="I413" s="26"/>
    </row>
    <row r="414" spans="1:9" ht="20.25" x14ac:dyDescent="0.25">
      <c r="A414" s="32"/>
      <c r="B414" s="33"/>
      <c r="C414" s="33"/>
      <c r="D414" s="33"/>
      <c r="E414" s="33"/>
      <c r="F414" s="33"/>
      <c r="G414" s="33"/>
      <c r="H414" s="33"/>
      <c r="I414" s="26"/>
    </row>
    <row r="415" spans="1:9" ht="20.25" x14ac:dyDescent="0.25">
      <c r="A415" s="32"/>
      <c r="B415" s="33"/>
      <c r="C415" s="33"/>
      <c r="D415" s="33"/>
      <c r="E415" s="33"/>
      <c r="F415" s="33"/>
      <c r="G415" s="33"/>
      <c r="H415" s="33"/>
      <c r="I415" s="26"/>
    </row>
    <row r="416" spans="1:9" ht="20.25" x14ac:dyDescent="0.25">
      <c r="A416" s="32"/>
      <c r="B416" s="33"/>
      <c r="C416" s="33"/>
      <c r="D416" s="33"/>
      <c r="E416" s="33"/>
      <c r="F416" s="33"/>
      <c r="G416" s="33"/>
      <c r="H416" s="33"/>
      <c r="I416" s="26"/>
    </row>
    <row r="417" spans="1:9" ht="20.25" x14ac:dyDescent="0.25">
      <c r="A417" s="32"/>
      <c r="B417" s="33"/>
      <c r="C417" s="33"/>
      <c r="D417" s="33"/>
      <c r="E417" s="33"/>
      <c r="F417" s="33"/>
      <c r="G417" s="33"/>
      <c r="H417" s="33"/>
      <c r="I417" s="26"/>
    </row>
    <row r="418" spans="1:9" ht="20.25" x14ac:dyDescent="0.25">
      <c r="A418" s="32"/>
      <c r="B418" s="33"/>
      <c r="C418" s="33"/>
      <c r="D418" s="33"/>
      <c r="E418" s="33"/>
      <c r="F418" s="33"/>
      <c r="G418" s="33"/>
      <c r="H418" s="33"/>
      <c r="I418" s="26"/>
    </row>
    <row r="419" spans="1:9" ht="20.25" x14ac:dyDescent="0.25">
      <c r="A419" s="32"/>
      <c r="B419" s="33"/>
      <c r="C419" s="33"/>
      <c r="D419" s="33"/>
      <c r="E419" s="33"/>
      <c r="F419" s="33"/>
      <c r="G419" s="33"/>
      <c r="H419" s="33"/>
      <c r="I419" s="26"/>
    </row>
    <row r="420" spans="1:9" ht="20.25" x14ac:dyDescent="0.25">
      <c r="A420" s="32"/>
      <c r="B420" s="33"/>
      <c r="C420" s="33"/>
      <c r="D420" s="33"/>
      <c r="E420" s="33"/>
      <c r="F420" s="33"/>
      <c r="G420" s="33"/>
      <c r="H420" s="33"/>
      <c r="I420" s="26"/>
    </row>
    <row r="421" spans="1:9" ht="20.25" x14ac:dyDescent="0.25">
      <c r="A421" s="32"/>
      <c r="B421" s="33"/>
      <c r="C421" s="33"/>
      <c r="D421" s="33"/>
      <c r="E421" s="33"/>
      <c r="F421" s="33"/>
      <c r="G421" s="33"/>
      <c r="H421" s="33"/>
      <c r="I421" s="26"/>
    </row>
    <row r="422" spans="1:9" ht="20.25" x14ac:dyDescent="0.25">
      <c r="A422" s="32"/>
      <c r="B422" s="33"/>
      <c r="C422" s="33"/>
      <c r="D422" s="33"/>
      <c r="E422" s="33"/>
      <c r="F422" s="33"/>
      <c r="G422" s="33"/>
      <c r="H422" s="33"/>
      <c r="I422" s="26"/>
    </row>
    <row r="423" spans="1:9" ht="20.25" x14ac:dyDescent="0.25">
      <c r="A423" s="32"/>
      <c r="B423" s="33"/>
      <c r="C423" s="33"/>
      <c r="D423" s="33"/>
      <c r="E423" s="33"/>
      <c r="F423" s="33"/>
      <c r="G423" s="33"/>
      <c r="H423" s="33"/>
      <c r="I423" s="26"/>
    </row>
    <row r="424" spans="1:9" ht="20.25" x14ac:dyDescent="0.25">
      <c r="A424" s="32"/>
      <c r="B424" s="33"/>
      <c r="C424" s="33"/>
      <c r="D424" s="33"/>
      <c r="E424" s="33"/>
      <c r="F424" s="33"/>
      <c r="G424" s="33"/>
      <c r="H424" s="33"/>
      <c r="I424" s="26"/>
    </row>
    <row r="425" spans="1:9" ht="20.25" x14ac:dyDescent="0.25">
      <c r="A425" s="32"/>
      <c r="B425" s="33"/>
      <c r="C425" s="33"/>
      <c r="D425" s="33"/>
      <c r="E425" s="33"/>
      <c r="F425" s="33"/>
      <c r="G425" s="33"/>
      <c r="H425" s="33"/>
      <c r="I425" s="26"/>
    </row>
    <row r="426" spans="1:9" ht="20.25" x14ac:dyDescent="0.25">
      <c r="A426" s="32"/>
      <c r="B426" s="33"/>
      <c r="C426" s="33"/>
      <c r="D426" s="33"/>
      <c r="E426" s="33"/>
      <c r="F426" s="33"/>
      <c r="G426" s="33"/>
      <c r="H426" s="33"/>
      <c r="I426" s="26"/>
    </row>
    <row r="427" spans="1:9" ht="20.25" x14ac:dyDescent="0.25">
      <c r="A427" s="32"/>
      <c r="B427" s="33"/>
      <c r="C427" s="33"/>
      <c r="D427" s="33"/>
      <c r="E427" s="33"/>
      <c r="F427" s="33"/>
      <c r="G427" s="33"/>
      <c r="H427" s="33"/>
      <c r="I427" s="26"/>
    </row>
    <row r="428" spans="1:9" ht="20.25" x14ac:dyDescent="0.25">
      <c r="A428" s="32"/>
      <c r="B428" s="33"/>
      <c r="C428" s="33"/>
      <c r="D428" s="33"/>
      <c r="E428" s="33"/>
      <c r="F428" s="33"/>
      <c r="G428" s="33"/>
      <c r="H428" s="33"/>
      <c r="I428" s="26"/>
    </row>
    <row r="429" spans="1:9" ht="20.25" x14ac:dyDescent="0.25">
      <c r="A429" s="32"/>
      <c r="B429" s="33"/>
      <c r="C429" s="33"/>
      <c r="D429" s="33"/>
      <c r="E429" s="33"/>
      <c r="F429" s="33"/>
      <c r="G429" s="33"/>
      <c r="H429" s="33"/>
      <c r="I429" s="26"/>
    </row>
    <row r="430" spans="1:9" ht="20.25" x14ac:dyDescent="0.25">
      <c r="A430" s="32"/>
      <c r="B430" s="33"/>
      <c r="C430" s="33"/>
      <c r="D430" s="33"/>
      <c r="E430" s="33"/>
      <c r="F430" s="33"/>
      <c r="G430" s="33"/>
      <c r="H430" s="33"/>
      <c r="I430" s="26"/>
    </row>
    <row r="431" spans="1:9" ht="20.25" x14ac:dyDescent="0.25">
      <c r="A431" s="32"/>
      <c r="B431" s="33"/>
      <c r="C431" s="33"/>
      <c r="D431" s="33"/>
      <c r="E431" s="33"/>
      <c r="F431" s="33"/>
      <c r="G431" s="33"/>
      <c r="H431" s="33"/>
      <c r="I431" s="26"/>
    </row>
    <row r="432" spans="1:9" ht="20.25" x14ac:dyDescent="0.25">
      <c r="A432" s="32"/>
      <c r="B432" s="33"/>
      <c r="C432" s="33"/>
      <c r="D432" s="33"/>
      <c r="E432" s="33"/>
      <c r="F432" s="33"/>
      <c r="G432" s="33"/>
      <c r="H432" s="33"/>
      <c r="I432" s="26"/>
    </row>
    <row r="433" spans="1:9" ht="20.25" x14ac:dyDescent="0.25">
      <c r="A433" s="32"/>
      <c r="B433" s="33"/>
      <c r="C433" s="33"/>
      <c r="D433" s="33"/>
      <c r="E433" s="33"/>
      <c r="F433" s="33"/>
      <c r="G433" s="33"/>
      <c r="H433" s="33"/>
      <c r="I433" s="26"/>
    </row>
    <row r="434" spans="1:9" ht="20.25" x14ac:dyDescent="0.25">
      <c r="A434" s="32"/>
      <c r="B434" s="33"/>
      <c r="C434" s="33"/>
      <c r="D434" s="33"/>
      <c r="E434" s="33"/>
      <c r="F434" s="33"/>
      <c r="G434" s="33"/>
      <c r="H434" s="33"/>
      <c r="I434" s="26"/>
    </row>
    <row r="435" spans="1:9" ht="20.25" x14ac:dyDescent="0.25">
      <c r="A435" s="32"/>
      <c r="B435" s="33"/>
      <c r="C435" s="33"/>
      <c r="D435" s="33"/>
      <c r="E435" s="33"/>
      <c r="F435" s="33"/>
      <c r="G435" s="33"/>
      <c r="H435" s="33"/>
      <c r="I435" s="26"/>
    </row>
    <row r="436" spans="1:9" ht="20.25" x14ac:dyDescent="0.25">
      <c r="A436" s="32"/>
      <c r="B436" s="33"/>
      <c r="C436" s="33"/>
      <c r="D436" s="33"/>
      <c r="E436" s="33"/>
      <c r="F436" s="33"/>
      <c r="G436" s="33"/>
      <c r="H436" s="33"/>
      <c r="I436" s="26"/>
    </row>
    <row r="437" spans="1:9" ht="20.25" x14ac:dyDescent="0.25">
      <c r="A437" s="32"/>
      <c r="B437" s="33"/>
      <c r="C437" s="33"/>
      <c r="D437" s="33"/>
      <c r="E437" s="33"/>
      <c r="F437" s="33"/>
      <c r="G437" s="33"/>
      <c r="H437" s="33"/>
      <c r="I437" s="26"/>
    </row>
    <row r="438" spans="1:9" ht="20.25" x14ac:dyDescent="0.25">
      <c r="A438" s="32"/>
      <c r="B438" s="33"/>
      <c r="C438" s="33"/>
      <c r="D438" s="33"/>
      <c r="E438" s="33"/>
      <c r="F438" s="33"/>
      <c r="G438" s="33"/>
      <c r="H438" s="33"/>
      <c r="I438" s="26"/>
    </row>
    <row r="439" spans="1:9" ht="20.25" x14ac:dyDescent="0.25">
      <c r="A439" s="32"/>
      <c r="B439" s="33"/>
      <c r="C439" s="33"/>
      <c r="D439" s="33"/>
      <c r="E439" s="33"/>
      <c r="F439" s="33"/>
      <c r="G439" s="33"/>
      <c r="H439" s="33"/>
      <c r="I439" s="26"/>
    </row>
    <row r="440" spans="1:9" ht="20.25" x14ac:dyDescent="0.25">
      <c r="A440" s="32"/>
      <c r="B440" s="33"/>
      <c r="C440" s="33"/>
      <c r="D440" s="33"/>
      <c r="E440" s="33"/>
      <c r="F440" s="33"/>
      <c r="G440" s="33"/>
      <c r="H440" s="33"/>
      <c r="I440" s="26"/>
    </row>
    <row r="441" spans="1:9" ht="20.25" hidden="1" x14ac:dyDescent="0.25">
      <c r="A441" s="32"/>
      <c r="B441" s="33"/>
      <c r="C441" s="33"/>
      <c r="D441" s="33"/>
      <c r="E441" s="33"/>
      <c r="F441" s="33"/>
      <c r="G441" s="33"/>
      <c r="H441" s="33"/>
      <c r="I441" s="26"/>
    </row>
    <row r="442" spans="1:9" ht="20.25" hidden="1" x14ac:dyDescent="0.25">
      <c r="A442" s="32"/>
      <c r="B442" s="33"/>
      <c r="C442" s="33"/>
      <c r="D442" s="33"/>
      <c r="E442" s="33"/>
      <c r="F442" s="33"/>
      <c r="G442" s="33"/>
      <c r="H442" s="33"/>
      <c r="I442" s="26"/>
    </row>
    <row r="443" spans="1:9" ht="20.25" hidden="1" x14ac:dyDescent="0.25">
      <c r="A443" s="32"/>
      <c r="B443" s="33"/>
      <c r="C443" s="33"/>
      <c r="D443" s="33"/>
      <c r="E443" s="33"/>
      <c r="F443" s="33"/>
      <c r="G443" s="33"/>
      <c r="H443" s="33"/>
      <c r="I443" s="26"/>
    </row>
    <row r="444" spans="1:9" ht="20.25" hidden="1" x14ac:dyDescent="0.25">
      <c r="A444" s="32"/>
      <c r="B444" s="33"/>
      <c r="C444" s="33"/>
      <c r="D444" s="33"/>
      <c r="E444" s="33"/>
      <c r="F444" s="33"/>
      <c r="G444" s="33"/>
      <c r="H444" s="33"/>
      <c r="I444" s="26"/>
    </row>
    <row r="445" spans="1:9" ht="20.25" hidden="1" x14ac:dyDescent="0.25">
      <c r="A445" s="32"/>
      <c r="B445" s="33"/>
      <c r="C445" s="33"/>
      <c r="D445" s="33"/>
      <c r="E445" s="33"/>
      <c r="F445" s="33"/>
      <c r="G445" s="33"/>
      <c r="H445" s="33"/>
      <c r="I445" s="26"/>
    </row>
    <row r="446" spans="1:9" ht="20.25" hidden="1" x14ac:dyDescent="0.25">
      <c r="A446" s="32"/>
      <c r="B446" s="33"/>
      <c r="C446" s="33"/>
      <c r="D446" s="33"/>
      <c r="E446" s="33"/>
      <c r="F446" s="33"/>
      <c r="G446" s="33"/>
      <c r="H446" s="33"/>
      <c r="I446" s="26"/>
    </row>
    <row r="447" spans="1:9" ht="20.25" hidden="1" x14ac:dyDescent="0.25">
      <c r="A447" s="32"/>
      <c r="B447" s="33"/>
      <c r="C447" s="33"/>
      <c r="D447" s="33"/>
      <c r="E447" s="33"/>
      <c r="F447" s="33"/>
      <c r="G447" s="33"/>
      <c r="H447" s="33"/>
      <c r="I447" s="26"/>
    </row>
    <row r="448" spans="1:9" ht="20.25" x14ac:dyDescent="0.25">
      <c r="A448" s="34"/>
      <c r="B448" s="35"/>
      <c r="C448" s="35"/>
      <c r="D448" s="35"/>
      <c r="E448" s="35"/>
      <c r="F448" s="35"/>
      <c r="G448" s="35"/>
      <c r="H448" s="35"/>
      <c r="I448" s="27"/>
    </row>
    <row r="449" spans="1:9" ht="20.25" x14ac:dyDescent="0.25">
      <c r="A449" s="121" t="s">
        <v>84</v>
      </c>
      <c r="B449" s="122"/>
      <c r="C449" s="122"/>
      <c r="D449" s="122"/>
      <c r="E449" s="122"/>
      <c r="F449" s="122"/>
      <c r="G449" s="122"/>
      <c r="H449" s="122"/>
      <c r="I449" s="123"/>
    </row>
    <row r="450" spans="1:9" ht="20.25" x14ac:dyDescent="0.25">
      <c r="A450" s="30"/>
      <c r="B450" s="31"/>
      <c r="C450" s="31"/>
      <c r="D450" s="31"/>
      <c r="E450" s="31"/>
      <c r="F450" s="31"/>
      <c r="G450" s="31"/>
      <c r="H450" s="31"/>
      <c r="I450" s="25"/>
    </row>
    <row r="451" spans="1:9" ht="20.25" x14ac:dyDescent="0.25">
      <c r="A451" s="32"/>
      <c r="B451" s="33"/>
      <c r="C451" s="33"/>
      <c r="D451" s="33"/>
      <c r="E451" s="33"/>
      <c r="F451" s="33"/>
      <c r="G451" s="33"/>
      <c r="H451" s="33"/>
      <c r="I451" s="26"/>
    </row>
    <row r="452" spans="1:9" ht="20.25" x14ac:dyDescent="0.25">
      <c r="A452" s="32"/>
      <c r="B452" s="33"/>
      <c r="C452" s="33"/>
      <c r="D452" s="33"/>
      <c r="E452" s="33"/>
      <c r="F452" s="33"/>
      <c r="G452" s="33"/>
      <c r="H452" s="33"/>
      <c r="I452" s="26"/>
    </row>
    <row r="453" spans="1:9" ht="20.25" x14ac:dyDescent="0.25">
      <c r="A453" s="32"/>
      <c r="B453" s="33"/>
      <c r="C453" s="33"/>
      <c r="D453" s="33"/>
      <c r="E453" s="33"/>
      <c r="F453" s="33"/>
      <c r="G453" s="33"/>
      <c r="H453" s="33"/>
      <c r="I453" s="26"/>
    </row>
    <row r="454" spans="1:9" ht="20.25" x14ac:dyDescent="0.25">
      <c r="A454" s="32"/>
      <c r="B454" s="33"/>
      <c r="C454" s="33"/>
      <c r="D454" s="33"/>
      <c r="E454" s="33"/>
      <c r="F454" s="33"/>
      <c r="G454" s="33"/>
      <c r="H454" s="33"/>
      <c r="I454" s="26"/>
    </row>
    <row r="455" spans="1:9" ht="20.25" x14ac:dyDescent="0.25">
      <c r="A455" s="32"/>
      <c r="B455" s="33"/>
      <c r="C455" s="33"/>
      <c r="D455" s="33"/>
      <c r="E455" s="33"/>
      <c r="F455" s="33"/>
      <c r="G455" s="33"/>
      <c r="H455" s="33"/>
      <c r="I455" s="26"/>
    </row>
    <row r="456" spans="1:9" ht="20.25" x14ac:dyDescent="0.25">
      <c r="A456" s="32"/>
      <c r="B456" s="33"/>
      <c r="C456" s="33"/>
      <c r="D456" s="33"/>
      <c r="E456" s="33"/>
      <c r="F456" s="33"/>
      <c r="G456" s="33"/>
      <c r="H456" s="33"/>
      <c r="I456" s="26"/>
    </row>
    <row r="457" spans="1:9" ht="20.25" x14ac:dyDescent="0.25">
      <c r="A457" s="32"/>
      <c r="B457" s="33"/>
      <c r="C457" s="33"/>
      <c r="D457" s="33"/>
      <c r="E457" s="33"/>
      <c r="F457" s="33"/>
      <c r="G457" s="33"/>
      <c r="H457" s="33"/>
      <c r="I457" s="26"/>
    </row>
    <row r="458" spans="1:9" ht="20.25" x14ac:dyDescent="0.25">
      <c r="A458" s="32"/>
      <c r="B458" s="33"/>
      <c r="C458" s="33"/>
      <c r="D458" s="33"/>
      <c r="E458" s="33"/>
      <c r="F458" s="33"/>
      <c r="G458" s="33"/>
      <c r="H458" s="33"/>
      <c r="I458" s="26"/>
    </row>
    <row r="459" spans="1:9" ht="20.25" x14ac:dyDescent="0.25">
      <c r="A459" s="32"/>
      <c r="B459" s="33"/>
      <c r="C459" s="33"/>
      <c r="D459" s="33"/>
      <c r="E459" s="33"/>
      <c r="F459" s="33"/>
      <c r="G459" s="33"/>
      <c r="H459" s="33"/>
      <c r="I459" s="26"/>
    </row>
    <row r="460" spans="1:9" ht="20.25" x14ac:dyDescent="0.25">
      <c r="A460" s="32"/>
      <c r="B460" s="33"/>
      <c r="C460" s="33"/>
      <c r="D460" s="33"/>
      <c r="E460" s="33"/>
      <c r="F460" s="33"/>
      <c r="G460" s="33"/>
      <c r="H460" s="33"/>
      <c r="I460" s="26"/>
    </row>
    <row r="461" spans="1:9" ht="20.25" x14ac:dyDescent="0.25">
      <c r="A461" s="32"/>
      <c r="B461" s="33"/>
      <c r="C461" s="33"/>
      <c r="D461" s="33"/>
      <c r="E461" s="33"/>
      <c r="F461" s="33"/>
      <c r="G461" s="33"/>
      <c r="H461" s="33"/>
      <c r="I461" s="26"/>
    </row>
    <row r="462" spans="1:9" ht="20.25" x14ac:dyDescent="0.25">
      <c r="A462" s="32"/>
      <c r="B462" s="33"/>
      <c r="C462" s="33"/>
      <c r="D462" s="33"/>
      <c r="E462" s="33"/>
      <c r="F462" s="33"/>
      <c r="G462" s="33"/>
      <c r="H462" s="33"/>
      <c r="I462" s="26"/>
    </row>
    <row r="463" spans="1:9" ht="20.25" x14ac:dyDescent="0.25">
      <c r="A463" s="32"/>
      <c r="B463" s="33"/>
      <c r="C463" s="33"/>
      <c r="D463" s="33"/>
      <c r="E463" s="33"/>
      <c r="F463" s="33"/>
      <c r="G463" s="33"/>
      <c r="H463" s="33"/>
      <c r="I463" s="26"/>
    </row>
    <row r="464" spans="1:9" ht="20.25" x14ac:dyDescent="0.25">
      <c r="A464" s="32"/>
      <c r="B464" s="33"/>
      <c r="C464" s="33"/>
      <c r="D464" s="33"/>
      <c r="E464" s="33"/>
      <c r="F464" s="33"/>
      <c r="G464" s="33"/>
      <c r="H464" s="33"/>
      <c r="I464" s="26"/>
    </row>
    <row r="465" spans="1:9" ht="20.25" x14ac:dyDescent="0.25">
      <c r="A465" s="32"/>
      <c r="B465" s="33"/>
      <c r="C465" s="33"/>
      <c r="D465" s="33"/>
      <c r="E465" s="33"/>
      <c r="F465" s="33"/>
      <c r="G465" s="33"/>
      <c r="H465" s="33"/>
      <c r="I465" s="26"/>
    </row>
    <row r="466" spans="1:9" ht="20.25" x14ac:dyDescent="0.25">
      <c r="A466" s="32"/>
      <c r="B466" s="33"/>
      <c r="C466" s="33"/>
      <c r="D466" s="33"/>
      <c r="E466" s="33"/>
      <c r="F466" s="33"/>
      <c r="G466" s="33"/>
      <c r="H466" s="33"/>
      <c r="I466" s="26"/>
    </row>
    <row r="467" spans="1:9" ht="20.25" x14ac:dyDescent="0.25">
      <c r="A467" s="32"/>
      <c r="B467" s="33"/>
      <c r="C467" s="33"/>
      <c r="D467" s="33"/>
      <c r="E467" s="33"/>
      <c r="F467" s="33"/>
      <c r="G467" s="33"/>
      <c r="H467" s="33"/>
      <c r="I467" s="26"/>
    </row>
    <row r="468" spans="1:9" ht="20.25" x14ac:dyDescent="0.25">
      <c r="A468" s="32"/>
      <c r="B468" s="33"/>
      <c r="C468" s="33"/>
      <c r="D468" s="33"/>
      <c r="E468" s="33"/>
      <c r="F468" s="33"/>
      <c r="G468" s="33"/>
      <c r="H468" s="33"/>
      <c r="I468" s="26"/>
    </row>
    <row r="469" spans="1:9" ht="20.25" x14ac:dyDescent="0.25">
      <c r="A469" s="32"/>
      <c r="B469" s="33"/>
      <c r="C469" s="33"/>
      <c r="D469" s="33"/>
      <c r="E469" s="33"/>
      <c r="F469" s="33"/>
      <c r="G469" s="33"/>
      <c r="H469" s="33"/>
      <c r="I469" s="26"/>
    </row>
    <row r="470" spans="1:9" ht="20.25" x14ac:dyDescent="0.25">
      <c r="A470" s="32"/>
      <c r="B470" s="33"/>
      <c r="C470" s="33"/>
      <c r="D470" s="33"/>
      <c r="E470" s="33"/>
      <c r="F470" s="33"/>
      <c r="G470" s="33"/>
      <c r="H470" s="33"/>
      <c r="I470" s="26"/>
    </row>
    <row r="471" spans="1:9" ht="20.25" x14ac:dyDescent="0.25">
      <c r="A471" s="32"/>
      <c r="B471" s="33"/>
      <c r="C471" s="33"/>
      <c r="D471" s="33"/>
      <c r="E471" s="33"/>
      <c r="F471" s="33"/>
      <c r="G471" s="33"/>
      <c r="H471" s="33"/>
      <c r="I471" s="26"/>
    </row>
    <row r="472" spans="1:9" ht="20.25" x14ac:dyDescent="0.25">
      <c r="A472" s="32"/>
      <c r="B472" s="33"/>
      <c r="C472" s="33"/>
      <c r="D472" s="33"/>
      <c r="E472" s="33"/>
      <c r="F472" s="33"/>
      <c r="G472" s="33"/>
      <c r="H472" s="33"/>
      <c r="I472" s="26"/>
    </row>
    <row r="473" spans="1:9" ht="20.25" x14ac:dyDescent="0.25">
      <c r="A473" s="32"/>
      <c r="B473" s="33"/>
      <c r="C473" s="33"/>
      <c r="D473" s="33"/>
      <c r="E473" s="33"/>
      <c r="F473" s="33"/>
      <c r="G473" s="33"/>
      <c r="H473" s="33"/>
      <c r="I473" s="26"/>
    </row>
    <row r="474" spans="1:9" ht="20.25" x14ac:dyDescent="0.25">
      <c r="A474" s="32"/>
      <c r="B474" s="33"/>
      <c r="C474" s="33"/>
      <c r="D474" s="33"/>
      <c r="E474" s="33"/>
      <c r="F474" s="33"/>
      <c r="G474" s="33"/>
      <c r="H474" s="33"/>
      <c r="I474" s="26"/>
    </row>
    <row r="475" spans="1:9" ht="20.25" x14ac:dyDescent="0.25">
      <c r="A475" s="32"/>
      <c r="B475" s="33"/>
      <c r="C475" s="33"/>
      <c r="D475" s="33"/>
      <c r="E475" s="33"/>
      <c r="F475" s="33"/>
      <c r="G475" s="33"/>
      <c r="H475" s="33"/>
      <c r="I475" s="26"/>
    </row>
    <row r="476" spans="1:9" ht="20.25" x14ac:dyDescent="0.25">
      <c r="A476" s="32"/>
      <c r="B476" s="33"/>
      <c r="C476" s="33"/>
      <c r="D476" s="33"/>
      <c r="E476" s="33"/>
      <c r="F476" s="33"/>
      <c r="G476" s="33"/>
      <c r="H476" s="33"/>
      <c r="I476" s="26"/>
    </row>
    <row r="477" spans="1:9" ht="20.25" x14ac:dyDescent="0.25">
      <c r="A477" s="32"/>
      <c r="B477" s="33"/>
      <c r="C477" s="33"/>
      <c r="D477" s="33"/>
      <c r="E477" s="33"/>
      <c r="F477" s="33"/>
      <c r="G477" s="33"/>
      <c r="H477" s="33"/>
      <c r="I477" s="26"/>
    </row>
    <row r="478" spans="1:9" ht="20.25" x14ac:dyDescent="0.25">
      <c r="A478" s="32"/>
      <c r="B478" s="33"/>
      <c r="C478" s="33"/>
      <c r="D478" s="33"/>
      <c r="E478" s="33"/>
      <c r="F478" s="33"/>
      <c r="G478" s="33"/>
      <c r="H478" s="33"/>
      <c r="I478" s="26"/>
    </row>
    <row r="479" spans="1:9" ht="20.25" x14ac:dyDescent="0.25">
      <c r="A479" s="32"/>
      <c r="B479" s="33"/>
      <c r="C479" s="33"/>
      <c r="D479" s="33"/>
      <c r="E479" s="33"/>
      <c r="F479" s="33"/>
      <c r="G479" s="33"/>
      <c r="H479" s="33"/>
      <c r="I479" s="26"/>
    </row>
    <row r="480" spans="1:9" ht="20.25" x14ac:dyDescent="0.25">
      <c r="A480" s="32"/>
      <c r="B480" s="33"/>
      <c r="C480" s="33"/>
      <c r="D480" s="33"/>
      <c r="E480" s="33"/>
      <c r="F480" s="33"/>
      <c r="G480" s="33"/>
      <c r="H480" s="33"/>
      <c r="I480" s="26"/>
    </row>
    <row r="481" spans="1:9" ht="20.25" x14ac:dyDescent="0.25">
      <c r="A481" s="32"/>
      <c r="B481" s="33"/>
      <c r="C481" s="33"/>
      <c r="D481" s="33"/>
      <c r="E481" s="33"/>
      <c r="F481" s="33"/>
      <c r="G481" s="33"/>
      <c r="H481" s="33"/>
      <c r="I481" s="26"/>
    </row>
    <row r="482" spans="1:9" ht="20.25" x14ac:dyDescent="0.25">
      <c r="A482" s="32"/>
      <c r="B482" s="33"/>
      <c r="C482" s="33"/>
      <c r="D482" s="33"/>
      <c r="E482" s="33"/>
      <c r="F482" s="33"/>
      <c r="G482" s="33"/>
      <c r="H482" s="33"/>
      <c r="I482" s="26"/>
    </row>
    <row r="483" spans="1:9" ht="20.25" x14ac:dyDescent="0.25">
      <c r="A483" s="32"/>
      <c r="B483" s="33"/>
      <c r="C483" s="33"/>
      <c r="D483" s="33"/>
      <c r="E483" s="33"/>
      <c r="F483" s="33"/>
      <c r="G483" s="33"/>
      <c r="H483" s="33"/>
      <c r="I483" s="26"/>
    </row>
    <row r="484" spans="1:9" ht="20.25" hidden="1" x14ac:dyDescent="0.25">
      <c r="A484" s="32"/>
      <c r="B484" s="33"/>
      <c r="C484" s="33"/>
      <c r="D484" s="33"/>
      <c r="E484" s="33"/>
      <c r="F484" s="33"/>
      <c r="G484" s="33"/>
      <c r="H484" s="33"/>
      <c r="I484" s="26"/>
    </row>
    <row r="485" spans="1:9" ht="20.25" hidden="1" x14ac:dyDescent="0.25">
      <c r="A485" s="32"/>
      <c r="B485" s="33"/>
      <c r="C485" s="33"/>
      <c r="D485" s="33"/>
      <c r="E485" s="33"/>
      <c r="F485" s="33"/>
      <c r="G485" s="33"/>
      <c r="H485" s="33"/>
      <c r="I485" s="26"/>
    </row>
    <row r="486" spans="1:9" ht="20.25" hidden="1" x14ac:dyDescent="0.25">
      <c r="A486" s="32"/>
      <c r="B486" s="33"/>
      <c r="C486" s="33"/>
      <c r="D486" s="33"/>
      <c r="E486" s="33"/>
      <c r="F486" s="33"/>
      <c r="G486" s="33"/>
      <c r="H486" s="33"/>
      <c r="I486" s="26"/>
    </row>
    <row r="487" spans="1:9" ht="20.25" x14ac:dyDescent="0.25">
      <c r="A487" s="84" t="s">
        <v>29</v>
      </c>
      <c r="B487" s="84"/>
      <c r="C487" s="84"/>
      <c r="D487" s="84"/>
      <c r="E487" s="84"/>
      <c r="F487" s="84"/>
      <c r="G487" s="84"/>
      <c r="H487" s="84"/>
      <c r="I487" s="84"/>
    </row>
    <row r="488" spans="1:9" ht="20.25" x14ac:dyDescent="0.25">
      <c r="A488" s="156" t="s">
        <v>86</v>
      </c>
      <c r="B488" s="157"/>
      <c r="C488" s="157"/>
      <c r="D488" s="157"/>
      <c r="E488" s="157"/>
      <c r="F488" s="157"/>
      <c r="G488" s="157"/>
      <c r="H488" s="157"/>
      <c r="I488" s="158"/>
    </row>
    <row r="489" spans="1:9" ht="20.25" x14ac:dyDescent="0.25">
      <c r="A489" s="159" t="s">
        <v>87</v>
      </c>
      <c r="B489" s="160"/>
      <c r="C489" s="160"/>
      <c r="D489" s="160"/>
      <c r="E489" s="160"/>
      <c r="F489" s="160"/>
      <c r="G489" s="160"/>
      <c r="H489" s="160"/>
      <c r="I489" s="161"/>
    </row>
    <row r="490" spans="1:9" ht="45" customHeight="1" x14ac:dyDescent="0.25">
      <c r="A490" s="159" t="s">
        <v>88</v>
      </c>
      <c r="B490" s="160"/>
      <c r="C490" s="160"/>
      <c r="D490" s="160"/>
      <c r="E490" s="160"/>
      <c r="F490" s="160"/>
      <c r="G490" s="160"/>
      <c r="H490" s="160"/>
      <c r="I490" s="161"/>
    </row>
    <row r="491" spans="1:9" ht="42.75" customHeight="1" x14ac:dyDescent="0.25">
      <c r="A491" s="159" t="s">
        <v>89</v>
      </c>
      <c r="B491" s="160"/>
      <c r="C491" s="160"/>
      <c r="D491" s="160"/>
      <c r="E491" s="160"/>
      <c r="F491" s="160"/>
      <c r="G491" s="160"/>
      <c r="H491" s="160"/>
      <c r="I491" s="161"/>
    </row>
    <row r="492" spans="1:9" ht="20.25" x14ac:dyDescent="0.25">
      <c r="A492" s="159" t="s">
        <v>90</v>
      </c>
      <c r="B492" s="160"/>
      <c r="C492" s="160"/>
      <c r="D492" s="160"/>
      <c r="E492" s="160"/>
      <c r="F492" s="160"/>
      <c r="G492" s="160"/>
      <c r="H492" s="160"/>
      <c r="I492" s="161"/>
    </row>
    <row r="493" spans="1:9" ht="20.25" x14ac:dyDescent="0.25">
      <c r="A493" s="159" t="s">
        <v>91</v>
      </c>
      <c r="B493" s="160"/>
      <c r="C493" s="160"/>
      <c r="D493" s="160"/>
      <c r="E493" s="160"/>
      <c r="F493" s="160"/>
      <c r="G493" s="160"/>
      <c r="H493" s="160"/>
      <c r="I493" s="161"/>
    </row>
    <row r="494" spans="1:9" ht="45" customHeight="1" x14ac:dyDescent="0.25">
      <c r="A494" s="159" t="s">
        <v>92</v>
      </c>
      <c r="B494" s="160"/>
      <c r="C494" s="160"/>
      <c r="D494" s="160"/>
      <c r="E494" s="160"/>
      <c r="F494" s="160"/>
      <c r="G494" s="160"/>
      <c r="H494" s="160"/>
      <c r="I494" s="161"/>
    </row>
    <row r="495" spans="1:9" ht="45" customHeight="1" x14ac:dyDescent="0.25">
      <c r="A495" s="159" t="s">
        <v>93</v>
      </c>
      <c r="B495" s="160"/>
      <c r="C495" s="160"/>
      <c r="D495" s="160"/>
      <c r="E495" s="160"/>
      <c r="F495" s="160"/>
      <c r="G495" s="160"/>
      <c r="H495" s="160"/>
      <c r="I495" s="161"/>
    </row>
    <row r="496" spans="1:9" ht="20.25" x14ac:dyDescent="0.25">
      <c r="A496" s="162" t="s">
        <v>94</v>
      </c>
      <c r="B496" s="163"/>
      <c r="C496" s="163"/>
      <c r="D496" s="163"/>
      <c r="E496" s="163"/>
      <c r="F496" s="163"/>
      <c r="G496" s="163"/>
      <c r="H496" s="163"/>
      <c r="I496" s="164"/>
    </row>
    <row r="497" spans="1:9" ht="70.5" customHeight="1" x14ac:dyDescent="0.25">
      <c r="A497" s="154" t="s">
        <v>35</v>
      </c>
      <c r="B497" s="154"/>
      <c r="C497" s="154"/>
      <c r="D497" s="2" t="s">
        <v>4</v>
      </c>
      <c r="E497" s="57" t="s">
        <v>309</v>
      </c>
      <c r="F497" s="13" t="s">
        <v>10</v>
      </c>
      <c r="G497" s="2" t="s">
        <v>4</v>
      </c>
      <c r="H497" s="129"/>
      <c r="I497" s="129"/>
    </row>
  </sheetData>
  <mergeCells count="884">
    <mergeCell ref="A117:B117"/>
    <mergeCell ref="C117:D117"/>
    <mergeCell ref="A118:E118"/>
    <mergeCell ref="F118:I118"/>
    <mergeCell ref="A106:B106"/>
    <mergeCell ref="C106:D106"/>
    <mergeCell ref="F106:G117"/>
    <mergeCell ref="H106:I117"/>
    <mergeCell ref="A107:B107"/>
    <mergeCell ref="C107:D107"/>
    <mergeCell ref="A108:B108"/>
    <mergeCell ref="C108:D108"/>
    <mergeCell ref="A109:B109"/>
    <mergeCell ref="C109:D109"/>
    <mergeCell ref="A110:B110"/>
    <mergeCell ref="C110:D110"/>
    <mergeCell ref="A111:B111"/>
    <mergeCell ref="C111:D111"/>
    <mergeCell ref="A112:B112"/>
    <mergeCell ref="C112:D112"/>
    <mergeCell ref="A113:B113"/>
    <mergeCell ref="C113:D113"/>
    <mergeCell ref="A114:B114"/>
    <mergeCell ref="C114:D114"/>
    <mergeCell ref="A115:B115"/>
    <mergeCell ref="C115:D115"/>
    <mergeCell ref="A116:B116"/>
    <mergeCell ref="C116:D116"/>
    <mergeCell ref="J4:K4"/>
    <mergeCell ref="A102:I102"/>
    <mergeCell ref="A103:C104"/>
    <mergeCell ref="D103:D104"/>
    <mergeCell ref="F103:G103"/>
    <mergeCell ref="F104:G104"/>
    <mergeCell ref="A105:B105"/>
    <mergeCell ref="C105:D105"/>
    <mergeCell ref="F105:G105"/>
    <mergeCell ref="A351:B352"/>
    <mergeCell ref="A354:B356"/>
    <mergeCell ref="A358:B360"/>
    <mergeCell ref="A362:B364"/>
    <mergeCell ref="A366:B370"/>
    <mergeCell ref="A372:B376"/>
    <mergeCell ref="A378:B382"/>
    <mergeCell ref="A341:I341"/>
    <mergeCell ref="C342:D342"/>
    <mergeCell ref="F342:G342"/>
    <mergeCell ref="C343:D343"/>
    <mergeCell ref="F343:G343"/>
    <mergeCell ref="C344:D344"/>
    <mergeCell ref="F344:G344"/>
    <mergeCell ref="A347:I347"/>
    <mergeCell ref="F354:G354"/>
    <mergeCell ref="C351:D351"/>
    <mergeCell ref="F351:G351"/>
    <mergeCell ref="C352:D352"/>
    <mergeCell ref="A348:I348"/>
    <mergeCell ref="A349:I349"/>
    <mergeCell ref="A350:I350"/>
    <mergeCell ref="F376:G376"/>
    <mergeCell ref="A371:I371"/>
    <mergeCell ref="F375:G375"/>
    <mergeCell ref="C388:D388"/>
    <mergeCell ref="F388:G388"/>
    <mergeCell ref="E386:I386"/>
    <mergeCell ref="A384:B388"/>
    <mergeCell ref="C385:D385"/>
    <mergeCell ref="F385:G385"/>
    <mergeCell ref="C386:D386"/>
    <mergeCell ref="C387:D387"/>
    <mergeCell ref="F387:G387"/>
    <mergeCell ref="C381:D381"/>
    <mergeCell ref="F381:G381"/>
    <mergeCell ref="C382:D382"/>
    <mergeCell ref="F382:G382"/>
    <mergeCell ref="A383:I383"/>
    <mergeCell ref="C384:D384"/>
    <mergeCell ref="F384:G384"/>
    <mergeCell ref="A377:I377"/>
    <mergeCell ref="C378:D378"/>
    <mergeCell ref="F378:G378"/>
    <mergeCell ref="C379:D379"/>
    <mergeCell ref="F379:G379"/>
    <mergeCell ref="C380:D380"/>
    <mergeCell ref="F380:G380"/>
    <mergeCell ref="A357:I357"/>
    <mergeCell ref="C358:D358"/>
    <mergeCell ref="F358:G358"/>
    <mergeCell ref="F363:G363"/>
    <mergeCell ref="C364:D364"/>
    <mergeCell ref="F364:G364"/>
    <mergeCell ref="F372:G372"/>
    <mergeCell ref="C373:D373"/>
    <mergeCell ref="F373:G373"/>
    <mergeCell ref="E374:I374"/>
    <mergeCell ref="F368:G368"/>
    <mergeCell ref="C367:D367"/>
    <mergeCell ref="F367:G367"/>
    <mergeCell ref="C369:D369"/>
    <mergeCell ref="C376:D376"/>
    <mergeCell ref="C374:D374"/>
    <mergeCell ref="C372:D372"/>
    <mergeCell ref="C375:D375"/>
    <mergeCell ref="F326:G326"/>
    <mergeCell ref="A323:I323"/>
    <mergeCell ref="C324:D324"/>
    <mergeCell ref="F324:G324"/>
    <mergeCell ref="C325:D325"/>
    <mergeCell ref="F325:G325"/>
    <mergeCell ref="C332:D332"/>
    <mergeCell ref="C345:D345"/>
    <mergeCell ref="F345:G345"/>
    <mergeCell ref="A336:B340"/>
    <mergeCell ref="A342:B346"/>
    <mergeCell ref="C346:D346"/>
    <mergeCell ref="F346:G346"/>
    <mergeCell ref="A330:B334"/>
    <mergeCell ref="A316:B318"/>
    <mergeCell ref="A320:B322"/>
    <mergeCell ref="A324:B328"/>
    <mergeCell ref="C354:D354"/>
    <mergeCell ref="C338:D338"/>
    <mergeCell ref="F338:G338"/>
    <mergeCell ref="C339:D339"/>
    <mergeCell ref="F339:G339"/>
    <mergeCell ref="C340:D340"/>
    <mergeCell ref="F340:G340"/>
    <mergeCell ref="E331:I332"/>
    <mergeCell ref="A335:I335"/>
    <mergeCell ref="C336:D336"/>
    <mergeCell ref="F336:G336"/>
    <mergeCell ref="C337:D337"/>
    <mergeCell ref="F337:G337"/>
    <mergeCell ref="C333:D333"/>
    <mergeCell ref="F333:G333"/>
    <mergeCell ref="C334:D334"/>
    <mergeCell ref="F334:G334"/>
    <mergeCell ref="C331:D331"/>
    <mergeCell ref="A353:I353"/>
    <mergeCell ref="F352:G352"/>
    <mergeCell ref="C326:D326"/>
    <mergeCell ref="A155:I155"/>
    <mergeCell ref="A156:I156"/>
    <mergeCell ref="A157:B157"/>
    <mergeCell ref="C366:D366"/>
    <mergeCell ref="F366:G366"/>
    <mergeCell ref="C157:D157"/>
    <mergeCell ref="F157:G157"/>
    <mergeCell ref="A158:B158"/>
    <mergeCell ref="C158:D158"/>
    <mergeCell ref="F158:G158"/>
    <mergeCell ref="A159:B159"/>
    <mergeCell ref="C159:D159"/>
    <mergeCell ref="F159:G159"/>
    <mergeCell ref="A160:B160"/>
    <mergeCell ref="C160:D160"/>
    <mergeCell ref="F160:G160"/>
    <mergeCell ref="F328:G328"/>
    <mergeCell ref="A329:I329"/>
    <mergeCell ref="C330:D330"/>
    <mergeCell ref="F330:G330"/>
    <mergeCell ref="C356:D356"/>
    <mergeCell ref="F356:G356"/>
    <mergeCell ref="C355:D355"/>
    <mergeCell ref="F355:G355"/>
    <mergeCell ref="A161:B161"/>
    <mergeCell ref="C327:D327"/>
    <mergeCell ref="F327:G327"/>
    <mergeCell ref="C328:D328"/>
    <mergeCell ref="C370:D370"/>
    <mergeCell ref="F370:G370"/>
    <mergeCell ref="A305:I305"/>
    <mergeCell ref="A306:I306"/>
    <mergeCell ref="A307:I307"/>
    <mergeCell ref="C308:D308"/>
    <mergeCell ref="C309:D309"/>
    <mergeCell ref="F309:G309"/>
    <mergeCell ref="C310:D310"/>
    <mergeCell ref="F310:G310"/>
    <mergeCell ref="F369:G369"/>
    <mergeCell ref="C360:D360"/>
    <mergeCell ref="F360:G360"/>
    <mergeCell ref="A361:I361"/>
    <mergeCell ref="C362:D362"/>
    <mergeCell ref="F362:G362"/>
    <mergeCell ref="C363:D363"/>
    <mergeCell ref="C314:D314"/>
    <mergeCell ref="F314:G314"/>
    <mergeCell ref="A312:B314"/>
    <mergeCell ref="A365:I365"/>
    <mergeCell ref="C359:D359"/>
    <mergeCell ref="F359:G359"/>
    <mergeCell ref="C368:D368"/>
    <mergeCell ref="A152:B152"/>
    <mergeCell ref="C152:D152"/>
    <mergeCell ref="F152:G152"/>
    <mergeCell ref="A153:B153"/>
    <mergeCell ref="C153:D153"/>
    <mergeCell ref="F153:G153"/>
    <mergeCell ref="A154:B154"/>
    <mergeCell ref="C154:D154"/>
    <mergeCell ref="F154:G154"/>
    <mergeCell ref="C161:D161"/>
    <mergeCell ref="F161:G161"/>
    <mergeCell ref="A162:I162"/>
    <mergeCell ref="A163:B163"/>
    <mergeCell ref="C163:D163"/>
    <mergeCell ref="F163:G163"/>
    <mergeCell ref="A164:B164"/>
    <mergeCell ref="C164:D164"/>
    <mergeCell ref="F164:G164"/>
    <mergeCell ref="A165:B165"/>
    <mergeCell ref="C165:D165"/>
    <mergeCell ref="H14:I14"/>
    <mergeCell ref="G38:H38"/>
    <mergeCell ref="A39:C39"/>
    <mergeCell ref="A35:C35"/>
    <mergeCell ref="A40:C40"/>
    <mergeCell ref="A38:C38"/>
    <mergeCell ref="H16:I16"/>
    <mergeCell ref="H17:I17"/>
    <mergeCell ref="H15:I15"/>
    <mergeCell ref="H18:I18"/>
    <mergeCell ref="H19:I19"/>
    <mergeCell ref="H31:I31"/>
    <mergeCell ref="H22:I22"/>
    <mergeCell ref="G39:H39"/>
    <mergeCell ref="C14:E14"/>
    <mergeCell ref="C15:E15"/>
    <mergeCell ref="C16:E16"/>
    <mergeCell ref="C17:E17"/>
    <mergeCell ref="C18:E18"/>
    <mergeCell ref="C19:E19"/>
    <mergeCell ref="C20:E20"/>
    <mergeCell ref="C21:E21"/>
    <mergeCell ref="C22:E22"/>
    <mergeCell ref="C23:I23"/>
    <mergeCell ref="A497:C497"/>
    <mergeCell ref="H497:I497"/>
    <mergeCell ref="A391:I391"/>
    <mergeCell ref="E393:I393"/>
    <mergeCell ref="A488:I488"/>
    <mergeCell ref="A494:I494"/>
    <mergeCell ref="A495:I495"/>
    <mergeCell ref="A496:I496"/>
    <mergeCell ref="A489:I489"/>
    <mergeCell ref="A490:I490"/>
    <mergeCell ref="A491:I491"/>
    <mergeCell ref="A492:I492"/>
    <mergeCell ref="A393:C393"/>
    <mergeCell ref="A487:I487"/>
    <mergeCell ref="A493:I493"/>
    <mergeCell ref="A449:I449"/>
    <mergeCell ref="E392:I392"/>
    <mergeCell ref="A394:C394"/>
    <mergeCell ref="E394:I394"/>
    <mergeCell ref="A1:I1"/>
    <mergeCell ref="A4:C4"/>
    <mergeCell ref="A392:C392"/>
    <mergeCell ref="H27:I27"/>
    <mergeCell ref="H28:I28"/>
    <mergeCell ref="A37:I37"/>
    <mergeCell ref="H47:I47"/>
    <mergeCell ref="H51:I51"/>
    <mergeCell ref="A42:I42"/>
    <mergeCell ref="A46:I46"/>
    <mergeCell ref="A134:I134"/>
    <mergeCell ref="H132:I132"/>
    <mergeCell ref="A2:C2"/>
    <mergeCell ref="E2:F2"/>
    <mergeCell ref="A41:C41"/>
    <mergeCell ref="H41:I41"/>
    <mergeCell ref="E4:F4"/>
    <mergeCell ref="E12:I12"/>
    <mergeCell ref="A6:C6"/>
    <mergeCell ref="A7:C7"/>
    <mergeCell ref="A8:C8"/>
    <mergeCell ref="E8:I8"/>
    <mergeCell ref="H7:I7"/>
    <mergeCell ref="E9:I9"/>
    <mergeCell ref="G2:H2"/>
    <mergeCell ref="G3:H3"/>
    <mergeCell ref="G4:H4"/>
    <mergeCell ref="H45:I45"/>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C26:E26"/>
    <mergeCell ref="C27:E27"/>
    <mergeCell ref="H123:I123"/>
    <mergeCell ref="A133:F133"/>
    <mergeCell ref="H133:I133"/>
    <mergeCell ref="H131:I131"/>
    <mergeCell ref="H44:I44"/>
    <mergeCell ref="H58:I69"/>
    <mergeCell ref="A59:B59"/>
    <mergeCell ref="A132:F132"/>
    <mergeCell ref="A129:C129"/>
    <mergeCell ref="H129:I129"/>
    <mergeCell ref="A122:C122"/>
    <mergeCell ref="H122:I122"/>
    <mergeCell ref="A124:C124"/>
    <mergeCell ref="H124:I124"/>
    <mergeCell ref="C79:D79"/>
    <mergeCell ref="A80:B80"/>
    <mergeCell ref="C80:D80"/>
    <mergeCell ref="A100:B100"/>
    <mergeCell ref="C100:D100"/>
    <mergeCell ref="A101:B101"/>
    <mergeCell ref="C101:D101"/>
    <mergeCell ref="A86:I86"/>
    <mergeCell ref="A87:C88"/>
    <mergeCell ref="D87:D88"/>
    <mergeCell ref="C390:I390"/>
    <mergeCell ref="A389:I389"/>
    <mergeCell ref="A120:I120"/>
    <mergeCell ref="A121:C121"/>
    <mergeCell ref="H121:I121"/>
    <mergeCell ref="A125:C125"/>
    <mergeCell ref="H125:I125"/>
    <mergeCell ref="F58:G69"/>
    <mergeCell ref="A123:C123"/>
    <mergeCell ref="H119:I119"/>
    <mergeCell ref="C84:D84"/>
    <mergeCell ref="A85:B85"/>
    <mergeCell ref="C85:D85"/>
    <mergeCell ref="A82:B82"/>
    <mergeCell ref="C82:D82"/>
    <mergeCell ref="A83:B83"/>
    <mergeCell ref="C83:D83"/>
    <mergeCell ref="A84:B84"/>
    <mergeCell ref="C78:D78"/>
    <mergeCell ref="A79:B79"/>
    <mergeCell ref="A58:B58"/>
    <mergeCell ref="A303:I303"/>
    <mergeCell ref="A148:I148"/>
    <mergeCell ref="A150:B150"/>
    <mergeCell ref="C24:I24"/>
    <mergeCell ref="C47:E47"/>
    <mergeCell ref="C48:E48"/>
    <mergeCell ref="C51:E51"/>
    <mergeCell ref="C52:E52"/>
    <mergeCell ref="A34:C34"/>
    <mergeCell ref="H34:I34"/>
    <mergeCell ref="C53:E53"/>
    <mergeCell ref="H53:I53"/>
    <mergeCell ref="H52:I52"/>
    <mergeCell ref="A43:B43"/>
    <mergeCell ref="A44:B44"/>
    <mergeCell ref="A45:B45"/>
    <mergeCell ref="E44:G44"/>
    <mergeCell ref="E43:G43"/>
    <mergeCell ref="E45:G45"/>
    <mergeCell ref="C43:D43"/>
    <mergeCell ref="C44:D44"/>
    <mergeCell ref="C28:E28"/>
    <mergeCell ref="C29:E29"/>
    <mergeCell ref="C30:E30"/>
    <mergeCell ref="C31:E31"/>
    <mergeCell ref="H36:I36"/>
    <mergeCell ref="A36:C36"/>
    <mergeCell ref="C32:I32"/>
    <mergeCell ref="C57:D57"/>
    <mergeCell ref="C58:D58"/>
    <mergeCell ref="C59:D59"/>
    <mergeCell ref="C60:D60"/>
    <mergeCell ref="C61:D61"/>
    <mergeCell ref="C63:D63"/>
    <mergeCell ref="C65:D65"/>
    <mergeCell ref="C64:D64"/>
    <mergeCell ref="C45:D45"/>
    <mergeCell ref="F56:G56"/>
    <mergeCell ref="A55:C56"/>
    <mergeCell ref="D55:D56"/>
    <mergeCell ref="A64:B64"/>
    <mergeCell ref="A60:B60"/>
    <mergeCell ref="A61:B61"/>
    <mergeCell ref="A63:B63"/>
    <mergeCell ref="A62:B62"/>
    <mergeCell ref="C62:D62"/>
    <mergeCell ref="A65:B65"/>
    <mergeCell ref="F55:G55"/>
    <mergeCell ref="H35:I35"/>
    <mergeCell ref="A54:I54"/>
    <mergeCell ref="A57:B57"/>
    <mergeCell ref="F135:G135"/>
    <mergeCell ref="F136:G136"/>
    <mergeCell ref="C67:D67"/>
    <mergeCell ref="C68:D68"/>
    <mergeCell ref="C69:D69"/>
    <mergeCell ref="F137:G137"/>
    <mergeCell ref="F141:G141"/>
    <mergeCell ref="A135:B135"/>
    <mergeCell ref="C135:D135"/>
    <mergeCell ref="A136:B136"/>
    <mergeCell ref="C136:D136"/>
    <mergeCell ref="A137:B137"/>
    <mergeCell ref="C137:D137"/>
    <mergeCell ref="A141:B141"/>
    <mergeCell ref="C141:D141"/>
    <mergeCell ref="A119:G119"/>
    <mergeCell ref="A131:F131"/>
    <mergeCell ref="A130:I130"/>
    <mergeCell ref="A126:C126"/>
    <mergeCell ref="H126:I126"/>
    <mergeCell ref="A127:C127"/>
    <mergeCell ref="H127:I127"/>
    <mergeCell ref="A128:C128"/>
    <mergeCell ref="H128:I128"/>
    <mergeCell ref="A145:I145"/>
    <mergeCell ref="A146:I146"/>
    <mergeCell ref="A147:I147"/>
    <mergeCell ref="A151:I151"/>
    <mergeCell ref="A138:B138"/>
    <mergeCell ref="C138:D138"/>
    <mergeCell ref="F138:G138"/>
    <mergeCell ref="A139:B139"/>
    <mergeCell ref="C139:D139"/>
    <mergeCell ref="F139:G139"/>
    <mergeCell ref="A142:I142"/>
    <mergeCell ref="H143:H144"/>
    <mergeCell ref="F143:G144"/>
    <mergeCell ref="E143:E144"/>
    <mergeCell ref="C143:D144"/>
    <mergeCell ref="A143:B144"/>
    <mergeCell ref="C149:D149"/>
    <mergeCell ref="F149:G149"/>
    <mergeCell ref="C150:D150"/>
    <mergeCell ref="F150:G150"/>
    <mergeCell ref="A140:B140"/>
    <mergeCell ref="C140:D140"/>
    <mergeCell ref="F140:G140"/>
    <mergeCell ref="A149:B149"/>
    <mergeCell ref="F165:G165"/>
    <mergeCell ref="A166:B166"/>
    <mergeCell ref="C166:D166"/>
    <mergeCell ref="A167:B167"/>
    <mergeCell ref="C167:D167"/>
    <mergeCell ref="E166:I166"/>
    <mergeCell ref="E167:I167"/>
    <mergeCell ref="A168:I168"/>
    <mergeCell ref="A169:B169"/>
    <mergeCell ref="C169:D169"/>
    <mergeCell ref="F169:G169"/>
    <mergeCell ref="A170:B170"/>
    <mergeCell ref="C170:D170"/>
    <mergeCell ref="F170:G170"/>
    <mergeCell ref="A171:B171"/>
    <mergeCell ref="C171:D171"/>
    <mergeCell ref="F171:G171"/>
    <mergeCell ref="A176:B176"/>
    <mergeCell ref="C176:D176"/>
    <mergeCell ref="F176:G176"/>
    <mergeCell ref="A177:B177"/>
    <mergeCell ref="C177:D177"/>
    <mergeCell ref="F177:G177"/>
    <mergeCell ref="A178:B178"/>
    <mergeCell ref="C178:D178"/>
    <mergeCell ref="A172:B172"/>
    <mergeCell ref="C172:D172"/>
    <mergeCell ref="F172:G172"/>
    <mergeCell ref="A173:B173"/>
    <mergeCell ref="C173:D173"/>
    <mergeCell ref="F173:G173"/>
    <mergeCell ref="A174:I174"/>
    <mergeCell ref="A175:B175"/>
    <mergeCell ref="C175:D175"/>
    <mergeCell ref="F175:G175"/>
    <mergeCell ref="A179:B179"/>
    <mergeCell ref="C179:D179"/>
    <mergeCell ref="E178:I179"/>
    <mergeCell ref="A180:I180"/>
    <mergeCell ref="A181:B181"/>
    <mergeCell ref="C181:D181"/>
    <mergeCell ref="F181:G181"/>
    <mergeCell ref="A182:B182"/>
    <mergeCell ref="C182:D182"/>
    <mergeCell ref="F182:G182"/>
    <mergeCell ref="A183:B183"/>
    <mergeCell ref="C183:D183"/>
    <mergeCell ref="F183:G183"/>
    <mergeCell ref="A184:B184"/>
    <mergeCell ref="C184:D184"/>
    <mergeCell ref="F184:G184"/>
    <mergeCell ref="A185:B185"/>
    <mergeCell ref="C185:D185"/>
    <mergeCell ref="F185:G185"/>
    <mergeCell ref="A186:I186"/>
    <mergeCell ref="A187:B187"/>
    <mergeCell ref="C187:D187"/>
    <mergeCell ref="F187:G187"/>
    <mergeCell ref="A188:B188"/>
    <mergeCell ref="C188:D188"/>
    <mergeCell ref="F188:G188"/>
    <mergeCell ref="A189:B189"/>
    <mergeCell ref="C189:D189"/>
    <mergeCell ref="F189:G189"/>
    <mergeCell ref="A190:B190"/>
    <mergeCell ref="C190:D190"/>
    <mergeCell ref="E190:I191"/>
    <mergeCell ref="A191:B191"/>
    <mergeCell ref="C191:D191"/>
    <mergeCell ref="A192:I192"/>
    <mergeCell ref="A193:I193"/>
    <mergeCell ref="A194:I194"/>
    <mergeCell ref="A195:I195"/>
    <mergeCell ref="A196:B196"/>
    <mergeCell ref="C196:D196"/>
    <mergeCell ref="F196:G196"/>
    <mergeCell ref="A197:B197"/>
    <mergeCell ref="C197:D197"/>
    <mergeCell ref="F197:G197"/>
    <mergeCell ref="A198:I198"/>
    <mergeCell ref="A199:B199"/>
    <mergeCell ref="C199:D199"/>
    <mergeCell ref="F199:G199"/>
    <mergeCell ref="A200:B200"/>
    <mergeCell ref="C200:D200"/>
    <mergeCell ref="F200:G200"/>
    <mergeCell ref="A201:B201"/>
    <mergeCell ref="C201:D201"/>
    <mergeCell ref="F201:G201"/>
    <mergeCell ref="A203:I203"/>
    <mergeCell ref="A204:I204"/>
    <mergeCell ref="A205:B205"/>
    <mergeCell ref="C205:D205"/>
    <mergeCell ref="F205:G205"/>
    <mergeCell ref="A202:B202"/>
    <mergeCell ref="C202:D202"/>
    <mergeCell ref="F202:G202"/>
    <mergeCell ref="A206:B206"/>
    <mergeCell ref="C206:D206"/>
    <mergeCell ref="F206:G206"/>
    <mergeCell ref="A207:B207"/>
    <mergeCell ref="C207:D207"/>
    <mergeCell ref="F207:G207"/>
    <mergeCell ref="A208:B208"/>
    <mergeCell ref="C208:D208"/>
    <mergeCell ref="F208:G208"/>
    <mergeCell ref="A209:B209"/>
    <mergeCell ref="C209:D209"/>
    <mergeCell ref="F209:G209"/>
    <mergeCell ref="A211:I211"/>
    <mergeCell ref="A212:B212"/>
    <mergeCell ref="C212:D212"/>
    <mergeCell ref="F212:G212"/>
    <mergeCell ref="A213:B213"/>
    <mergeCell ref="C213:D213"/>
    <mergeCell ref="F213:G213"/>
    <mergeCell ref="A210:B210"/>
    <mergeCell ref="C210:D210"/>
    <mergeCell ref="F210:G210"/>
    <mergeCell ref="A214:B214"/>
    <mergeCell ref="C214:D214"/>
    <mergeCell ref="F214:G214"/>
    <mergeCell ref="A215:B215"/>
    <mergeCell ref="C215:D215"/>
    <mergeCell ref="E215:I215"/>
    <mergeCell ref="A216:B216"/>
    <mergeCell ref="C216:D216"/>
    <mergeCell ref="E216:I216"/>
    <mergeCell ref="C223:D223"/>
    <mergeCell ref="F223:G223"/>
    <mergeCell ref="A225:I225"/>
    <mergeCell ref="A226:B226"/>
    <mergeCell ref="C226:D226"/>
    <mergeCell ref="F226:G226"/>
    <mergeCell ref="A218:I218"/>
    <mergeCell ref="A219:B219"/>
    <mergeCell ref="C219:D219"/>
    <mergeCell ref="F219:G219"/>
    <mergeCell ref="A220:B220"/>
    <mergeCell ref="C220:D220"/>
    <mergeCell ref="F220:G220"/>
    <mergeCell ref="A221:B221"/>
    <mergeCell ref="C221:D221"/>
    <mergeCell ref="F221:G221"/>
    <mergeCell ref="A232:I232"/>
    <mergeCell ref="A233:B233"/>
    <mergeCell ref="C233:D233"/>
    <mergeCell ref="F233:G233"/>
    <mergeCell ref="A234:B234"/>
    <mergeCell ref="C234:D234"/>
    <mergeCell ref="F234:G234"/>
    <mergeCell ref="A235:B235"/>
    <mergeCell ref="C235:D235"/>
    <mergeCell ref="F235:G235"/>
    <mergeCell ref="A236:B236"/>
    <mergeCell ref="C236:D236"/>
    <mergeCell ref="F236:G236"/>
    <mergeCell ref="A237:B237"/>
    <mergeCell ref="C237:D237"/>
    <mergeCell ref="F237:G237"/>
    <mergeCell ref="A239:I239"/>
    <mergeCell ref="A240:B240"/>
    <mergeCell ref="C240:D240"/>
    <mergeCell ref="F240:G240"/>
    <mergeCell ref="A238:B238"/>
    <mergeCell ref="C238:D238"/>
    <mergeCell ref="F238:G238"/>
    <mergeCell ref="A241:B241"/>
    <mergeCell ref="C241:D241"/>
    <mergeCell ref="F241:G241"/>
    <mergeCell ref="A242:B242"/>
    <mergeCell ref="C242:D242"/>
    <mergeCell ref="F242:G242"/>
    <mergeCell ref="A243:B243"/>
    <mergeCell ref="C243:D243"/>
    <mergeCell ref="E243:I244"/>
    <mergeCell ref="A244:B244"/>
    <mergeCell ref="C244:D244"/>
    <mergeCell ref="A217:B217"/>
    <mergeCell ref="C217:D217"/>
    <mergeCell ref="F217:G217"/>
    <mergeCell ref="A224:B224"/>
    <mergeCell ref="C224:D224"/>
    <mergeCell ref="F224:G224"/>
    <mergeCell ref="A231:B231"/>
    <mergeCell ref="C231:D231"/>
    <mergeCell ref="F231:G231"/>
    <mergeCell ref="A227:B227"/>
    <mergeCell ref="C227:D227"/>
    <mergeCell ref="F227:G227"/>
    <mergeCell ref="A228:B228"/>
    <mergeCell ref="C228:D228"/>
    <mergeCell ref="F228:G228"/>
    <mergeCell ref="A229:B229"/>
    <mergeCell ref="C229:D229"/>
    <mergeCell ref="E229:I230"/>
    <mergeCell ref="A230:B230"/>
    <mergeCell ref="C230:D230"/>
    <mergeCell ref="A222:B222"/>
    <mergeCell ref="C222:D222"/>
    <mergeCell ref="F222:G222"/>
    <mergeCell ref="A223:B223"/>
    <mergeCell ref="A245:B245"/>
    <mergeCell ref="C245:D245"/>
    <mergeCell ref="F245:G245"/>
    <mergeCell ref="A246:I246"/>
    <mergeCell ref="A247:I247"/>
    <mergeCell ref="A248:I248"/>
    <mergeCell ref="A249:I249"/>
    <mergeCell ref="A250:B250"/>
    <mergeCell ref="C250:D250"/>
    <mergeCell ref="F250:G250"/>
    <mergeCell ref="A251:B251"/>
    <mergeCell ref="C251:D251"/>
    <mergeCell ref="F251:G251"/>
    <mergeCell ref="A252:I252"/>
    <mergeCell ref="A253:B253"/>
    <mergeCell ref="C253:D253"/>
    <mergeCell ref="F253:G253"/>
    <mergeCell ref="A254:B254"/>
    <mergeCell ref="C254:D254"/>
    <mergeCell ref="F254:G254"/>
    <mergeCell ref="A255:B255"/>
    <mergeCell ref="C255:D255"/>
    <mergeCell ref="F255:G255"/>
    <mergeCell ref="A256:B256"/>
    <mergeCell ref="C256:D256"/>
    <mergeCell ref="F256:G256"/>
    <mergeCell ref="A257:I257"/>
    <mergeCell ref="A258:I258"/>
    <mergeCell ref="A259:B259"/>
    <mergeCell ref="C259:D259"/>
    <mergeCell ref="F259:G259"/>
    <mergeCell ref="A260:B260"/>
    <mergeCell ref="C260:D260"/>
    <mergeCell ref="F260:G260"/>
    <mergeCell ref="A261:B261"/>
    <mergeCell ref="C261:D261"/>
    <mergeCell ref="F261:G261"/>
    <mergeCell ref="A262:B262"/>
    <mergeCell ref="C262:D262"/>
    <mergeCell ref="F262:G262"/>
    <mergeCell ref="A263:B263"/>
    <mergeCell ref="C263:D263"/>
    <mergeCell ref="F263:G263"/>
    <mergeCell ref="A264:B264"/>
    <mergeCell ref="C264:D264"/>
    <mergeCell ref="F264:G264"/>
    <mergeCell ref="A267:I267"/>
    <mergeCell ref="A268:B268"/>
    <mergeCell ref="C268:D268"/>
    <mergeCell ref="F268:G268"/>
    <mergeCell ref="A265:B265"/>
    <mergeCell ref="C265:D265"/>
    <mergeCell ref="F265:G265"/>
    <mergeCell ref="A266:B266"/>
    <mergeCell ref="C266:D266"/>
    <mergeCell ref="F266:G266"/>
    <mergeCell ref="A269:B269"/>
    <mergeCell ref="C269:D269"/>
    <mergeCell ref="F269:G269"/>
    <mergeCell ref="A270:B270"/>
    <mergeCell ref="C270:D270"/>
    <mergeCell ref="F270:G270"/>
    <mergeCell ref="A272:B272"/>
    <mergeCell ref="C272:D272"/>
    <mergeCell ref="E272:I272"/>
    <mergeCell ref="A271:B271"/>
    <mergeCell ref="C271:D271"/>
    <mergeCell ref="F271:G271"/>
    <mergeCell ref="C280:D280"/>
    <mergeCell ref="F280:G280"/>
    <mergeCell ref="A281:B281"/>
    <mergeCell ref="C281:D281"/>
    <mergeCell ref="F281:G281"/>
    <mergeCell ref="A282:B282"/>
    <mergeCell ref="C282:D282"/>
    <mergeCell ref="A273:B273"/>
    <mergeCell ref="C273:D273"/>
    <mergeCell ref="E273:I273"/>
    <mergeCell ref="A274:B274"/>
    <mergeCell ref="C274:D274"/>
    <mergeCell ref="F274:G274"/>
    <mergeCell ref="A275:B275"/>
    <mergeCell ref="C275:D275"/>
    <mergeCell ref="F275:G275"/>
    <mergeCell ref="F282:G282"/>
    <mergeCell ref="A289:B289"/>
    <mergeCell ref="C289:D289"/>
    <mergeCell ref="F289:G289"/>
    <mergeCell ref="C296:D296"/>
    <mergeCell ref="F296:G296"/>
    <mergeCell ref="F298:G298"/>
    <mergeCell ref="A290:B290"/>
    <mergeCell ref="A276:I276"/>
    <mergeCell ref="A277:B277"/>
    <mergeCell ref="C277:D277"/>
    <mergeCell ref="F277:G277"/>
    <mergeCell ref="A283:B283"/>
    <mergeCell ref="C283:D283"/>
    <mergeCell ref="F283:G283"/>
    <mergeCell ref="A284:B284"/>
    <mergeCell ref="C284:D284"/>
    <mergeCell ref="F284:G284"/>
    <mergeCell ref="A278:B278"/>
    <mergeCell ref="C278:D278"/>
    <mergeCell ref="F278:G278"/>
    <mergeCell ref="A279:B279"/>
    <mergeCell ref="C279:D279"/>
    <mergeCell ref="F279:G279"/>
    <mergeCell ref="A280:B280"/>
    <mergeCell ref="A285:I285"/>
    <mergeCell ref="A286:B286"/>
    <mergeCell ref="C286:D286"/>
    <mergeCell ref="F286:G286"/>
    <mergeCell ref="A298:B298"/>
    <mergeCell ref="C298:D298"/>
    <mergeCell ref="C290:D290"/>
    <mergeCell ref="E290:I290"/>
    <mergeCell ref="A291:B291"/>
    <mergeCell ref="C291:D291"/>
    <mergeCell ref="E291:I291"/>
    <mergeCell ref="A292:B292"/>
    <mergeCell ref="C292:D292"/>
    <mergeCell ref="F292:G292"/>
    <mergeCell ref="A293:B293"/>
    <mergeCell ref="C293:D293"/>
    <mergeCell ref="F293:G293"/>
    <mergeCell ref="A287:B287"/>
    <mergeCell ref="C287:D287"/>
    <mergeCell ref="F287:G287"/>
    <mergeCell ref="A288:B288"/>
    <mergeCell ref="C288:D288"/>
    <mergeCell ref="F288:G288"/>
    <mergeCell ref="A296:B296"/>
    <mergeCell ref="A299:B299"/>
    <mergeCell ref="C299:D299"/>
    <mergeCell ref="F312:G312"/>
    <mergeCell ref="C313:D313"/>
    <mergeCell ref="F313:G313"/>
    <mergeCell ref="C301:D301"/>
    <mergeCell ref="F301:G301"/>
    <mergeCell ref="A302:B302"/>
    <mergeCell ref="C302:D302"/>
    <mergeCell ref="F302:G302"/>
    <mergeCell ref="A304:I304"/>
    <mergeCell ref="A311:I311"/>
    <mergeCell ref="C312:D312"/>
    <mergeCell ref="A308:B310"/>
    <mergeCell ref="A297:B297"/>
    <mergeCell ref="C297:D297"/>
    <mergeCell ref="F297:G297"/>
    <mergeCell ref="A300:B300"/>
    <mergeCell ref="C300:D300"/>
    <mergeCell ref="C50:E50"/>
    <mergeCell ref="H50:I50"/>
    <mergeCell ref="C322:D322"/>
    <mergeCell ref="F322:G322"/>
    <mergeCell ref="C318:D318"/>
    <mergeCell ref="F318:G318"/>
    <mergeCell ref="A319:I319"/>
    <mergeCell ref="C320:D320"/>
    <mergeCell ref="F320:G320"/>
    <mergeCell ref="C321:D321"/>
    <mergeCell ref="F321:G321"/>
    <mergeCell ref="E308:I308"/>
    <mergeCell ref="A315:I315"/>
    <mergeCell ref="C316:D316"/>
    <mergeCell ref="F316:G316"/>
    <mergeCell ref="C317:D317"/>
    <mergeCell ref="F317:G317"/>
    <mergeCell ref="A294:I294"/>
    <mergeCell ref="A295:B295"/>
    <mergeCell ref="C295:D295"/>
    <mergeCell ref="F295:G295"/>
    <mergeCell ref="E299:I299"/>
    <mergeCell ref="E300:I300"/>
    <mergeCell ref="A301:B301"/>
    <mergeCell ref="A70:I70"/>
    <mergeCell ref="A71:C72"/>
    <mergeCell ref="D71:D72"/>
    <mergeCell ref="F71:G71"/>
    <mergeCell ref="F72:G72"/>
    <mergeCell ref="A73:B73"/>
    <mergeCell ref="C73:D73"/>
    <mergeCell ref="F73:G73"/>
    <mergeCell ref="A74:B74"/>
    <mergeCell ref="C74:D74"/>
    <mergeCell ref="F74:G85"/>
    <mergeCell ref="H74:I85"/>
    <mergeCell ref="A75:B75"/>
    <mergeCell ref="C75:D75"/>
    <mergeCell ref="A76:B76"/>
    <mergeCell ref="C76:D76"/>
    <mergeCell ref="A77:B77"/>
    <mergeCell ref="C77:D77"/>
    <mergeCell ref="A78:B78"/>
    <mergeCell ref="A89:B89"/>
    <mergeCell ref="C89:D89"/>
    <mergeCell ref="F89:G89"/>
    <mergeCell ref="A90:B90"/>
    <mergeCell ref="C90:D90"/>
    <mergeCell ref="F90:G101"/>
    <mergeCell ref="H90:I101"/>
    <mergeCell ref="A91:B91"/>
    <mergeCell ref="C91:D91"/>
    <mergeCell ref="A92:B92"/>
    <mergeCell ref="C92:D92"/>
    <mergeCell ref="A93:B93"/>
    <mergeCell ref="C93:D93"/>
    <mergeCell ref="A94:B94"/>
    <mergeCell ref="C94:D94"/>
    <mergeCell ref="C49:E49"/>
    <mergeCell ref="A48:A49"/>
    <mergeCell ref="F48:F49"/>
    <mergeCell ref="H48:I49"/>
    <mergeCell ref="A97:B97"/>
    <mergeCell ref="C97:D97"/>
    <mergeCell ref="A98:B98"/>
    <mergeCell ref="C98:D98"/>
    <mergeCell ref="A99:B99"/>
    <mergeCell ref="C99:D99"/>
    <mergeCell ref="A95:B95"/>
    <mergeCell ref="C95:D95"/>
    <mergeCell ref="A96:B96"/>
    <mergeCell ref="C96:D96"/>
    <mergeCell ref="A81:B81"/>
    <mergeCell ref="C81:D81"/>
    <mergeCell ref="A67:B67"/>
    <mergeCell ref="A68:B68"/>
    <mergeCell ref="A69:B69"/>
    <mergeCell ref="A66:B66"/>
    <mergeCell ref="C66:D66"/>
    <mergeCell ref="F57:G57"/>
    <mergeCell ref="F87:G87"/>
    <mergeCell ref="F88:G88"/>
  </mergeCell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2" manualBreakCount="2">
    <brk id="390" max="8" man="1"/>
    <brk id="448" max="16383"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madhurapanchal77@gmail.com</cp:lastModifiedBy>
  <cp:lastPrinted>2025-08-07T08:46:04Z</cp:lastPrinted>
  <dcterms:created xsi:type="dcterms:W3CDTF">2010-11-23T11:42:48Z</dcterms:created>
  <dcterms:modified xsi:type="dcterms:W3CDTF">2025-08-07T08:48:06Z</dcterms:modified>
</cp:coreProperties>
</file>