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HW\OLD\"/>
    </mc:Choice>
  </mc:AlternateContent>
  <xr:revisionPtr revIDLastSave="0" documentId="13_ncr:1_{E3C89782-27E1-447D-9472-6E7015F0AC45}" xr6:coauthVersionLast="36" xr6:coauthVersionMax="47" xr10:uidLastSave="{00000000-0000-0000-0000-000000000000}"/>
  <bookViews>
    <workbookView xWindow="-120" yWindow="-120" windowWidth="20730" windowHeight="11160"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Report!$A$1:$H$399</definedName>
  </definedNames>
  <calcPr calcId="191029"/>
</workbook>
</file>

<file path=xl/calcChain.xml><?xml version="1.0" encoding="utf-8"?>
<calcChain xmlns="http://schemas.openxmlformats.org/spreadsheetml/2006/main">
  <c r="G4" i="3" l="1"/>
  <c r="J2" i="3" l="1"/>
  <c r="J128" i="3" l="1"/>
  <c r="A96" i="3"/>
  <c r="D97" i="3" s="1"/>
  <c r="J105" i="3" s="1"/>
  <c r="J107" i="3" l="1"/>
  <c r="J106" i="3"/>
  <c r="D263" i="3"/>
  <c r="D261" i="3"/>
  <c r="F196" i="3"/>
  <c r="E196" i="3"/>
  <c r="F195" i="3"/>
  <c r="E195" i="3"/>
  <c r="H195" i="3" s="1"/>
  <c r="F194" i="3"/>
  <c r="E194" i="3"/>
  <c r="F193" i="3"/>
  <c r="E193" i="3"/>
  <c r="F192" i="3"/>
  <c r="E192" i="3"/>
  <c r="F191" i="3"/>
  <c r="E191" i="3"/>
  <c r="H191" i="3" s="1"/>
  <c r="F190" i="3"/>
  <c r="E190" i="3"/>
  <c r="F189" i="3"/>
  <c r="E189" i="3"/>
  <c r="H189" i="3" s="1"/>
  <c r="F188" i="3"/>
  <c r="E188" i="3"/>
  <c r="A188" i="3"/>
  <c r="A189" i="3" s="1"/>
  <c r="A190" i="3" s="1"/>
  <c r="A191" i="3" s="1"/>
  <c r="A192" i="3" s="1"/>
  <c r="A193" i="3" s="1"/>
  <c r="A194" i="3" s="1"/>
  <c r="A195" i="3" s="1"/>
  <c r="A196" i="3" s="1"/>
  <c r="F187" i="3"/>
  <c r="E187" i="3"/>
  <c r="F185" i="3"/>
  <c r="E185" i="3"/>
  <c r="H185" i="3" s="1"/>
  <c r="F184" i="3"/>
  <c r="E184" i="3"/>
  <c r="F183" i="3"/>
  <c r="E183" i="3"/>
  <c r="H183" i="3" s="1"/>
  <c r="F182" i="3"/>
  <c r="E182" i="3"/>
  <c r="F181" i="3"/>
  <c r="E181" i="3"/>
  <c r="F180" i="3"/>
  <c r="E180" i="3"/>
  <c r="F179" i="3"/>
  <c r="E179" i="3"/>
  <c r="H179" i="3" s="1"/>
  <c r="F178" i="3"/>
  <c r="E178" i="3"/>
  <c r="F177" i="3"/>
  <c r="E177" i="3"/>
  <c r="H177" i="3" s="1"/>
  <c r="F176" i="3"/>
  <c r="E176" i="3"/>
  <c r="A177" i="3"/>
  <c r="A178" i="3" s="1"/>
  <c r="A179" i="3" s="1"/>
  <c r="A180" i="3" s="1"/>
  <c r="A181" i="3" s="1"/>
  <c r="A182" i="3" s="1"/>
  <c r="A183" i="3" s="1"/>
  <c r="A184" i="3" s="1"/>
  <c r="A185" i="3" s="1"/>
  <c r="H181" i="3"/>
  <c r="U187" i="3"/>
  <c r="U176" i="3"/>
  <c r="H97" i="3"/>
  <c r="V176" i="3"/>
  <c r="V187" i="3"/>
  <c r="H180" i="3" l="1"/>
  <c r="D101" i="3"/>
  <c r="D104" i="3"/>
  <c r="D105" i="3"/>
  <c r="D107" i="3"/>
  <c r="J100" i="3"/>
  <c r="C99" i="3" s="1"/>
  <c r="D99" i="3" s="1"/>
  <c r="D106" i="3"/>
  <c r="D109" i="3"/>
  <c r="J101" i="3"/>
  <c r="C100" i="3" s="1"/>
  <c r="D110" i="3"/>
  <c r="J99" i="3"/>
  <c r="D102" i="3"/>
  <c r="D103" i="3"/>
  <c r="D108" i="3"/>
  <c r="J98" i="3"/>
  <c r="H196" i="3"/>
  <c r="E128" i="3"/>
  <c r="H176" i="3"/>
  <c r="H182" i="3"/>
  <c r="H184" i="3"/>
  <c r="H187" i="3"/>
  <c r="H190" i="3"/>
  <c r="H194" i="3"/>
  <c r="H178" i="3"/>
  <c r="H193" i="3"/>
  <c r="H188" i="3"/>
  <c r="H192" i="3"/>
  <c r="V188" i="3"/>
  <c r="V189" i="3" s="1"/>
  <c r="V190" i="3" s="1"/>
  <c r="V191" i="3" s="1"/>
  <c r="V192" i="3" s="1"/>
  <c r="V193" i="3" s="1"/>
  <c r="V194" i="3" s="1"/>
  <c r="V195" i="3" s="1"/>
  <c r="V196" i="3" s="1"/>
  <c r="U188" i="3"/>
  <c r="T187" i="3"/>
  <c r="U177" i="3"/>
  <c r="T176" i="3"/>
  <c r="V177" i="3"/>
  <c r="V178" i="3" s="1"/>
  <c r="V179" i="3" s="1"/>
  <c r="V180" i="3" s="1"/>
  <c r="V181" i="3" s="1"/>
  <c r="V182" i="3" s="1"/>
  <c r="V183" i="3" s="1"/>
  <c r="V184" i="3" s="1"/>
  <c r="V185" i="3" s="1"/>
  <c r="F166" i="3"/>
  <c r="E166" i="3"/>
  <c r="F165" i="3"/>
  <c r="E165" i="3"/>
  <c r="F164" i="3"/>
  <c r="E164" i="3"/>
  <c r="F163" i="3"/>
  <c r="E163" i="3"/>
  <c r="F162" i="3"/>
  <c r="E162" i="3"/>
  <c r="F161" i="3"/>
  <c r="E161" i="3"/>
  <c r="F160" i="3"/>
  <c r="E160" i="3"/>
  <c r="F159" i="3"/>
  <c r="E159" i="3"/>
  <c r="A158" i="3"/>
  <c r="A159" i="3" s="1"/>
  <c r="A160" i="3" s="1"/>
  <c r="A161" i="3" s="1"/>
  <c r="A162" i="3" s="1"/>
  <c r="A163" i="3" s="1"/>
  <c r="A164" i="3" s="1"/>
  <c r="A165" i="3" s="1"/>
  <c r="A166" i="3" s="1"/>
  <c r="E155" i="3"/>
  <c r="E154" i="3"/>
  <c r="E153" i="3"/>
  <c r="E152" i="3"/>
  <c r="E151" i="3"/>
  <c r="E150" i="3"/>
  <c r="E149" i="3"/>
  <c r="E148" i="3"/>
  <c r="E147" i="3"/>
  <c r="E146" i="3"/>
  <c r="F155" i="3"/>
  <c r="F154" i="3"/>
  <c r="F153" i="3"/>
  <c r="F152" i="3"/>
  <c r="F151" i="3"/>
  <c r="F150" i="3"/>
  <c r="F149" i="3"/>
  <c r="F148" i="3"/>
  <c r="F147" i="3"/>
  <c r="F146" i="3"/>
  <c r="U157" i="3"/>
  <c r="V157" i="3"/>
  <c r="J102" i="3" l="1"/>
  <c r="J103" i="3" s="1"/>
  <c r="J104" i="3" s="1"/>
  <c r="D100" i="3"/>
  <c r="E99" i="3"/>
  <c r="I96" i="3" s="1"/>
  <c r="G99" i="3" s="1"/>
  <c r="G128" i="3"/>
  <c r="H160" i="3"/>
  <c r="H162" i="3"/>
  <c r="H164" i="3"/>
  <c r="H166" i="3"/>
  <c r="E127" i="3"/>
  <c r="E129" i="3" s="1"/>
  <c r="H163" i="3"/>
  <c r="H165" i="3"/>
  <c r="U189" i="3"/>
  <c r="T188" i="3"/>
  <c r="T177" i="3"/>
  <c r="U178" i="3"/>
  <c r="H161" i="3"/>
  <c r="H159" i="3"/>
  <c r="V158" i="3"/>
  <c r="V159" i="3" s="1"/>
  <c r="V160" i="3" s="1"/>
  <c r="V161" i="3" s="1"/>
  <c r="V162" i="3" s="1"/>
  <c r="V163" i="3" s="1"/>
  <c r="V164" i="3" s="1"/>
  <c r="V165" i="3" s="1"/>
  <c r="V166" i="3" s="1"/>
  <c r="U158" i="3"/>
  <c r="T157" i="3"/>
  <c r="H155" i="3"/>
  <c r="H154" i="3"/>
  <c r="A147" i="3"/>
  <c r="A148" i="3" s="1"/>
  <c r="A149" i="3" s="1"/>
  <c r="A150" i="3" s="1"/>
  <c r="A151" i="3" s="1"/>
  <c r="A152" i="3" s="1"/>
  <c r="A153" i="3" s="1"/>
  <c r="A154" i="3" s="1"/>
  <c r="A155" i="3" s="1"/>
  <c r="H153" i="3"/>
  <c r="H152" i="3"/>
  <c r="H151" i="3"/>
  <c r="H150" i="3"/>
  <c r="H149" i="3"/>
  <c r="H148" i="3"/>
  <c r="H147" i="3"/>
  <c r="H146" i="3"/>
  <c r="V146" i="3"/>
  <c r="U146" i="3"/>
  <c r="J108" i="3" l="1"/>
  <c r="G127" i="3"/>
  <c r="G129" i="3" s="1"/>
  <c r="U190" i="3"/>
  <c r="T189" i="3"/>
  <c r="T178" i="3"/>
  <c r="U179" i="3"/>
  <c r="U159" i="3"/>
  <c r="T158" i="3"/>
  <c r="T146" i="3"/>
  <c r="U147" i="3"/>
  <c r="V147" i="3"/>
  <c r="V148" i="3" s="1"/>
  <c r="V149" i="3" s="1"/>
  <c r="V150" i="3" s="1"/>
  <c r="V151" i="3" s="1"/>
  <c r="V152" i="3" s="1"/>
  <c r="V153" i="3" s="1"/>
  <c r="V154" i="3" s="1"/>
  <c r="V155" i="3" s="1"/>
  <c r="U191" i="3" l="1"/>
  <c r="T190" i="3"/>
  <c r="U180" i="3"/>
  <c r="T179" i="3"/>
  <c r="U160" i="3"/>
  <c r="T159" i="3"/>
  <c r="U148" i="3"/>
  <c r="T147" i="3"/>
  <c r="T191" i="3" l="1"/>
  <c r="U192" i="3"/>
  <c r="T180" i="3"/>
  <c r="U181" i="3"/>
  <c r="T160" i="3"/>
  <c r="U161" i="3"/>
  <c r="T148" i="3"/>
  <c r="U149" i="3"/>
  <c r="T192" i="3" l="1"/>
  <c r="U193" i="3"/>
  <c r="U182" i="3"/>
  <c r="T181" i="3"/>
  <c r="T161" i="3"/>
  <c r="U162" i="3"/>
  <c r="U150" i="3"/>
  <c r="T149" i="3"/>
  <c r="U194" i="3" l="1"/>
  <c r="T193" i="3"/>
  <c r="U183" i="3"/>
  <c r="T182" i="3"/>
  <c r="T162" i="3"/>
  <c r="U163" i="3"/>
  <c r="T150" i="3"/>
  <c r="U151" i="3"/>
  <c r="T194" i="3" l="1"/>
  <c r="U195" i="3"/>
  <c r="T183" i="3"/>
  <c r="U184" i="3"/>
  <c r="T163" i="3"/>
  <c r="U164" i="3"/>
  <c r="T151" i="3"/>
  <c r="U152" i="3"/>
  <c r="U196" i="3" l="1"/>
  <c r="T196" i="3" s="1"/>
  <c r="T195" i="3"/>
  <c r="T184" i="3"/>
  <c r="U185" i="3"/>
  <c r="T185" i="3" s="1"/>
  <c r="U165" i="3"/>
  <c r="T164" i="3"/>
  <c r="U153" i="3"/>
  <c r="T152" i="3"/>
  <c r="U166" i="3" l="1"/>
  <c r="T166" i="3" s="1"/>
  <c r="T165" i="3"/>
  <c r="T153" i="3"/>
  <c r="U154" i="3"/>
  <c r="U155" i="3" l="1"/>
  <c r="T155" i="3" s="1"/>
  <c r="T154" i="3"/>
  <c r="G118" i="3" l="1"/>
  <c r="G117" i="3"/>
  <c r="C19" i="3"/>
  <c r="H216" i="3" l="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D42" i="6" s="1"/>
  <c r="I42" i="6"/>
  <c r="H42" i="6" s="1"/>
  <c r="L42" i="6"/>
  <c r="K42" i="6" s="1"/>
  <c r="D44" i="6" l="1"/>
  <c r="E44" i="6"/>
  <c r="C26" i="3"/>
  <c r="C18" i="3"/>
  <c r="H250" i="3"/>
  <c r="H249" i="3"/>
  <c r="H248" i="3"/>
  <c r="H247" i="3"/>
  <c r="H246" i="3"/>
  <c r="H245" i="3"/>
  <c r="H244" i="3"/>
  <c r="H243" i="3"/>
  <c r="H241" i="3"/>
  <c r="H240" i="3"/>
  <c r="H239" i="3"/>
  <c r="H238" i="3"/>
  <c r="H237" i="3"/>
  <c r="H236" i="3"/>
  <c r="H235" i="3"/>
  <c r="H234" i="3"/>
  <c r="H232" i="3"/>
  <c r="H231" i="3"/>
  <c r="H230" i="3"/>
  <c r="H229" i="3"/>
  <c r="H228" i="3"/>
  <c r="H227" i="3"/>
  <c r="H226" i="3"/>
  <c r="H225" i="3"/>
  <c r="E130" i="3"/>
  <c r="H217" i="3"/>
  <c r="H218" i="3"/>
  <c r="H219" i="3"/>
  <c r="H220" i="3"/>
  <c r="H221" i="3"/>
  <c r="H222" i="3"/>
  <c r="H223" i="3"/>
  <c r="G124" i="3" l="1"/>
  <c r="E124" i="3"/>
  <c r="A80" i="3"/>
  <c r="D81" i="3" s="1"/>
  <c r="A64" i="3"/>
  <c r="D65" i="3" s="1"/>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H81" i="3"/>
  <c r="I5" i="4"/>
  <c r="G38" i="4" l="1"/>
  <c r="F38" i="4"/>
  <c r="E18" i="4"/>
  <c r="E15" i="4"/>
  <c r="E17" i="4"/>
  <c r="E11" i="4"/>
  <c r="K6" i="4"/>
  <c r="E9" i="4"/>
  <c r="K8" i="4"/>
  <c r="C7" i="4" s="1"/>
  <c r="E14" i="4"/>
  <c r="E12" i="4"/>
  <c r="E16" i="4"/>
  <c r="E10" i="4"/>
  <c r="K9" i="4"/>
  <c r="K10" i="4" s="1"/>
  <c r="K11" i="4" s="1"/>
  <c r="E13" i="4"/>
  <c r="K7" i="4"/>
  <c r="J90" i="3"/>
  <c r="J89" i="3"/>
  <c r="K12" i="4" l="1"/>
  <c r="K16" i="4" s="1"/>
  <c r="C8" i="4" s="1"/>
  <c r="E8" i="4" s="1"/>
  <c r="E7" i="4"/>
  <c r="A216" i="3"/>
  <c r="A217" i="3" s="1"/>
  <c r="A218" i="3" s="1"/>
  <c r="A219" i="3" s="1"/>
  <c r="A220" i="3" s="1"/>
  <c r="A221" i="3" s="1"/>
  <c r="A222" i="3" s="1"/>
  <c r="A223" i="3" s="1"/>
  <c r="F7" i="4" l="1"/>
  <c r="J4" i="4" s="1"/>
  <c r="H7" i="4" s="1"/>
  <c r="H124" i="3" l="1"/>
  <c r="G130" i="3" s="1"/>
  <c r="D262" i="3" l="1"/>
  <c r="G119" i="3"/>
  <c r="J74" i="3"/>
  <c r="J73" i="3"/>
  <c r="H65" i="3"/>
  <c r="J69" i="3" l="1"/>
  <c r="C68" i="3" s="1"/>
  <c r="D74" i="3"/>
  <c r="D71" i="3"/>
  <c r="D69" i="3"/>
  <c r="J67" i="3"/>
  <c r="D78" i="3"/>
  <c r="D76" i="3"/>
  <c r="D73" i="3"/>
  <c r="D70" i="3"/>
  <c r="J68" i="3"/>
  <c r="C67" i="3" s="1"/>
  <c r="J66" i="3"/>
  <c r="D77" i="3"/>
  <c r="D75" i="3"/>
  <c r="D72" i="3"/>
  <c r="D94" i="3" l="1"/>
  <c r="D86" i="3"/>
  <c r="D89" i="3"/>
  <c r="J83" i="3"/>
  <c r="D93" i="3"/>
  <c r="D87" i="3"/>
  <c r="J82" i="3"/>
  <c r="D92" i="3"/>
  <c r="J85" i="3"/>
  <c r="D91" i="3"/>
  <c r="D85" i="3"/>
  <c r="J84" i="3"/>
  <c r="C83" i="3" s="1"/>
  <c r="D90" i="3"/>
  <c r="D88" i="3"/>
  <c r="J70" i="3"/>
  <c r="J75" i="3" s="1"/>
  <c r="J86" i="3" l="1"/>
  <c r="C84" i="3"/>
  <c r="D83" i="3"/>
  <c r="J87" i="3"/>
  <c r="J88" i="3" s="1"/>
  <c r="J91" i="3"/>
  <c r="J71" i="3"/>
  <c r="J92" i="3" l="1"/>
  <c r="J72" i="3"/>
  <c r="D84" i="3" l="1"/>
  <c r="E83" i="3"/>
  <c r="I80" i="3" s="1"/>
  <c r="G83" i="3" s="1"/>
  <c r="J76" i="3"/>
  <c r="U225" i="3"/>
  <c r="V234" i="3"/>
  <c r="U243" i="3"/>
  <c r="V243" i="3"/>
  <c r="U234" i="3"/>
  <c r="V225" i="3"/>
  <c r="D67" i="3" l="1"/>
  <c r="E67" i="3"/>
  <c r="G111" i="3" s="1"/>
  <c r="T243" i="3"/>
  <c r="U244" i="3"/>
  <c r="V244" i="3"/>
  <c r="V245" i="3" s="1"/>
  <c r="V246" i="3" s="1"/>
  <c r="V247" i="3" s="1"/>
  <c r="V248" i="3" s="1"/>
  <c r="V249" i="3" s="1"/>
  <c r="V250" i="3" s="1"/>
  <c r="T234" i="3"/>
  <c r="U235" i="3"/>
  <c r="V235" i="3"/>
  <c r="V236" i="3" s="1"/>
  <c r="V237" i="3" s="1"/>
  <c r="V238" i="3" s="1"/>
  <c r="V239" i="3" s="1"/>
  <c r="V240" i="3" s="1"/>
  <c r="V241" i="3" s="1"/>
  <c r="V226" i="3"/>
  <c r="V227" i="3" s="1"/>
  <c r="V228" i="3" s="1"/>
  <c r="V229" i="3" s="1"/>
  <c r="V230" i="3" s="1"/>
  <c r="V231" i="3" s="1"/>
  <c r="V232" i="3" s="1"/>
  <c r="U226" i="3"/>
  <c r="T225" i="3"/>
  <c r="D68" i="3" l="1"/>
  <c r="I64" i="3"/>
  <c r="G67" i="3" s="1"/>
  <c r="A243" i="3"/>
  <c r="A234" i="3"/>
  <c r="A225" i="3"/>
  <c r="T244" i="3"/>
  <c r="A244" i="3" s="1"/>
  <c r="U245" i="3"/>
  <c r="T245" i="3" s="1"/>
  <c r="T235" i="3"/>
  <c r="A235" i="3" s="1"/>
  <c r="U236" i="3"/>
  <c r="T236" i="3" s="1"/>
  <c r="U227" i="3"/>
  <c r="T226" i="3"/>
  <c r="A226" i="3" s="1"/>
  <c r="A245" i="3" l="1"/>
  <c r="A236" i="3"/>
  <c r="U246" i="3"/>
  <c r="T246" i="3" s="1"/>
  <c r="U237" i="3"/>
  <c r="T237" i="3" s="1"/>
  <c r="U228" i="3"/>
  <c r="T227" i="3"/>
  <c r="A227" i="3" s="1"/>
  <c r="A246" i="3" l="1"/>
  <c r="A237" i="3"/>
  <c r="U247" i="3"/>
  <c r="T247" i="3" s="1"/>
  <c r="U238" i="3"/>
  <c r="T238" i="3" s="1"/>
  <c r="U229" i="3"/>
  <c r="T228" i="3"/>
  <c r="A228" i="3" s="1"/>
  <c r="A247" i="3" l="1"/>
  <c r="A238" i="3"/>
  <c r="U248" i="3"/>
  <c r="T248" i="3" s="1"/>
  <c r="U239" i="3"/>
  <c r="T239" i="3" s="1"/>
  <c r="U230" i="3"/>
  <c r="T229" i="3"/>
  <c r="A229" i="3" s="1"/>
  <c r="A248" i="3" l="1"/>
  <c r="A239" i="3"/>
  <c r="U249" i="3"/>
  <c r="T249" i="3" s="1"/>
  <c r="U240" i="3"/>
  <c r="T240" i="3" s="1"/>
  <c r="U231" i="3"/>
  <c r="T230" i="3"/>
  <c r="A230" i="3" s="1"/>
  <c r="A249" i="3" l="1"/>
  <c r="A240" i="3"/>
  <c r="U250" i="3"/>
  <c r="T250" i="3" s="1"/>
  <c r="U241" i="3"/>
  <c r="T241" i="3" s="1"/>
  <c r="U232" i="3"/>
  <c r="T231" i="3"/>
  <c r="A231" i="3" s="1"/>
  <c r="A250" i="3" l="1"/>
  <c r="A241" i="3"/>
  <c r="T232" i="3"/>
  <c r="A23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7"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<sst xmlns="http://schemas.openxmlformats.org/spreadsheetml/2006/main" count="701" uniqueCount="394">
  <si>
    <t>Boundaries</t>
  </si>
  <si>
    <t>North</t>
  </si>
  <si>
    <t>East</t>
  </si>
  <si>
    <t>West</t>
  </si>
  <si>
    <t>:</t>
  </si>
  <si>
    <t>As per Actual at site</t>
  </si>
  <si>
    <t>South</t>
  </si>
  <si>
    <t>As per Site / Actual</t>
  </si>
  <si>
    <t>Government Guideline/ Circle rate for Land (Rs per sqft)</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</si>
  <si>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</si>
  <si>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</si>
  <si>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</si>
  <si>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</si>
  <si>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</si>
  <si>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</si>
  <si>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</si>
  <si>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</si>
  <si>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</si>
  <si>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</si>
  <si>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</si>
  <si>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</si>
  <si>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</si>
  <si>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</si>
  <si>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</si>
  <si>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</si>
  <si>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</si>
  <si>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</si>
  <si>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</si>
  <si>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</si>
  <si>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</si>
  <si>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</si>
  <si>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</si>
  <si>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</si>
  <si>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</si>
  <si>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</si>
  <si>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</si>
  <si>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</si>
  <si>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</si>
  <si>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</si>
  <si>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</si>
  <si>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</si>
  <si>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</si>
  <si>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</si>
  <si>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</si>
  <si>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</si>
  <si>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</si>
  <si>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</si>
  <si>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</si>
  <si>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</si>
  <si>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</si>
  <si>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</si>
  <si>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</si>
  <si>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</si>
  <si>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</si>
  <si>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</si>
  <si>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</si>
  <si>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</si>
  <si>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</si>
  <si>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</si>
  <si>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</si>
  <si>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</si>
  <si>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</si>
  <si>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</si>
  <si>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</si>
  <si>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</si>
  <si>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</si>
  <si>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</si>
  <si>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</si>
  <si>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</si>
  <si>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</si>
  <si>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</si>
  <si>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</si>
  <si>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</si>
  <si>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</si>
  <si>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</si>
  <si>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</si>
  <si>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</si>
  <si>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</si>
  <si>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</si>
  <si>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</si>
  <si>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</si>
  <si>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</si>
  <si>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</si>
  <si>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</si>
  <si>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</si>
  <si>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</si>
  <si>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</si>
  <si>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</si>
  <si>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</si>
  <si>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</si>
  <si>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</si>
  <si>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</si>
  <si>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</si>
  <si>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</si>
  <si>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</si>
  <si>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</si>
  <si>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5.4KM from Somatne Railway Station
10.5KM from Panvel Railway Station</t>
  </si>
  <si>
    <t xml:space="preserve">Bitumen </t>
  </si>
  <si>
    <t>III</t>
  </si>
  <si>
    <t>No</t>
  </si>
  <si>
    <t>Low</t>
  </si>
  <si>
    <t>None</t>
  </si>
  <si>
    <t>Other Charges</t>
  </si>
  <si>
    <t>Ground</t>
  </si>
  <si>
    <t>Plinth</t>
  </si>
  <si>
    <t>Project Site Address</t>
  </si>
  <si>
    <t>Distance from the nearest School (Km)</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</si>
  <si>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</si>
  <si>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</si>
  <si>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</si>
  <si>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</si>
  <si>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</si>
  <si>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</si>
  <si>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</si>
  <si>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</si>
  <si>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</si>
  <si>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</si>
  <si>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</si>
  <si>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</si>
  <si>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</si>
  <si>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</si>
  <si>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</si>
  <si>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</si>
  <si>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</si>
  <si>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</si>
  <si>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</si>
  <si>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</si>
  <si>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</si>
  <si>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</si>
  <si>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</si>
  <si>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</si>
  <si>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</si>
  <si>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</si>
  <si>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</si>
  <si>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</si>
  <si>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</si>
  <si>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</si>
  <si>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</si>
  <si>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</si>
  <si>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</si>
  <si>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</si>
  <si>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</si>
  <si>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</si>
  <si>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</si>
  <si>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</si>
  <si>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</si>
  <si>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</si>
  <si>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</si>
  <si>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</si>
  <si>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</si>
  <si>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</si>
  <si>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</si>
  <si>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</si>
  <si>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</si>
  <si>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</si>
  <si>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</si>
  <si>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</si>
  <si>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</si>
  <si>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</si>
  <si>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</si>
  <si>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</si>
  <si>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</si>
  <si>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</si>
  <si>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</si>
  <si>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</si>
  <si>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</si>
  <si>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</si>
  <si>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</si>
  <si>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</si>
  <si>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</si>
  <si>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</si>
  <si>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</si>
  <si>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</si>
  <si>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</si>
  <si>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</si>
  <si>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</si>
  <si>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</si>
  <si>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</si>
  <si>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</si>
  <si>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</si>
  <si>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</si>
  <si>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</si>
  <si>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</si>
  <si>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</si>
  <si>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</si>
  <si>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</si>
  <si>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</si>
  <si>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</si>
  <si>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</si>
  <si>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</si>
  <si>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</si>
  <si>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</si>
  <si>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</si>
  <si>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</si>
  <si>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</si>
  <si>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</si>
  <si>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</si>
  <si>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</si>
  <si>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</si>
  <si>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</si>
  <si>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</si>
  <si>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</si>
  <si>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</si>
  <si>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</si>
  <si>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</si>
  <si>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</si>
  <si>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</si>
  <si>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</si>
  <si>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</si>
  <si>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</si>
  <si>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</si>
  <si>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</si>
  <si>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</si>
  <si>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</si>
  <si>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</si>
  <si>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</si>
  <si>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</si>
  <si>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</si>
  <si>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</si>
  <si>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</si>
  <si>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</si>
  <si>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</si>
  <si>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</si>
  <si>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</si>
  <si>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</si>
  <si>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</si>
  <si>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</si>
  <si>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</si>
  <si>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</si>
  <si>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</si>
  <si>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</si>
  <si>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</si>
  <si>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</si>
  <si>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</si>
  <si>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</si>
  <si>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</si>
  <si>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</si>
  <si>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</si>
  <si>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</si>
  <si>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</si>
  <si>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</si>
  <si>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</si>
  <si>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</si>
  <si>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</si>
  <si>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</si>
  <si>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</si>
  <si>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</si>
  <si>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</si>
  <si>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</si>
  <si>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</si>
  <si>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</si>
  <si>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</si>
  <si>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</si>
  <si>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</si>
  <si>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</si>
  <si>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</si>
  <si>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</si>
  <si>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</si>
  <si>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</si>
  <si>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</si>
  <si>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</si>
  <si>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</si>
  <si>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</si>
  <si>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</si>
  <si>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</si>
  <si>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</si>
  <si>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</si>
  <si>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</si>
  <si>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</si>
  <si>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</si>
  <si>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</si>
  <si>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</si>
  <si>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</si>
  <si>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</si>
  <si>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</si>
  <si>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</si>
  <si>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</si>
  <si>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</si>
  <si>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</si>
  <si>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</si>
  <si>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</si>
  <si>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</si>
  <si>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</si>
  <si>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</si>
  <si>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</si>
  <si>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</si>
  <si>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</si>
  <si>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</si>
  <si>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</si>
  <si>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</si>
  <si>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</si>
  <si>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</si>
  <si>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</si>
  <si>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</si>
  <si>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</si>
  <si>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</si>
  <si>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</si>
  <si>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</si>
  <si>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</si>
  <si>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</si>
  <si>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</si>
  <si>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</si>
  <si>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</si>
  <si>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</si>
  <si>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</si>
  <si>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</si>
  <si>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</si>
  <si>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JP Infra Realty Private Limited</t>
  </si>
  <si>
    <t>JP Infra Mumbai Pvt. Ltd. 4th Floor, Viraj Towers, Western Express Highway, Near WEH Metro Station, Andheri(E), Mumbai-400093.</t>
  </si>
  <si>
    <t>Codename StarLife
( Wing A1, A2, B1, B2 &amp; C )</t>
  </si>
  <si>
    <t xml:space="preserve">Codename StarLife, Survey No.111/1/2(Pt), 111/2(Pt), 111/5(Pt), 111/8/3, 111/8/4, 119/1(Pt), 119/2(Pt), 119/3(Pt), 119/4(Pt), 124/1(Pt), 124/2, 124/3(Pt), 118/4(Pt, 118/5(Pt), 118/7(Pt), 125/1(Pt), 125/2(Pt), near JP North Garden - Alexa, Mira Bhayander Link Road (JP North Road), Ghodbunder, Ghodbunder, Mira Road East, Thane, Thane  - 401107. 
</t>
  </si>
  <si>
    <t>Codename StarLife, Vinay Nagar Road, Mira Bhayandar Rd, Kashimira, Mira Road East, Mumbai, Maharashtra 401107</t>
  </si>
  <si>
    <t>Mira-Bhayandar Municipal Corporation</t>
  </si>
  <si>
    <t>P51700054275</t>
  </si>
  <si>
    <t>Kotak Mahindra Bank Ltd.
IFSC Code: KKBK0001390</t>
  </si>
  <si>
    <t>308+320+24+30</t>
  </si>
  <si>
    <t>As per RERA Site Flats = 682</t>
  </si>
  <si>
    <t>19.279917,72.886556</t>
  </si>
  <si>
    <t>https://maps.app.goo.gl/USCApJpAec9bP47k6</t>
  </si>
  <si>
    <t>JP North Garden - Alexa</t>
  </si>
  <si>
    <t>Banquet Hall, Banquet Lawn, Guest Room, Gymnasium, Indoor Games Room, Jogging Track, Kids Play Area, Kids Pool, Multipurpose Court, Swimming Pool, Toddler's Play Area, Yoga Room, Library etc.</t>
  </si>
  <si>
    <t>700 M from Lakshmi Baug Bus Stop</t>
  </si>
  <si>
    <t>About 900M from Podar International School</t>
  </si>
  <si>
    <t>1. Approx. 1.4 KM from Vashi Market.
2. Approx. 1.3 KM from Vinayak Super Market.</t>
  </si>
  <si>
    <t>18m</t>
  </si>
  <si>
    <t>Sub Plot A</t>
  </si>
  <si>
    <t>Other Plot</t>
  </si>
  <si>
    <t>18.00 Mtr. Existing D.P Road</t>
  </si>
  <si>
    <t>Building</t>
  </si>
  <si>
    <t>Apna Ghar</t>
  </si>
  <si>
    <t>Apna Ghar Phase 2</t>
  </si>
  <si>
    <t>Mira Bhayander Link Road
(JP North Road)</t>
  </si>
  <si>
    <t>Building No.7 (Wing A1 &amp; A2)</t>
  </si>
  <si>
    <t>3B +  Gr + 1st to 6th (Amenity) + 7th to 38th Floor (Residential)</t>
  </si>
  <si>
    <t>Building No.7 (Wing B1 &amp; B2)</t>
  </si>
  <si>
    <t>3B +  Gr  +  1st to 6th (Amenity) Floor</t>
  </si>
  <si>
    <t>Building No.7 (Wing C)</t>
  </si>
  <si>
    <t>3B + LW Gr + Gr + 1st to 4th Shopping Mall/Comm. + 5th Service Floor</t>
  </si>
  <si>
    <t>MBMNP/NR/4161/2023-2024</t>
  </si>
  <si>
    <t>MNP/NR/4161/2023-2024</t>
  </si>
  <si>
    <t>Building No.7 = 3B + LW Gr + Gr + 1st to 4th Shopping Mall/Comm. + 5th Service + 6th Amenity (Wing A1, A2, B1, B2) + 7th to 38th Floor
Wing A1 &amp; A2 =  3B +  Gr + 1st to 6th (Amenity) + 7th to 38th Floor (Residential)
Wing B1 &amp; B2 = 3B +  Gr  +  1st to 6th (Amenity) Floor
Wing C =  3B + LW Gr + Gr + 1st to 4th Shopping Mall/Comm. + 5th Service Floor</t>
  </si>
  <si>
    <t>Airport Authority Clearance Details
Valid Upto :</t>
  </si>
  <si>
    <t>JUHU/WEST/B/082922/695412</t>
  </si>
  <si>
    <t xml:space="preserve">Valid Upto Date: 
</t>
  </si>
  <si>
    <t>Site Elevation AMSL = 5.9M
Permissible Top Elevation above AMSL = 143.54M (Restricted)</t>
  </si>
  <si>
    <t>Fire NOC Details</t>
  </si>
  <si>
    <t>MBMC/FIRE/1400/2022-23</t>
  </si>
  <si>
    <t xml:space="preserve"> 3B +  Gr + 1st to 45th Floor</t>
  </si>
  <si>
    <t>3B +  Gr + 1st to 45th Floor</t>
  </si>
  <si>
    <t xml:space="preserve">CC Details
Valid Up to: </t>
  </si>
  <si>
    <t>Building No.7 (Wing A1, A2, B1 &amp; B2) = 3B + LW Gr + UP Gr + 1st to 4th Floor Shopping Mall/Comm + 5th (Part Residential &amp; Amenity) + 6th to 45th Floor  (Total Height = 150 Meter)</t>
  </si>
  <si>
    <t>Building No.7</t>
  </si>
  <si>
    <t>3rd &amp; 2nd Basement Floor For Pump Room &amp; Parking</t>
  </si>
  <si>
    <t>1st Basement Floor For Pump Room, Fire Tank &amp; Parking</t>
  </si>
  <si>
    <t>Lower Ground Floor For (Mall) For Part Anchor &amp; Commercial Area</t>
  </si>
  <si>
    <t>Ground Floor (Mall) For Commercial, AHU, Meter Room  &amp; (Part Anchor Area)</t>
  </si>
  <si>
    <t>1st Floor (Mall) For Commercial, AHU, Meter Room &amp; (Part Anchor Area)</t>
  </si>
  <si>
    <t>2nd Floor (Mall) For Commercial, AHU, Meter Room &amp; (Part Anchor Area)</t>
  </si>
  <si>
    <t xml:space="preserve">3rd Floor (Mall) For Commercial, AHU, Food Court Seating &amp; Meter Room  </t>
  </si>
  <si>
    <t>4th/ Mezzanine Floor (Mall) For Meter Room, Driver's Room, Cinema Service/BOH Area</t>
  </si>
  <si>
    <t>5th Service Floor For Cafeteria, A.H.U, Store Room, Back Office &amp; Service Area</t>
  </si>
  <si>
    <t>Wing A1</t>
  </si>
  <si>
    <t>6th Recreational Floor or Fitness Center, Swimming Pool, Café, Library, Kids Pool &amp; Stilt Area</t>
  </si>
  <si>
    <t>2BHK</t>
  </si>
  <si>
    <t>1BHK</t>
  </si>
  <si>
    <t>3BHK</t>
  </si>
  <si>
    <t>2.5BHK</t>
  </si>
  <si>
    <t>11th, 16th, 21st, 26th, 31st &amp; 36th Floor (Part Refuge Area)</t>
  </si>
  <si>
    <t>Refuge Area</t>
  </si>
  <si>
    <t>Wing A2</t>
  </si>
  <si>
    <t>Ground to 2nd Floor For (Mall) For AHU, Meter Room &amp; (Part Anchor &amp; Commercial Area)</t>
  </si>
  <si>
    <t xml:space="preserve">3rd Floor (Mall) For AHU, Food Court Seating, Meter Room &amp; Part Commercial Area </t>
  </si>
  <si>
    <t>7th to 10th, 12th to 15th, 17th to 20th, 22nd to 25th, 27th to 30th, 32nd to 35th, 37th &amp; 
38th Floor For Residential</t>
  </si>
  <si>
    <t>11th, 16th, 21st, 26th, 31st &amp; 36th Floor</t>
  </si>
  <si>
    <t>Wing B1 &amp; B2</t>
  </si>
  <si>
    <t xml:space="preserve">We considered Gross carpet area = Net carpet + A.P Area.
</t>
  </si>
  <si>
    <t>Wing C is shopping mall as per RERA and Approved Floor Plan. Therefore we have not considered it in APF Report.</t>
  </si>
  <si>
    <t>Mr.Dipak Patel 8657913801</t>
  </si>
  <si>
    <t>Approved Layout &amp; Floor Plans, CC, RERA certificate, Fire NOC, Airport NOC, Environment Clearance Certificate</t>
  </si>
  <si>
    <t>Flats = 628</t>
  </si>
  <si>
    <t>Plans are amended.</t>
  </si>
  <si>
    <t xml:space="preserve">query </t>
  </si>
  <si>
    <t>SIA/MH/MIS/78324/2022</t>
  </si>
  <si>
    <t>Survey no. 20/8(pt),21/2A(pt.), 21/2B(pt.), 22/1B, 22/1C, 22/2,22/3, 22/5, 24/3, 25/1, 26/5, 26/8(pt.), 26/9, 110/1(pt.), 110/2(pt.), 110/3, 111/1/2(pt.), 111/2(pt.), 111/5(pt.), 111/8/3(pt.), 111/8/4(pt.), 112/2(pt.), 113/1, 113/2, 114/1, 114/3, 114/4, 114/6, 116/1, 116/2A(pt), 116/3, 116/4, 116/5, 116/6, 116/7, 116/8, 116/9, 117/1, 117/3, 117/4, 117/5, 117/6, 118/2, 118/3, 118/4, 118/5, 118/7, 118/8, 119/1(pt.), 119/2(pt.), 119/3(pt)
Proposed Builtup Area = 875604.58 Sq.M
Proposed No. of Floor  =
Building No.7 = 4B + LW Gr + UP Gr + 1st to 5th  Mall + 6th Service + 7th &amp; 8th (Pt.)Podium/Res. &amp; Office) + 9th Floor Res. &amp; Amenity (Pt.) + 10th to 44th Res. Floor</t>
  </si>
  <si>
    <t>Wing C (Mall)</t>
  </si>
  <si>
    <t>Codename StarLife-Wing A1, A2, B1, B2 &amp; C , 111-1-2, 111-2, 111-5, 111-8-3, 111-8-4, 119-1, 119-2, 119-3, 119-4, 124-1, 124-2, 124-3, 118-4-1, 118-5, 118-7, 125-1, 125-2, at Mira Bhayandar (M Corp.), Thane - 401107</t>
  </si>
  <si>
    <t>15500 - 16500</t>
  </si>
  <si>
    <t>Inspected By :</t>
  </si>
  <si>
    <t>Mr. Suraj Khare</t>
  </si>
  <si>
    <t>Mr. Dhananjay 8655441207</t>
  </si>
  <si>
    <t>Authorized Signatory
Name &amp; Signature</t>
  </si>
  <si>
    <t>08/08/2025 at 10:58AM</t>
  </si>
  <si>
    <t>Mr. Sanket Salvi</t>
  </si>
  <si>
    <t>Building No. 7 (Wing B1, B2 &amp; C) = Construction work is in process at the time of Visit (labour found)
Building No. 7 (Wing A1 &amp; A2) = Construction work is same as last visit (dtd. 21/05/2025) but work is in process at the time of Visit.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</si>
</sst>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8"/>
      <color theme="10"/>
      <name val="Calibri"/>
      <family val="2"/>
    </font>
    <font>
      <sz val="18"/>
      <name val="Times New Roman"/>
      <family val="1"/>
    </font>
  </fonts>
  <fills count="1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1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15" borderId="12" xfId="1" applyNumberFormat="1" applyFont="1" applyFill="1" applyBorder="1" applyAlignment="1">
      <alignment horizontal="center" vertical="center" wrapText="1"/>
    </xf>
    <xf numFmtId="1" fontId="5" fillId="15" borderId="8" xfId="1" applyNumberFormat="1" applyFont="1" applyFill="1" applyBorder="1" applyAlignment="1">
      <alignment horizontal="center" vertical="center" wrapText="1"/>
    </xf>
    <xf numFmtId="1" fontId="5" fillId="15" borderId="13"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3"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26" fillId="4" borderId="1" xfId="2" applyFont="1" applyFill="1" applyBorder="1" applyAlignment="1">
      <alignment horizontal="center" vertical="top" wrapText="1"/>
    </xf>
    <xf numFmtId="0" fontId="27" fillId="4"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4" fillId="0" borderId="1" xfId="0"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9" fillId="4" borderId="2" xfId="0" applyFont="1" applyFill="1" applyBorder="1" applyAlignment="1">
      <alignment horizontal="left" vertical="top" wrapText="1"/>
    </xf>
    <xf numFmtId="0" fontId="4" fillId="0" borderId="1" xfId="0" applyFont="1" applyFill="1" applyBorder="1" applyAlignment="1">
      <alignment horizontal="left" vertical="top" wrapText="1"/>
    </xf>
    <xf numFmtId="14" fontId="3"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xf numFmtId="9" fontId="2" fillId="4" borderId="7" xfId="1" applyNumberFormat="1" applyFont="1" applyFill="1" applyBorder="1" applyAlignment="1" applyProtection="1">
      <alignment horizontal="left" vertical="top" wrapText="1"/>
      <protection hidden="1"/>
    </xf>
    <xf numFmtId="9" fontId="2" fillId="4" borderId="4" xfId="1" applyNumberFormat="1" applyFont="1" applyFill="1" applyBorder="1" applyAlignment="1" applyProtection="1">
      <alignment horizontal="left" vertical="top" wrapText="1"/>
      <protection hidden="1"/>
    </xf>
    <xf numFmtId="9" fontId="2" fillId="4" borderId="9"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left" vertical="top" wrapText="1"/>
      <protection hidden="1"/>
    </xf>
    <xf numFmtId="9" fontId="2" fillId="4" borderId="8" xfId="1" applyNumberFormat="1" applyFont="1" applyFill="1" applyBorder="1" applyAlignment="1" applyProtection="1">
      <alignment horizontal="left" vertical="top" wrapText="1"/>
      <protection hidden="1"/>
    </xf>
    <xf numFmtId="9" fontId="2" fillId="4" borderId="13" xfId="1" applyNumberFormat="1" applyFont="1" applyFill="1" applyBorder="1" applyAlignment="1" applyProtection="1">
      <alignment horizontal="left" vertical="top" wrapText="1"/>
      <protection hidden="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340179</xdr:colOff>
      <xdr:row>15</xdr:row>
      <xdr:rowOff>176892</xdr:rowOff>
    </xdr:from>
    <xdr:to>
      <xdr:col>13</xdr:col>
      <xdr:colOff>374940</xdr:colOff>
      <xdr:row>17</xdr:row>
      <xdr:rowOff>306011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01893" y="8681356"/>
          <a:ext cx="4933333" cy="1190476"/>
        </a:xfrm>
        <a:prstGeom prst="rect">
          <a:avLst/>
        </a:prstGeom>
      </xdr:spPr>
    </xdr:pic>
    <xdr:clientData/>
  </xdr:twoCellAnchor>
  <xdr:twoCellAnchor>
    <xdr:from>
      <xdr:col>8</xdr:col>
      <xdr:colOff>430877</xdr:colOff>
      <xdr:row>112</xdr:row>
      <xdr:rowOff>338940</xdr:rowOff>
    </xdr:from>
    <xdr:to>
      <xdr:col>18</xdr:col>
      <xdr:colOff>27213</xdr:colOff>
      <xdr:row>125</xdr:row>
      <xdr:rowOff>204107</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9843818" y="48288911"/>
          <a:ext cx="7485277" cy="1173854"/>
          <a:chOff x="4450587" y="2130719"/>
          <a:chExt cx="6981924" cy="280470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450587" y="2130719"/>
            <a:ext cx="6981924" cy="2804708"/>
          </a:xfrm>
          <a:prstGeom prst="rect">
            <a:avLst/>
          </a:prstGeom>
        </xdr:spPr>
      </xdr:pic>
      <xdr:sp macro="" textlink="">
        <xdr:nvSpPr>
          <xdr:cNvPr id="4" name="Rectangle 3">
            <a:extLst>
              <a:ext uri="{FF2B5EF4-FFF2-40B4-BE49-F238E27FC236}">
                <a16:creationId xmlns:a16="http://schemas.microsoft.com/office/drawing/2014/main" id="{00000000-0008-0000-0000-000004000000}"/>
              </a:ext>
            </a:extLst>
          </xdr:cNvPr>
          <xdr:cNvSpPr/>
        </xdr:nvSpPr>
        <xdr:spPr>
          <a:xfrm>
            <a:off x="8216313" y="4333475"/>
            <a:ext cx="224118" cy="14967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Rectangle 5">
            <a:extLst>
              <a:ext uri="{FF2B5EF4-FFF2-40B4-BE49-F238E27FC236}">
                <a16:creationId xmlns:a16="http://schemas.microsoft.com/office/drawing/2014/main" id="{00000000-0008-0000-0000-000006000000}"/>
              </a:ext>
            </a:extLst>
          </xdr:cNvPr>
          <xdr:cNvSpPr/>
        </xdr:nvSpPr>
        <xdr:spPr>
          <a:xfrm>
            <a:off x="10433246" y="4336997"/>
            <a:ext cx="402841" cy="1565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 name="Rectangle 6">
            <a:extLst>
              <a:ext uri="{FF2B5EF4-FFF2-40B4-BE49-F238E27FC236}">
                <a16:creationId xmlns:a16="http://schemas.microsoft.com/office/drawing/2014/main" id="{00000000-0008-0000-0000-000007000000}"/>
              </a:ext>
            </a:extLst>
          </xdr:cNvPr>
          <xdr:cNvSpPr/>
        </xdr:nvSpPr>
        <xdr:spPr>
          <a:xfrm>
            <a:off x="9368118" y="4321309"/>
            <a:ext cx="365883" cy="1610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2</xdr:col>
      <xdr:colOff>104203</xdr:colOff>
      <xdr:row>308</xdr:row>
      <xdr:rowOff>217713</xdr:rowOff>
    </xdr:from>
    <xdr:to>
      <xdr:col>5</xdr:col>
      <xdr:colOff>1058670</xdr:colOff>
      <xdr:row>331</xdr:row>
      <xdr:rowOff>244929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2444632" y="92719070"/>
          <a:ext cx="4465109" cy="5973537"/>
        </a:xfrm>
        <a:prstGeom prst="rect">
          <a:avLst/>
        </a:prstGeom>
        <a:ln>
          <a:solidFill>
            <a:schemeClr val="tx1"/>
          </a:solidFill>
        </a:ln>
      </xdr:spPr>
    </xdr:pic>
    <xdr:clientData/>
  </xdr:twoCellAnchor>
  <xdr:twoCellAnchor>
    <xdr:from>
      <xdr:col>1</xdr:col>
      <xdr:colOff>653142</xdr:colOff>
      <xdr:row>332</xdr:row>
      <xdr:rowOff>148880</xdr:rowOff>
    </xdr:from>
    <xdr:to>
      <xdr:col>6</xdr:col>
      <xdr:colOff>476249</xdr:colOff>
      <xdr:row>355</xdr:row>
      <xdr:rowOff>190500</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829760" y="71978586"/>
          <a:ext cx="5706195" cy="5969532"/>
          <a:chOff x="904876" y="104108154"/>
          <a:chExt cx="4324349" cy="4822442"/>
        </a:xfrm>
      </xdr:grpSpPr>
      <xdr:grpSp>
        <xdr:nvGrpSpPr>
          <xdr:cNvPr id="11" name="Group 10">
            <a:extLst>
              <a:ext uri="{FF2B5EF4-FFF2-40B4-BE49-F238E27FC236}">
                <a16:creationId xmlns:a16="http://schemas.microsoft.com/office/drawing/2014/main" id="{00000000-0008-0000-0000-00000B000000}"/>
              </a:ext>
            </a:extLst>
          </xdr:cNvPr>
          <xdr:cNvGrpSpPr/>
        </xdr:nvGrpSpPr>
        <xdr:grpSpPr>
          <a:xfrm>
            <a:off x="904876" y="104108154"/>
            <a:ext cx="4324349" cy="4822442"/>
            <a:chOff x="908160" y="104790341"/>
            <a:chExt cx="4344056" cy="4822442"/>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a:off x="908160" y="104790341"/>
              <a:ext cx="4344056" cy="4822442"/>
            </a:xfrm>
            <a:prstGeom prst="rect">
              <a:avLst/>
            </a:prstGeom>
            <a:ln>
              <a:solidFill>
                <a:schemeClr val="tx1"/>
              </a:solidFill>
            </a:ln>
          </xdr:spPr>
        </xdr:pic>
        <xdr:sp macro="" textlink="">
          <xdr:nvSpPr>
            <xdr:cNvPr id="16" name="Rectangle 15">
              <a:extLst>
                <a:ext uri="{FF2B5EF4-FFF2-40B4-BE49-F238E27FC236}">
                  <a16:creationId xmlns:a16="http://schemas.microsoft.com/office/drawing/2014/main" id="{00000000-0008-0000-0000-000010000000}"/>
                </a:ext>
              </a:extLst>
            </xdr:cNvPr>
            <xdr:cNvSpPr/>
          </xdr:nvSpPr>
          <xdr:spPr>
            <a:xfrm rot="3416016">
              <a:off x="799994" y="106685524"/>
              <a:ext cx="2489404" cy="5058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rot="3399232">
              <a:off x="1719954" y="106574980"/>
              <a:ext cx="1451859"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ysClr val="windowText" lastClr="000000"/>
                  </a:solidFill>
                  <a:latin typeface="Times New Roman" panose="02020603050405020304" pitchFamily="18" charset="0"/>
                  <a:cs typeface="Times New Roman" panose="02020603050405020304" pitchFamily="18" charset="0"/>
                </a:rPr>
                <a:t>Building No.7</a:t>
              </a:r>
            </a:p>
          </xdr:txBody>
        </xdr:sp>
      </xdr:grpSp>
      <xdr:cxnSp macro="">
        <xdr:nvCxnSpPr>
          <xdr:cNvPr id="12" name="Straight Connector 11">
            <a:extLst>
              <a:ext uri="{FF2B5EF4-FFF2-40B4-BE49-F238E27FC236}">
                <a16:creationId xmlns:a16="http://schemas.microsoft.com/office/drawing/2014/main" id="{00000000-0008-0000-0000-00000C000000}"/>
              </a:ext>
            </a:extLst>
          </xdr:cNvPr>
          <xdr:cNvCxnSpPr>
            <a:stCxn id="16" idx="2"/>
            <a:endCxn id="16" idx="0"/>
          </xdr:cNvCxnSpPr>
        </xdr:nvCxnSpPr>
        <xdr:spPr>
          <a:xfrm flipV="1">
            <a:off x="1825273" y="106118880"/>
            <a:ext cx="421966" cy="274723"/>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0000-00000D000000}"/>
              </a:ext>
            </a:extLst>
          </xdr:cNvPr>
          <xdr:cNvSpPr txBox="1"/>
        </xdr:nvSpPr>
        <xdr:spPr>
          <a:xfrm rot="3477971">
            <a:off x="1293010" y="105530282"/>
            <a:ext cx="784791" cy="2990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latin typeface="Times New Roman" panose="02020603050405020304" pitchFamily="18" charset="0"/>
                <a:cs typeface="Times New Roman" panose="02020603050405020304" pitchFamily="18" charset="0"/>
              </a:rPr>
              <a:t>Wing A</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rot="3477971">
            <a:off x="1965202" y="106558426"/>
            <a:ext cx="774834" cy="2990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latin typeface="Times New Roman" panose="02020603050405020304" pitchFamily="18" charset="0"/>
                <a:cs typeface="Times New Roman" panose="02020603050405020304" pitchFamily="18" charset="0"/>
              </a:rPr>
              <a:t>Wing B</a:t>
            </a:r>
          </a:p>
        </xdr:txBody>
      </xdr:sp>
    </xdr:grpSp>
    <xdr:clientData/>
  </xdr:twoCellAnchor>
  <xdr:twoCellAnchor editAs="oneCell">
    <xdr:from>
      <xdr:col>2</xdr:col>
      <xdr:colOff>58512</xdr:colOff>
      <xdr:row>358</xdr:row>
      <xdr:rowOff>145675</xdr:rowOff>
    </xdr:from>
    <xdr:to>
      <xdr:col>5</xdr:col>
      <xdr:colOff>1143001</xdr:colOff>
      <xdr:row>371</xdr:row>
      <xdr:rowOff>11206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411747" y="78385146"/>
          <a:ext cx="4614342" cy="3216089"/>
        </a:xfrm>
        <a:prstGeom prst="rect">
          <a:avLst/>
        </a:prstGeom>
        <a:ln>
          <a:solidFill>
            <a:sysClr val="windowText" lastClr="000000"/>
          </a:solidFill>
        </a:ln>
      </xdr:spPr>
    </xdr:pic>
    <xdr:clientData/>
  </xdr:twoCellAnchor>
  <xdr:twoCellAnchor>
    <xdr:from>
      <xdr:col>1</xdr:col>
      <xdr:colOff>830036</xdr:colOff>
      <xdr:row>372</xdr:row>
      <xdr:rowOff>13608</xdr:rowOff>
    </xdr:from>
    <xdr:to>
      <xdr:col>6</xdr:col>
      <xdr:colOff>312963</xdr:colOff>
      <xdr:row>385</xdr:row>
      <xdr:rowOff>89648</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2006654" y="82152726"/>
          <a:ext cx="5366015" cy="3628304"/>
          <a:chOff x="665169" y="74952225"/>
          <a:chExt cx="4520262" cy="350520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665169" y="74952225"/>
            <a:ext cx="4520262" cy="3505200"/>
          </a:xfrm>
          <a:prstGeom prst="rect">
            <a:avLst/>
          </a:prstGeom>
          <a:ln>
            <a:solidFill>
              <a:sysClr val="windowText" lastClr="000000"/>
            </a:solidFill>
          </a:ln>
        </xdr:spPr>
      </xdr:pic>
      <xdr:sp macro="" textlink="">
        <xdr:nvSpPr>
          <xdr:cNvPr id="21" name="Rectangle 20">
            <a:extLst>
              <a:ext uri="{FF2B5EF4-FFF2-40B4-BE49-F238E27FC236}">
                <a16:creationId xmlns:a16="http://schemas.microsoft.com/office/drawing/2014/main" id="{00000000-0008-0000-0000-000015000000}"/>
              </a:ext>
            </a:extLst>
          </xdr:cNvPr>
          <xdr:cNvSpPr/>
        </xdr:nvSpPr>
        <xdr:spPr>
          <a:xfrm rot="2370021">
            <a:off x="2194517" y="76383152"/>
            <a:ext cx="1176939" cy="29626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8</xdr:col>
      <xdr:colOff>560615</xdr:colOff>
      <xdr:row>264</xdr:row>
      <xdr:rowOff>0</xdr:rowOff>
    </xdr:from>
    <xdr:to>
      <xdr:col>23</xdr:col>
      <xdr:colOff>462643</xdr:colOff>
      <xdr:row>303</xdr:row>
      <xdr:rowOff>250526</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9973556" y="54303706"/>
          <a:ext cx="9001205" cy="10302202"/>
          <a:chOff x="166007" y="78662893"/>
          <a:chExt cx="9086850" cy="10333419"/>
        </a:xfrm>
      </xdr:grpSpPr>
      <xdr:pic>
        <xdr:nvPicPr>
          <xdr:cNvPr id="22" name="Picture 21" descr="https://vsjcllp.vsjadon.com/upload/insp-206722-1525.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803321" y="84786106"/>
            <a:ext cx="3156857" cy="42047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06722-843.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66007" y="78665613"/>
            <a:ext cx="4481797" cy="59695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06722-851.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789714" y="78662893"/>
            <a:ext cx="4463143" cy="59695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06722-1512.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502227" y="84791550"/>
            <a:ext cx="3156857" cy="42047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1397373</xdr:colOff>
      <xdr:row>260</xdr:row>
      <xdr:rowOff>237726</xdr:rowOff>
    </xdr:from>
    <xdr:to>
      <xdr:col>22</xdr:col>
      <xdr:colOff>534451</xdr:colOff>
      <xdr:row>295</xdr:row>
      <xdr:rowOff>225292</xdr:rowOff>
    </xdr:to>
    <xdr:grpSp>
      <xdr:nvGrpSpPr>
        <xdr:cNvPr id="33" name="Group 32">
          <a:extLst>
            <a:ext uri="{FF2B5EF4-FFF2-40B4-BE49-F238E27FC236}">
              <a16:creationId xmlns:a16="http://schemas.microsoft.com/office/drawing/2014/main" id="{00000000-0008-0000-0000-000021000000}"/>
            </a:ext>
          </a:extLst>
        </xdr:cNvPr>
        <xdr:cNvGrpSpPr/>
      </xdr:nvGrpSpPr>
      <xdr:grpSpPr>
        <a:xfrm>
          <a:off x="10810314" y="52961402"/>
          <a:ext cx="7631137" cy="9557390"/>
          <a:chOff x="781050" y="78771751"/>
          <a:chExt cx="7586313" cy="9587004"/>
        </a:xfrm>
      </xdr:grpSpPr>
      <xdr:pic>
        <xdr:nvPicPr>
          <xdr:cNvPr id="27" name="Picture 26" descr="https://vsjcllp.vsjadon.com/upload/insp-214238-1525.jpg">
            <a:extLst>
              <a:ext uri="{FF2B5EF4-FFF2-40B4-BE49-F238E27FC236}">
                <a16:creationId xmlns:a16="http://schemas.microsoft.com/office/drawing/2014/main" id="{00000000-0008-0000-0000-00001B000000}"/>
              </a:ext>
            </a:extLst>
          </xdr:cNvPr>
          <xdr:cNvPicPr>
            <a:picLocks noChangeAspect="1" noChangeArrowheads="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4612821" y="86155439"/>
            <a:ext cx="2864027" cy="21957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14238-843.jpg">
            <a:extLst>
              <a:ext uri="{FF2B5EF4-FFF2-40B4-BE49-F238E27FC236}">
                <a16:creationId xmlns:a16="http://schemas.microsoft.com/office/drawing/2014/main" id="{00000000-0008-0000-0000-00001C000000}"/>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1315811" y="78771751"/>
            <a:ext cx="3183810" cy="42998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14238-845.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4626428" y="83178197"/>
            <a:ext cx="3740935"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14238-849.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781050" y="83182279"/>
            <a:ext cx="3740933"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14238-851.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616904" y="78771751"/>
            <a:ext cx="3183811" cy="43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14238-925.jp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1632857" y="86153851"/>
            <a:ext cx="2874638" cy="22049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728382</xdr:colOff>
      <xdr:row>263</xdr:row>
      <xdr:rowOff>190500</xdr:rowOff>
    </xdr:from>
    <xdr:to>
      <xdr:col>23</xdr:col>
      <xdr:colOff>11204</xdr:colOff>
      <xdr:row>295</xdr:row>
      <xdr:rowOff>179295</xdr:rowOff>
    </xdr:to>
    <xdr:grpSp>
      <xdr:nvGrpSpPr>
        <xdr:cNvPr id="34" name="Group 33">
          <a:extLst>
            <a:ext uri="{FF2B5EF4-FFF2-40B4-BE49-F238E27FC236}">
              <a16:creationId xmlns:a16="http://schemas.microsoft.com/office/drawing/2014/main" id="{E7AC83F2-29E2-4602-AE60-29990B0D950F}"/>
            </a:ext>
          </a:extLst>
        </xdr:cNvPr>
        <xdr:cNvGrpSpPr/>
      </xdr:nvGrpSpPr>
      <xdr:grpSpPr>
        <a:xfrm>
          <a:off x="10141323" y="54236471"/>
          <a:ext cx="8381999" cy="8236324"/>
          <a:chOff x="414529" y="251011"/>
          <a:chExt cx="6193407" cy="6638260"/>
        </a:xfrm>
      </xdr:grpSpPr>
      <xdr:pic>
        <xdr:nvPicPr>
          <xdr:cNvPr id="35" name="Picture 34">
            <a:extLst>
              <a:ext uri="{FF2B5EF4-FFF2-40B4-BE49-F238E27FC236}">
                <a16:creationId xmlns:a16="http://schemas.microsoft.com/office/drawing/2014/main" id="{619DCAD5-6250-4BF3-B539-69D0EE3A84B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rot="5400000">
            <a:off x="33142" y="731012"/>
            <a:ext cx="3840000" cy="2880000"/>
          </a:xfrm>
          <a:prstGeom prst="rect">
            <a:avLst/>
          </a:prstGeom>
          <a:ln>
            <a:solidFill>
              <a:schemeClr val="tx1"/>
            </a:solidFill>
          </a:ln>
        </xdr:spPr>
      </xdr:pic>
      <xdr:pic>
        <xdr:nvPicPr>
          <xdr:cNvPr id="36" name="Picture 35">
            <a:extLst>
              <a:ext uri="{FF2B5EF4-FFF2-40B4-BE49-F238E27FC236}">
                <a16:creationId xmlns:a16="http://schemas.microsoft.com/office/drawing/2014/main" id="{19258404-9AF1-40D8-960E-800C4A769F7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rot="5400000">
            <a:off x="84529" y="4579270"/>
            <a:ext cx="2640000" cy="1980000"/>
          </a:xfrm>
          <a:prstGeom prst="rect">
            <a:avLst/>
          </a:prstGeom>
          <a:ln>
            <a:solidFill>
              <a:schemeClr val="tx1"/>
            </a:solidFill>
          </a:ln>
        </xdr:spPr>
      </xdr:pic>
      <xdr:pic>
        <xdr:nvPicPr>
          <xdr:cNvPr id="37" name="Picture 36">
            <a:extLst>
              <a:ext uri="{FF2B5EF4-FFF2-40B4-BE49-F238E27FC236}">
                <a16:creationId xmlns:a16="http://schemas.microsoft.com/office/drawing/2014/main" id="{228FEC99-8038-4B3C-816D-49547B8169B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rot="5400000">
            <a:off x="3078988" y="731011"/>
            <a:ext cx="3840000" cy="2880000"/>
          </a:xfrm>
          <a:prstGeom prst="rect">
            <a:avLst/>
          </a:prstGeom>
          <a:ln>
            <a:solidFill>
              <a:schemeClr val="tx1"/>
            </a:solidFill>
          </a:ln>
        </xdr:spPr>
      </xdr:pic>
      <xdr:pic>
        <xdr:nvPicPr>
          <xdr:cNvPr id="38" name="Picture 37">
            <a:extLst>
              <a:ext uri="{FF2B5EF4-FFF2-40B4-BE49-F238E27FC236}">
                <a16:creationId xmlns:a16="http://schemas.microsoft.com/office/drawing/2014/main" id="{7062BE9B-D074-475B-AD6E-40A95418E95A}"/>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rot="16200000">
            <a:off x="2191232" y="4579271"/>
            <a:ext cx="2640000" cy="1980000"/>
          </a:xfrm>
          <a:prstGeom prst="rect">
            <a:avLst/>
          </a:prstGeom>
          <a:ln>
            <a:solidFill>
              <a:schemeClr val="tx1"/>
            </a:solidFill>
          </a:ln>
        </xdr:spPr>
      </xdr:pic>
      <xdr:pic>
        <xdr:nvPicPr>
          <xdr:cNvPr id="39" name="Picture 38">
            <a:extLst>
              <a:ext uri="{FF2B5EF4-FFF2-40B4-BE49-F238E27FC236}">
                <a16:creationId xmlns:a16="http://schemas.microsoft.com/office/drawing/2014/main" id="{0280F9C4-0B0B-4A7F-A662-FA1AF7A2EECA}"/>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rot="5400000">
            <a:off x="4297936" y="4579270"/>
            <a:ext cx="2640000" cy="1980000"/>
          </a:xfrm>
          <a:prstGeom prst="rect">
            <a:avLst/>
          </a:prstGeom>
          <a:ln>
            <a:solidFill>
              <a:schemeClr val="tx1"/>
            </a:solidFill>
          </a:ln>
        </xdr:spPr>
      </xdr:pic>
    </xdr:grpSp>
    <xdr:clientData/>
  </xdr:twoCellAnchor>
  <xdr:twoCellAnchor>
    <xdr:from>
      <xdr:col>0</xdr:col>
      <xdr:colOff>336176</xdr:colOff>
      <xdr:row>263</xdr:row>
      <xdr:rowOff>246529</xdr:rowOff>
    </xdr:from>
    <xdr:to>
      <xdr:col>7</xdr:col>
      <xdr:colOff>930088</xdr:colOff>
      <xdr:row>302</xdr:row>
      <xdr:rowOff>67236</xdr:rowOff>
    </xdr:to>
    <xdr:grpSp>
      <xdr:nvGrpSpPr>
        <xdr:cNvPr id="40" name="Group 39">
          <a:extLst>
            <a:ext uri="{FF2B5EF4-FFF2-40B4-BE49-F238E27FC236}">
              <a16:creationId xmlns:a16="http://schemas.microsoft.com/office/drawing/2014/main" id="{FBDD48E1-B12B-4AC9-96E4-707F1F736634}"/>
            </a:ext>
          </a:extLst>
        </xdr:cNvPr>
        <xdr:cNvGrpSpPr/>
      </xdr:nvGrpSpPr>
      <xdr:grpSpPr>
        <a:xfrm>
          <a:off x="336176" y="54292500"/>
          <a:ext cx="8830236" cy="9872383"/>
          <a:chOff x="3572" y="0"/>
          <a:chExt cx="6359012" cy="6236972"/>
        </a:xfrm>
      </xdr:grpSpPr>
      <xdr:pic>
        <xdr:nvPicPr>
          <xdr:cNvPr id="41" name="Picture 40">
            <a:extLst>
              <a:ext uri="{FF2B5EF4-FFF2-40B4-BE49-F238E27FC236}">
                <a16:creationId xmlns:a16="http://schemas.microsoft.com/office/drawing/2014/main" id="{9981653D-0278-4439-AD0D-39AA28DA655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572" y="1"/>
            <a:ext cx="3060000" cy="4084254"/>
          </a:xfrm>
          <a:prstGeom prst="rect">
            <a:avLst/>
          </a:prstGeom>
          <a:ln>
            <a:solidFill>
              <a:schemeClr val="tx1"/>
            </a:solidFill>
          </a:ln>
        </xdr:spPr>
      </xdr:pic>
      <xdr:pic>
        <xdr:nvPicPr>
          <xdr:cNvPr id="42" name="Picture 41">
            <a:extLst>
              <a:ext uri="{FF2B5EF4-FFF2-40B4-BE49-F238E27FC236}">
                <a16:creationId xmlns:a16="http://schemas.microsoft.com/office/drawing/2014/main" id="{16D4C687-6DAE-43F0-86E3-8B629E8B0BFC}"/>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302584" y="0"/>
            <a:ext cx="3060000" cy="4084254"/>
          </a:xfrm>
          <a:prstGeom prst="rect">
            <a:avLst/>
          </a:prstGeom>
          <a:ln>
            <a:solidFill>
              <a:schemeClr val="tx1"/>
            </a:solidFill>
          </a:ln>
        </xdr:spPr>
      </xdr:pic>
      <xdr:pic>
        <xdr:nvPicPr>
          <xdr:cNvPr id="43" name="Picture 42">
            <a:extLst>
              <a:ext uri="{FF2B5EF4-FFF2-40B4-BE49-F238E27FC236}">
                <a16:creationId xmlns:a16="http://schemas.microsoft.com/office/drawing/2014/main" id="{9D71BF3F-57DA-4E70-97E0-1BFC1607618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58178" y="4256972"/>
            <a:ext cx="2637556" cy="1980000"/>
          </a:xfrm>
          <a:prstGeom prst="rect">
            <a:avLst/>
          </a:prstGeom>
          <a:ln>
            <a:solidFill>
              <a:schemeClr val="tx1"/>
            </a:solidFill>
          </a:ln>
        </xdr:spPr>
      </xdr:pic>
      <xdr:pic>
        <xdr:nvPicPr>
          <xdr:cNvPr id="44" name="Picture 43">
            <a:extLst>
              <a:ext uri="{FF2B5EF4-FFF2-40B4-BE49-F238E27FC236}">
                <a16:creationId xmlns:a16="http://schemas.microsoft.com/office/drawing/2014/main" id="{D2113674-9F58-4DCF-9922-EA1C452A66D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027714" y="4256972"/>
            <a:ext cx="1483453" cy="1980000"/>
          </a:xfrm>
          <a:prstGeom prst="rect">
            <a:avLst/>
          </a:prstGeom>
          <a:ln>
            <a:solidFill>
              <a:schemeClr val="tx1"/>
            </a:solidFill>
          </a:ln>
        </xdr:spPr>
      </xdr:pic>
      <xdr:pic>
        <xdr:nvPicPr>
          <xdr:cNvPr id="45" name="Picture 44">
            <a:extLst>
              <a:ext uri="{FF2B5EF4-FFF2-40B4-BE49-F238E27FC236}">
                <a16:creationId xmlns:a16="http://schemas.microsoft.com/office/drawing/2014/main" id="{69FE9794-EAD3-4910-9088-BA04BBEBC74D}"/>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4643147" y="4256972"/>
            <a:ext cx="1483453" cy="19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USCApJpAec9bP47k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99"/>
  <sheetViews>
    <sheetView tabSelected="1" view="pageBreakPreview" topLeftCell="A115" zoomScale="85" zoomScaleNormal="85" zoomScaleSheetLayoutView="85" zoomScalePageLayoutView="70" workbookViewId="0">
      <selection activeCell="I252" sqref="I252"/>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9" t="s">
        <v>36</v>
      </c>
      <c r="B1" s="130"/>
      <c r="C1" s="130"/>
      <c r="D1" s="130"/>
      <c r="E1" s="130"/>
      <c r="F1" s="130"/>
      <c r="G1" s="130"/>
      <c r="H1" s="131"/>
    </row>
    <row r="2" spans="1:11" ht="42" customHeight="1" x14ac:dyDescent="0.25">
      <c r="A2" s="136" t="s">
        <v>9</v>
      </c>
      <c r="B2" s="136"/>
      <c r="C2" s="120" t="s">
        <v>84</v>
      </c>
      <c r="D2" s="120"/>
      <c r="E2" s="136" t="s">
        <v>11</v>
      </c>
      <c r="F2" s="136"/>
      <c r="G2" s="172">
        <v>45874</v>
      </c>
      <c r="H2" s="172"/>
      <c r="I2" s="96">
        <v>45798</v>
      </c>
      <c r="J2" s="182">
        <f>I3-I2</f>
        <v>79</v>
      </c>
      <c r="K2" s="183"/>
    </row>
    <row r="3" spans="1:11" ht="64.5" customHeight="1" x14ac:dyDescent="0.25">
      <c r="A3" s="136" t="s">
        <v>37</v>
      </c>
      <c r="B3" s="136"/>
      <c r="C3" s="184" t="s">
        <v>309</v>
      </c>
      <c r="D3" s="120"/>
      <c r="E3" s="180" t="s">
        <v>161</v>
      </c>
      <c r="F3" s="180"/>
      <c r="G3" s="181" t="s">
        <v>391</v>
      </c>
      <c r="H3" s="181"/>
      <c r="I3" s="96">
        <v>45877</v>
      </c>
      <c r="J3" s="1" t="s">
        <v>381</v>
      </c>
    </row>
    <row r="4" spans="1:11" ht="43.5" customHeight="1" x14ac:dyDescent="0.25">
      <c r="A4" s="180" t="s">
        <v>34</v>
      </c>
      <c r="B4" s="180"/>
      <c r="C4" s="120" t="s">
        <v>389</v>
      </c>
      <c r="D4" s="120"/>
      <c r="E4" s="136" t="s">
        <v>31</v>
      </c>
      <c r="F4" s="136"/>
      <c r="G4" s="172">
        <f ca="1">TODAY()</f>
        <v>45877</v>
      </c>
      <c r="H4" s="172"/>
      <c r="J4" s="1" t="s">
        <v>380</v>
      </c>
    </row>
    <row r="5" spans="1:11" ht="20.25" x14ac:dyDescent="0.25">
      <c r="A5" s="150" t="s">
        <v>38</v>
      </c>
      <c r="B5" s="150"/>
      <c r="C5" s="150"/>
      <c r="D5" s="150"/>
      <c r="E5" s="150"/>
      <c r="F5" s="150"/>
      <c r="G5" s="150"/>
      <c r="H5" s="150"/>
      <c r="I5" s="120" t="s">
        <v>377</v>
      </c>
      <c r="J5" s="120"/>
    </row>
    <row r="6" spans="1:11" ht="43.5" customHeight="1" x14ac:dyDescent="0.25">
      <c r="A6" s="136" t="s">
        <v>28</v>
      </c>
      <c r="B6" s="136"/>
      <c r="C6" s="120" t="s">
        <v>90</v>
      </c>
      <c r="D6" s="120"/>
      <c r="E6" s="136" t="s">
        <v>33</v>
      </c>
      <c r="F6" s="136"/>
      <c r="G6" s="120" t="s">
        <v>388</v>
      </c>
      <c r="H6" s="120"/>
    </row>
    <row r="7" spans="1:11" ht="40.5" customHeight="1" x14ac:dyDescent="0.25">
      <c r="A7" s="136" t="s">
        <v>40</v>
      </c>
      <c r="B7" s="136"/>
      <c r="C7" s="120" t="s">
        <v>307</v>
      </c>
      <c r="D7" s="120"/>
      <c r="E7" s="136" t="s">
        <v>41</v>
      </c>
      <c r="F7" s="136"/>
      <c r="G7" s="120" t="s">
        <v>307</v>
      </c>
      <c r="H7" s="120"/>
    </row>
    <row r="8" spans="1:11" ht="43.5" customHeight="1" x14ac:dyDescent="0.25">
      <c r="A8" s="136" t="s">
        <v>42</v>
      </c>
      <c r="B8" s="136"/>
      <c r="C8" s="158" t="s">
        <v>308</v>
      </c>
      <c r="D8" s="158"/>
      <c r="E8" s="158"/>
      <c r="F8" s="158"/>
      <c r="G8" s="158"/>
      <c r="H8" s="158"/>
    </row>
    <row r="9" spans="1:11" ht="63" customHeight="1" x14ac:dyDescent="0.25">
      <c r="A9" s="123" t="s">
        <v>152</v>
      </c>
      <c r="B9" s="47" t="s">
        <v>39</v>
      </c>
      <c r="C9" s="120" t="s">
        <v>385</v>
      </c>
      <c r="D9" s="120"/>
      <c r="E9" s="120"/>
      <c r="F9" s="120"/>
      <c r="G9" s="120"/>
      <c r="H9" s="120"/>
    </row>
    <row r="10" spans="1:11" ht="101.25" customHeight="1" x14ac:dyDescent="0.25">
      <c r="A10" s="123"/>
      <c r="B10" s="47" t="s">
        <v>10</v>
      </c>
      <c r="C10" s="120" t="s">
        <v>310</v>
      </c>
      <c r="D10" s="120"/>
      <c r="E10" s="120"/>
      <c r="F10" s="120"/>
      <c r="G10" s="120"/>
      <c r="H10" s="120"/>
    </row>
    <row r="11" spans="1:11" ht="42" customHeight="1" x14ac:dyDescent="0.25">
      <c r="A11" s="123"/>
      <c r="B11" s="47" t="s">
        <v>5</v>
      </c>
      <c r="C11" s="120" t="s">
        <v>311</v>
      </c>
      <c r="D11" s="120"/>
      <c r="E11" s="120"/>
      <c r="F11" s="120"/>
      <c r="G11" s="120"/>
      <c r="H11" s="120"/>
    </row>
    <row r="12" spans="1:11" ht="40.5" customHeight="1" x14ac:dyDescent="0.25">
      <c r="A12" s="136" t="s">
        <v>32</v>
      </c>
      <c r="B12" s="136"/>
      <c r="C12" s="120" t="s">
        <v>378</v>
      </c>
      <c r="D12" s="120"/>
      <c r="E12" s="120"/>
      <c r="F12" s="120"/>
      <c r="G12" s="120"/>
      <c r="H12" s="120"/>
    </row>
    <row r="13" spans="1:11" ht="20.100000000000001" customHeight="1" x14ac:dyDescent="0.25">
      <c r="A13" s="150" t="s">
        <v>43</v>
      </c>
      <c r="B13" s="150"/>
      <c r="C13" s="150"/>
      <c r="D13" s="150"/>
      <c r="E13" s="150"/>
      <c r="F13" s="150"/>
      <c r="G13" s="150"/>
      <c r="H13" s="150"/>
    </row>
    <row r="14" spans="1:11" ht="41.25" customHeight="1" x14ac:dyDescent="0.25">
      <c r="A14" s="136" t="s">
        <v>26</v>
      </c>
      <c r="B14" s="136" t="s">
        <v>4</v>
      </c>
      <c r="C14" s="120" t="s">
        <v>85</v>
      </c>
      <c r="D14" s="120"/>
      <c r="E14" s="136" t="s">
        <v>44</v>
      </c>
      <c r="F14" s="136" t="s">
        <v>4</v>
      </c>
      <c r="G14" s="120" t="s">
        <v>312</v>
      </c>
      <c r="H14" s="120"/>
    </row>
    <row r="15" spans="1:11" ht="41.25" customHeight="1" x14ac:dyDescent="0.25">
      <c r="A15" s="136" t="s">
        <v>45</v>
      </c>
      <c r="B15" s="136" t="s">
        <v>4</v>
      </c>
      <c r="C15" s="120" t="s">
        <v>313</v>
      </c>
      <c r="D15" s="120"/>
      <c r="E15" s="136" t="s">
        <v>46</v>
      </c>
      <c r="F15" s="136" t="s">
        <v>4</v>
      </c>
      <c r="G15" s="172">
        <v>48213</v>
      </c>
      <c r="H15" s="120"/>
    </row>
    <row r="16" spans="1:11" ht="41.25" customHeight="1" x14ac:dyDescent="0.25">
      <c r="A16" s="136" t="s">
        <v>47</v>
      </c>
      <c r="B16" s="136" t="s">
        <v>4</v>
      </c>
      <c r="C16" s="172">
        <v>45306</v>
      </c>
      <c r="D16" s="120"/>
      <c r="E16" s="136" t="s">
        <v>48</v>
      </c>
      <c r="F16" s="136" t="s">
        <v>4</v>
      </c>
      <c r="G16" s="171">
        <v>45292</v>
      </c>
      <c r="H16" s="120"/>
    </row>
    <row r="17" spans="1:9" ht="41.25" customHeight="1" x14ac:dyDescent="0.25">
      <c r="A17" s="136" t="s">
        <v>49</v>
      </c>
      <c r="B17" s="136" t="s">
        <v>4</v>
      </c>
      <c r="C17" s="172">
        <v>48213</v>
      </c>
      <c r="D17" s="120"/>
      <c r="E17" s="136" t="s">
        <v>50</v>
      </c>
      <c r="F17" s="136" t="s">
        <v>4</v>
      </c>
      <c r="G17" s="120" t="s">
        <v>314</v>
      </c>
      <c r="H17" s="120"/>
    </row>
    <row r="18" spans="1:9" ht="41.25" customHeight="1" x14ac:dyDescent="0.25">
      <c r="A18" s="136" t="s">
        <v>51</v>
      </c>
      <c r="B18" s="136" t="s">
        <v>4</v>
      </c>
      <c r="C18" s="12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20"/>
      <c r="E18" s="136" t="s">
        <v>93</v>
      </c>
      <c r="F18" s="136" t="s">
        <v>4</v>
      </c>
      <c r="G18" s="120">
        <v>13170</v>
      </c>
      <c r="H18" s="120"/>
    </row>
    <row r="19" spans="1:9" ht="41.25" customHeight="1" x14ac:dyDescent="0.25">
      <c r="A19" s="136" t="s">
        <v>52</v>
      </c>
      <c r="B19" s="136" t="s">
        <v>4</v>
      </c>
      <c r="C19" s="120">
        <f>14487/G19</f>
        <v>1.1000000000000001</v>
      </c>
      <c r="D19" s="120"/>
      <c r="E19" s="136" t="s">
        <v>247</v>
      </c>
      <c r="F19" s="136" t="s">
        <v>4</v>
      </c>
      <c r="G19" s="120">
        <v>13170</v>
      </c>
      <c r="H19" s="120"/>
    </row>
    <row r="20" spans="1:9" ht="41.25" customHeight="1" x14ac:dyDescent="0.25">
      <c r="A20" s="136" t="s">
        <v>91</v>
      </c>
      <c r="B20" s="136" t="s">
        <v>4</v>
      </c>
      <c r="C20" s="120">
        <v>84772.36</v>
      </c>
      <c r="D20" s="120"/>
      <c r="E20" s="136" t="s">
        <v>92</v>
      </c>
      <c r="F20" s="136" t="s">
        <v>4</v>
      </c>
      <c r="G20" s="120">
        <v>84772.36</v>
      </c>
      <c r="H20" s="120"/>
    </row>
    <row r="21" spans="1:9" ht="41.25" customHeight="1" x14ac:dyDescent="0.25">
      <c r="A21" s="180" t="s">
        <v>54</v>
      </c>
      <c r="B21" s="180" t="s">
        <v>4</v>
      </c>
      <c r="C21" s="120" t="s">
        <v>379</v>
      </c>
      <c r="D21" s="120"/>
      <c r="E21" s="136" t="s">
        <v>53</v>
      </c>
      <c r="F21" s="136" t="s">
        <v>4</v>
      </c>
      <c r="G21" s="120" t="s">
        <v>316</v>
      </c>
      <c r="H21" s="120"/>
      <c r="I21" s="1" t="s">
        <v>315</v>
      </c>
    </row>
    <row r="22" spans="1:9" ht="41.25" customHeight="1" x14ac:dyDescent="0.25">
      <c r="A22" s="136" t="s">
        <v>165</v>
      </c>
      <c r="B22" s="136" t="s">
        <v>4</v>
      </c>
      <c r="C22" s="120" t="s">
        <v>317</v>
      </c>
      <c r="D22" s="120"/>
      <c r="E22" s="136" t="s">
        <v>166</v>
      </c>
      <c r="F22" s="136" t="s">
        <v>4</v>
      </c>
      <c r="G22" s="120" t="s">
        <v>319</v>
      </c>
      <c r="H22" s="120"/>
    </row>
    <row r="23" spans="1:9" ht="38.25" customHeight="1" x14ac:dyDescent="0.25">
      <c r="A23" s="136" t="s">
        <v>163</v>
      </c>
      <c r="B23" s="136" t="s">
        <v>4</v>
      </c>
      <c r="C23" s="144" t="s">
        <v>318</v>
      </c>
      <c r="D23" s="145"/>
      <c r="E23" s="145"/>
      <c r="F23" s="145"/>
      <c r="G23" s="145"/>
      <c r="H23" s="145"/>
    </row>
    <row r="24" spans="1:9" ht="66" customHeight="1" x14ac:dyDescent="0.25">
      <c r="A24" s="136" t="s">
        <v>24</v>
      </c>
      <c r="B24" s="136" t="s">
        <v>4</v>
      </c>
      <c r="C24" s="120" t="s">
        <v>320</v>
      </c>
      <c r="D24" s="120"/>
      <c r="E24" s="120"/>
      <c r="F24" s="120"/>
      <c r="G24" s="120"/>
      <c r="H24" s="120"/>
    </row>
    <row r="25" spans="1:9" ht="24" customHeight="1" x14ac:dyDescent="0.25">
      <c r="A25" s="150" t="s">
        <v>19</v>
      </c>
      <c r="B25" s="150"/>
      <c r="C25" s="150"/>
      <c r="D25" s="150"/>
      <c r="E25" s="150"/>
      <c r="F25" s="150"/>
      <c r="G25" s="150"/>
      <c r="H25" s="150"/>
    </row>
    <row r="26" spans="1:9" ht="43.5" customHeight="1" x14ac:dyDescent="0.25">
      <c r="A26" s="136" t="s">
        <v>25</v>
      </c>
      <c r="B26" s="136" t="s">
        <v>4</v>
      </c>
      <c r="C26" s="120" t="str">
        <f>IF(AND(G26="Upper"),"Developed","Developing")</f>
        <v>Developing</v>
      </c>
      <c r="D26" s="120"/>
      <c r="E26" s="136" t="s">
        <v>12</v>
      </c>
      <c r="F26" s="136" t="s">
        <v>4</v>
      </c>
      <c r="G26" s="120" t="s">
        <v>167</v>
      </c>
      <c r="H26" s="120"/>
    </row>
    <row r="27" spans="1:9" ht="43.5" customHeight="1" x14ac:dyDescent="0.25">
      <c r="A27" s="136" t="s">
        <v>13</v>
      </c>
      <c r="B27" s="136" t="s">
        <v>4</v>
      </c>
      <c r="C27" s="120" t="s">
        <v>97</v>
      </c>
      <c r="D27" s="120"/>
      <c r="E27" s="136" t="s">
        <v>153</v>
      </c>
      <c r="F27" s="136" t="s">
        <v>4</v>
      </c>
      <c r="G27" s="120" t="s">
        <v>324</v>
      </c>
      <c r="H27" s="120"/>
    </row>
    <row r="28" spans="1:9" ht="43.5" customHeight="1" x14ac:dyDescent="0.25">
      <c r="A28" s="136" t="s">
        <v>22</v>
      </c>
      <c r="B28" s="136" t="s">
        <v>4</v>
      </c>
      <c r="C28" s="120" t="s">
        <v>95</v>
      </c>
      <c r="D28" s="120"/>
      <c r="E28" s="136" t="s">
        <v>15</v>
      </c>
      <c r="F28" s="136" t="s">
        <v>4</v>
      </c>
      <c r="G28" s="120" t="s">
        <v>321</v>
      </c>
      <c r="H28" s="120"/>
    </row>
    <row r="29" spans="1:9" ht="43.5" customHeight="1" x14ac:dyDescent="0.25">
      <c r="A29" s="136" t="s">
        <v>106</v>
      </c>
      <c r="B29" s="136" t="s">
        <v>4</v>
      </c>
      <c r="C29" s="120" t="s">
        <v>322</v>
      </c>
      <c r="D29" s="120"/>
      <c r="E29" s="136" t="s">
        <v>107</v>
      </c>
      <c r="F29" s="136" t="s">
        <v>4</v>
      </c>
      <c r="G29" s="120" t="s">
        <v>108</v>
      </c>
      <c r="H29" s="120"/>
    </row>
    <row r="30" spans="1:9" ht="84" customHeight="1" x14ac:dyDescent="0.25">
      <c r="A30" s="136" t="s">
        <v>16</v>
      </c>
      <c r="B30" s="136" t="s">
        <v>4</v>
      </c>
      <c r="C30" s="120" t="s">
        <v>323</v>
      </c>
      <c r="D30" s="120"/>
      <c r="E30" s="136" t="s">
        <v>14</v>
      </c>
      <c r="F30" s="136" t="s">
        <v>4</v>
      </c>
      <c r="G30" s="120" t="s">
        <v>96</v>
      </c>
      <c r="H30" s="120"/>
    </row>
    <row r="31" spans="1:9" ht="20.25" x14ac:dyDescent="0.25">
      <c r="A31" s="136" t="s">
        <v>113</v>
      </c>
      <c r="B31" s="136" t="s">
        <v>4</v>
      </c>
      <c r="C31" s="120" t="s">
        <v>114</v>
      </c>
      <c r="D31" s="120"/>
      <c r="E31" s="136" t="s">
        <v>115</v>
      </c>
      <c r="F31" s="136" t="s">
        <v>4</v>
      </c>
      <c r="G31" s="120" t="s">
        <v>114</v>
      </c>
      <c r="H31" s="120"/>
    </row>
    <row r="32" spans="1:9" ht="21.75" customHeight="1" x14ac:dyDescent="0.25">
      <c r="A32" s="136" t="s">
        <v>116</v>
      </c>
      <c r="B32" s="136" t="s">
        <v>4</v>
      </c>
      <c r="C32" s="120" t="s">
        <v>114</v>
      </c>
      <c r="D32" s="120"/>
      <c r="E32" s="120"/>
      <c r="F32" s="120"/>
      <c r="G32" s="120"/>
      <c r="H32" s="120"/>
    </row>
    <row r="33" spans="1:15" ht="20.25" x14ac:dyDescent="0.25">
      <c r="A33" s="146" t="s">
        <v>35</v>
      </c>
      <c r="B33" s="146"/>
      <c r="C33" s="146"/>
      <c r="D33" s="146"/>
      <c r="E33" s="146"/>
      <c r="F33" s="146"/>
      <c r="G33" s="146"/>
      <c r="H33" s="146"/>
    </row>
    <row r="34" spans="1:15" ht="43.5" customHeight="1" x14ac:dyDescent="0.25">
      <c r="A34" s="136" t="s">
        <v>17</v>
      </c>
      <c r="B34" s="136"/>
      <c r="C34" s="120" t="s">
        <v>98</v>
      </c>
      <c r="D34" s="120"/>
      <c r="E34" s="136" t="s">
        <v>18</v>
      </c>
      <c r="F34" s="136" t="s">
        <v>4</v>
      </c>
      <c r="G34" s="120" t="s">
        <v>99</v>
      </c>
      <c r="H34" s="120"/>
    </row>
    <row r="35" spans="1:15" ht="43.5" customHeight="1" x14ac:dyDescent="0.25">
      <c r="A35" s="136" t="s">
        <v>21</v>
      </c>
      <c r="B35" s="136"/>
      <c r="C35" s="120" t="s">
        <v>99</v>
      </c>
      <c r="D35" s="120"/>
      <c r="E35" s="136" t="s">
        <v>30</v>
      </c>
      <c r="F35" s="136" t="s">
        <v>4</v>
      </c>
      <c r="G35" s="120" t="s">
        <v>99</v>
      </c>
      <c r="H35" s="120"/>
    </row>
    <row r="36" spans="1:15" ht="20.25" x14ac:dyDescent="0.25">
      <c r="A36" s="136" t="s">
        <v>29</v>
      </c>
      <c r="B36" s="136"/>
      <c r="C36" s="120" t="s">
        <v>100</v>
      </c>
      <c r="D36" s="120"/>
      <c r="E36" s="136" t="s">
        <v>20</v>
      </c>
      <c r="F36" s="136" t="s">
        <v>4</v>
      </c>
      <c r="G36" s="120" t="s">
        <v>101</v>
      </c>
      <c r="H36" s="120"/>
    </row>
    <row r="37" spans="1:15" ht="20.25" x14ac:dyDescent="0.25">
      <c r="A37" s="150" t="s">
        <v>0</v>
      </c>
      <c r="B37" s="150"/>
      <c r="C37" s="150"/>
      <c r="D37" s="150"/>
      <c r="E37" s="150"/>
      <c r="F37" s="150"/>
      <c r="G37" s="150"/>
      <c r="H37" s="150"/>
    </row>
    <row r="38" spans="1:15" ht="20.25" x14ac:dyDescent="0.25">
      <c r="A38" s="121" t="s">
        <v>0</v>
      </c>
      <c r="B38" s="121"/>
      <c r="C38" s="121" t="s">
        <v>232</v>
      </c>
      <c r="D38" s="121"/>
      <c r="E38" s="121"/>
      <c r="F38" s="121" t="s">
        <v>7</v>
      </c>
      <c r="G38" s="121"/>
      <c r="H38" s="121"/>
      <c r="J38" s="185" t="s">
        <v>1</v>
      </c>
      <c r="K38" s="186"/>
      <c r="L38" s="49" t="s">
        <v>6</v>
      </c>
      <c r="M38" s="185" t="s">
        <v>2</v>
      </c>
      <c r="N38" s="186"/>
      <c r="O38" s="49" t="s">
        <v>3</v>
      </c>
    </row>
    <row r="39" spans="1:15" ht="20.25" x14ac:dyDescent="0.25">
      <c r="A39" s="123" t="s">
        <v>2</v>
      </c>
      <c r="B39" s="123"/>
      <c r="C39" s="122" t="s">
        <v>325</v>
      </c>
      <c r="D39" s="122"/>
      <c r="E39" s="122"/>
      <c r="F39" s="122" t="s">
        <v>328</v>
      </c>
      <c r="G39" s="122"/>
      <c r="H39" s="122"/>
    </row>
    <row r="40" spans="1:15" ht="20.25" x14ac:dyDescent="0.25">
      <c r="A40" s="123" t="s">
        <v>3</v>
      </c>
      <c r="B40" s="123"/>
      <c r="C40" s="122" t="s">
        <v>326</v>
      </c>
      <c r="D40" s="122"/>
      <c r="E40" s="122"/>
      <c r="F40" s="122" t="s">
        <v>329</v>
      </c>
      <c r="G40" s="122"/>
      <c r="H40" s="122"/>
    </row>
    <row r="41" spans="1:15" ht="20.25" x14ac:dyDescent="0.25">
      <c r="A41" s="123" t="s">
        <v>1</v>
      </c>
      <c r="B41" s="123"/>
      <c r="C41" s="122" t="s">
        <v>326</v>
      </c>
      <c r="D41" s="122"/>
      <c r="E41" s="122"/>
      <c r="F41" s="122" t="s">
        <v>330</v>
      </c>
      <c r="G41" s="122"/>
      <c r="H41" s="122"/>
    </row>
    <row r="42" spans="1:15" ht="42" customHeight="1" x14ac:dyDescent="0.25">
      <c r="A42" s="123" t="s">
        <v>6</v>
      </c>
      <c r="B42" s="123"/>
      <c r="C42" s="122" t="s">
        <v>327</v>
      </c>
      <c r="D42" s="122"/>
      <c r="E42" s="122"/>
      <c r="F42" s="122" t="s">
        <v>331</v>
      </c>
      <c r="G42" s="122"/>
      <c r="H42" s="122"/>
    </row>
    <row r="43" spans="1:15" ht="51" customHeight="1" x14ac:dyDescent="0.25">
      <c r="A43" s="136" t="s">
        <v>233</v>
      </c>
      <c r="B43" s="136"/>
      <c r="C43" s="120" t="s">
        <v>95</v>
      </c>
      <c r="D43" s="120"/>
      <c r="E43" s="120"/>
      <c r="F43" s="120"/>
      <c r="G43" s="120"/>
      <c r="H43" s="120"/>
    </row>
    <row r="44" spans="1:15" ht="20.25" x14ac:dyDescent="0.25">
      <c r="A44" s="150" t="s">
        <v>55</v>
      </c>
      <c r="B44" s="150"/>
      <c r="C44" s="150"/>
      <c r="D44" s="150"/>
      <c r="E44" s="150"/>
      <c r="F44" s="150"/>
      <c r="G44" s="150"/>
      <c r="H44" s="150"/>
    </row>
    <row r="45" spans="1:15" ht="21" customHeight="1" x14ac:dyDescent="0.25">
      <c r="A45" s="121" t="s">
        <v>56</v>
      </c>
      <c r="B45" s="121"/>
      <c r="C45" s="49" t="s">
        <v>57</v>
      </c>
      <c r="D45" s="121" t="s">
        <v>151</v>
      </c>
      <c r="E45" s="121"/>
      <c r="F45" s="121"/>
      <c r="G45" s="121" t="s">
        <v>58</v>
      </c>
      <c r="H45" s="121"/>
    </row>
    <row r="46" spans="1:15" ht="63" customHeight="1" x14ac:dyDescent="0.25">
      <c r="A46" s="123" t="s">
        <v>332</v>
      </c>
      <c r="B46" s="123"/>
      <c r="C46" s="46" t="s">
        <v>86</v>
      </c>
      <c r="D46" s="122" t="s">
        <v>347</v>
      </c>
      <c r="E46" s="122"/>
      <c r="F46" s="122"/>
      <c r="G46" s="122" t="s">
        <v>333</v>
      </c>
      <c r="H46" s="122"/>
    </row>
    <row r="47" spans="1:15" ht="42" customHeight="1" x14ac:dyDescent="0.25">
      <c r="A47" s="147" t="s">
        <v>334</v>
      </c>
      <c r="B47" s="147"/>
      <c r="C47" s="46" t="s">
        <v>86</v>
      </c>
      <c r="D47" s="122" t="s">
        <v>348</v>
      </c>
      <c r="E47" s="122"/>
      <c r="F47" s="122"/>
      <c r="G47" s="122" t="s">
        <v>335</v>
      </c>
      <c r="H47" s="122"/>
    </row>
    <row r="48" spans="1:15" ht="64.5" customHeight="1" x14ac:dyDescent="0.25">
      <c r="A48" s="123" t="s">
        <v>336</v>
      </c>
      <c r="B48" s="123"/>
      <c r="C48" s="46" t="s">
        <v>86</v>
      </c>
      <c r="D48" s="122" t="s">
        <v>337</v>
      </c>
      <c r="E48" s="122"/>
      <c r="F48" s="122"/>
      <c r="G48" s="122" t="s">
        <v>337</v>
      </c>
      <c r="H48" s="122"/>
    </row>
    <row r="49" spans="1:10" ht="20.25" x14ac:dyDescent="0.25">
      <c r="A49" s="150" t="s">
        <v>59</v>
      </c>
      <c r="B49" s="150"/>
      <c r="C49" s="150"/>
      <c r="D49" s="150"/>
      <c r="E49" s="150"/>
      <c r="F49" s="150"/>
      <c r="G49" s="150"/>
      <c r="H49" s="150"/>
    </row>
    <row r="50" spans="1:10" ht="42.75" customHeight="1" x14ac:dyDescent="0.25">
      <c r="A50" s="136" t="s">
        <v>60</v>
      </c>
      <c r="B50" s="136" t="s">
        <v>4</v>
      </c>
      <c r="C50" s="120" t="s">
        <v>95</v>
      </c>
      <c r="D50" s="120"/>
      <c r="E50" s="120"/>
      <c r="F50" s="120"/>
      <c r="G50" s="120"/>
      <c r="H50" s="120"/>
    </row>
    <row r="51" spans="1:10" ht="44.25" customHeight="1" x14ac:dyDescent="0.25">
      <c r="A51" s="136" t="s">
        <v>61</v>
      </c>
      <c r="B51" s="136" t="s">
        <v>4</v>
      </c>
      <c r="C51" s="120" t="s">
        <v>338</v>
      </c>
      <c r="D51" s="120"/>
      <c r="E51" s="120"/>
      <c r="F51" s="120"/>
      <c r="G51" s="64" t="s">
        <v>234</v>
      </c>
      <c r="H51" s="93">
        <v>45379</v>
      </c>
    </row>
    <row r="52" spans="1:10" ht="44.25" customHeight="1" x14ac:dyDescent="0.25">
      <c r="A52" s="136" t="s">
        <v>62</v>
      </c>
      <c r="B52" s="136" t="s">
        <v>4</v>
      </c>
      <c r="C52" s="120" t="s">
        <v>338</v>
      </c>
      <c r="D52" s="120"/>
      <c r="E52" s="120"/>
      <c r="F52" s="120"/>
      <c r="G52" s="64" t="s">
        <v>234</v>
      </c>
      <c r="H52" s="93">
        <v>45379</v>
      </c>
    </row>
    <row r="53" spans="1:10" ht="23.25" customHeight="1" x14ac:dyDescent="0.25">
      <c r="A53" s="136" t="s">
        <v>349</v>
      </c>
      <c r="B53" s="136"/>
      <c r="C53" s="120" t="s">
        <v>339</v>
      </c>
      <c r="D53" s="120"/>
      <c r="E53" s="120"/>
      <c r="F53" s="120"/>
      <c r="G53" s="64" t="s">
        <v>234</v>
      </c>
      <c r="H53" s="93">
        <v>45379</v>
      </c>
    </row>
    <row r="54" spans="1:10" ht="106.5" customHeight="1" x14ac:dyDescent="0.25">
      <c r="A54" s="136"/>
      <c r="B54" s="136"/>
      <c r="C54" s="109" t="s">
        <v>340</v>
      </c>
      <c r="D54" s="137"/>
      <c r="E54" s="137"/>
      <c r="F54" s="137"/>
      <c r="G54" s="137"/>
      <c r="H54" s="110"/>
    </row>
    <row r="55" spans="1:10" ht="22.5" customHeight="1" x14ac:dyDescent="0.25">
      <c r="A55" s="140" t="s">
        <v>345</v>
      </c>
      <c r="B55" s="141"/>
      <c r="C55" s="120" t="s">
        <v>346</v>
      </c>
      <c r="D55" s="120"/>
      <c r="E55" s="120"/>
      <c r="F55" s="120"/>
      <c r="G55" s="64" t="s">
        <v>235</v>
      </c>
      <c r="H55" s="93">
        <v>44930</v>
      </c>
    </row>
    <row r="56" spans="1:10" ht="65.25" customHeight="1" x14ac:dyDescent="0.25">
      <c r="A56" s="142"/>
      <c r="B56" s="143"/>
      <c r="C56" s="109" t="s">
        <v>350</v>
      </c>
      <c r="D56" s="137"/>
      <c r="E56" s="137"/>
      <c r="F56" s="137"/>
      <c r="G56" s="137"/>
      <c r="H56" s="110"/>
    </row>
    <row r="57" spans="1:10" ht="45.75" customHeight="1" x14ac:dyDescent="0.25">
      <c r="A57" s="140" t="s">
        <v>63</v>
      </c>
      <c r="B57" s="141"/>
      <c r="C57" s="109" t="s">
        <v>382</v>
      </c>
      <c r="D57" s="137"/>
      <c r="E57" s="137"/>
      <c r="F57" s="110"/>
      <c r="G57" s="64" t="s">
        <v>235</v>
      </c>
      <c r="H57" s="94">
        <v>44834</v>
      </c>
    </row>
    <row r="58" spans="1:10" ht="205.5" customHeight="1" x14ac:dyDescent="0.25">
      <c r="A58" s="142"/>
      <c r="B58" s="143"/>
      <c r="C58" s="109" t="s">
        <v>383</v>
      </c>
      <c r="D58" s="137"/>
      <c r="E58" s="137"/>
      <c r="F58" s="137"/>
      <c r="G58" s="137"/>
      <c r="H58" s="110"/>
    </row>
    <row r="59" spans="1:10" ht="45" hidden="1" customHeight="1" x14ac:dyDescent="0.25">
      <c r="A59" s="136" t="s">
        <v>64</v>
      </c>
      <c r="B59" s="136" t="s">
        <v>4</v>
      </c>
      <c r="C59" s="120"/>
      <c r="D59" s="120"/>
      <c r="E59" s="120"/>
      <c r="F59" s="120"/>
      <c r="G59" s="64" t="s">
        <v>235</v>
      </c>
      <c r="H59" s="48"/>
    </row>
    <row r="60" spans="1:10" ht="42.75" customHeight="1" x14ac:dyDescent="0.25">
      <c r="A60" s="140" t="s">
        <v>341</v>
      </c>
      <c r="B60" s="141"/>
      <c r="C60" s="120" t="s">
        <v>342</v>
      </c>
      <c r="D60" s="120"/>
      <c r="E60" s="120"/>
      <c r="F60" s="120"/>
      <c r="G60" s="64" t="s">
        <v>235</v>
      </c>
      <c r="H60" s="93">
        <v>44848</v>
      </c>
    </row>
    <row r="61" spans="1:10" ht="65.25" customHeight="1" x14ac:dyDescent="0.25">
      <c r="A61" s="142"/>
      <c r="B61" s="143"/>
      <c r="C61" s="120" t="s">
        <v>344</v>
      </c>
      <c r="D61" s="120"/>
      <c r="E61" s="120"/>
      <c r="F61" s="120"/>
      <c r="G61" s="64" t="s">
        <v>343</v>
      </c>
      <c r="H61" s="93">
        <v>47769</v>
      </c>
    </row>
    <row r="62" spans="1:10" ht="45" hidden="1" customHeight="1" x14ac:dyDescent="0.25">
      <c r="A62" s="136" t="s">
        <v>65</v>
      </c>
      <c r="B62" s="136" t="s">
        <v>4</v>
      </c>
      <c r="C62" s="120"/>
      <c r="D62" s="120"/>
      <c r="E62" s="120"/>
      <c r="F62" s="120"/>
      <c r="G62" s="64" t="s">
        <v>235</v>
      </c>
      <c r="H62" s="48"/>
    </row>
    <row r="63" spans="1:10" ht="21" thickBot="1" x14ac:dyDescent="0.3">
      <c r="A63" s="150" t="s">
        <v>66</v>
      </c>
      <c r="B63" s="150"/>
      <c r="C63" s="150"/>
      <c r="D63" s="150"/>
      <c r="E63" s="150"/>
      <c r="F63" s="150"/>
      <c r="G63" s="150"/>
      <c r="H63" s="150"/>
    </row>
    <row r="64" spans="1:10" ht="20.25" customHeight="1" x14ac:dyDescent="0.3">
      <c r="A64" s="133" t="str">
        <f>CONCATENATE((IF(OR(A46="",A46="NA"),"",A46)),"= ",(IF(OR(D46="",D46="NA"),"",D46)),".")</f>
        <v>Building No.7 (Wing A1 &amp; A2)=  3B +  Gr + 1st to 45th Floor.</v>
      </c>
      <c r="B64" s="133"/>
      <c r="C64" s="133"/>
      <c r="D64" s="30" t="s">
        <v>117</v>
      </c>
      <c r="E64" s="132" t="s">
        <v>103</v>
      </c>
      <c r="F64" s="132"/>
      <c r="G64" s="30" t="s">
        <v>118</v>
      </c>
      <c r="H64" s="30" t="s">
        <v>119</v>
      </c>
      <c r="I64" s="16" t="str">
        <f ca="1">(IF(E67&gt;99%,"All work completed. Please provide OC.",IF(E67&gt;89.8%,"Plinth, RCC, Brick, Plaster, Flooring, Wooden, Plumbing, Electrification, etc.,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completed","0")))))))))))&amp;(IF(C69=(E65+G65+H65),", RCC Slab",IF(C69&gt;0,", RCC upto "&amp;C69&amp;" Slab",""))&amp;(IF(C70=H65,", Brickwork",IF(C70&gt;0,", Brickwork upto "&amp;C70&amp;" Floor",""))&amp;(IF(C71=H65,", Internal Plaster",IF(C71&gt;0,", Internal Plaster upto "&amp;C71&amp;" Floor",""))&amp;(IF(C72=H65,", External Plaster",IF(C72&gt;0,", External Plaster upto "&amp;C72&amp;" Floor",""))&amp;(IF(C73=H65,", External Plumbing, Elevation and Waterproofing",IF(C73&gt;0,", External Plumbing, Elevation and Waterproofing upto "&amp;C73&amp;" Floor",""))&amp;(IF(C74=H65,", Flooring &amp; Fitting",IF(C74&gt;0,", Flooring &amp; Fitting upto "&amp;C74&amp;" Floor",""))&amp;(IF(C75=H65,", Wooden Work",IF(C75&gt;0,", Wooden Work upto "&amp;C75&amp;" Floor",""))&amp;(IF(C76=H65,", Electrical &amp; Sanitary fittings",IF(C76&gt;0,", Electrical &amp; Sanitary fittings upto "&amp;C76&amp;" Floor",""))&amp;(IF(C77&gt;0,", Finishing upto "&amp;C77&amp;" Floor","")&amp;(IF(C69&gt;0.5," Completed",""))))))))))))))))</f>
        <v>Excavation work Completed. Footing work is process</v>
      </c>
      <c r="J64" s="18"/>
    </row>
    <row r="65" spans="1:10" ht="20.25" x14ac:dyDescent="0.3">
      <c r="A65" s="133"/>
      <c r="B65" s="133"/>
      <c r="C65" s="133"/>
      <c r="D65" s="90">
        <f>IF(AND(ISNUMBER(SEARCH("1B",A64))),1,IF(AND(ISNUMBER(SEARCH("2B",A64))),2,IF(AND(ISNUMBER(SEARCH("3B",A64))),3,IF(AND(ISNUMBER(SEARCH("4B",A64))),4,IF(ISNUMBER(SEARCH("5B",A64)),5,0)))))</f>
        <v>3</v>
      </c>
      <c r="E65" s="132">
        <v>2</v>
      </c>
      <c r="F65" s="132"/>
      <c r="G65" s="90">
        <v>0</v>
      </c>
      <c r="H65" s="30">
        <f ca="1">--TRIM(RIGHT(SUBSTITUTE(LEFT(A64,_xlfn.AGGREGATE(16,6,FIND({0,1,2,3,4,5,6,7,8,9},A64,ROW(INDIRECT("1:"&amp;LEN(A64)))),1))," ",REPT(" ",LEN(A64))),LEN(A64)))</f>
        <v>45</v>
      </c>
      <c r="I65" s="17" t="s">
        <v>123</v>
      </c>
      <c r="J65" s="18"/>
    </row>
    <row r="66" spans="1:10" ht="20.25" customHeight="1" x14ac:dyDescent="0.3">
      <c r="A66" s="139" t="s">
        <v>121</v>
      </c>
      <c r="B66" s="139"/>
      <c r="C66" s="45" t="s">
        <v>135</v>
      </c>
      <c r="D66" s="28" t="s">
        <v>136</v>
      </c>
      <c r="E66" s="139" t="s">
        <v>122</v>
      </c>
      <c r="F66" s="139"/>
      <c r="G66" s="29" t="s">
        <v>120</v>
      </c>
      <c r="H66" s="29"/>
      <c r="I66" s="20" t="s">
        <v>137</v>
      </c>
      <c r="J66" s="19">
        <f ca="1">H65*25%</f>
        <v>11.25</v>
      </c>
    </row>
    <row r="67" spans="1:10" ht="20.25" customHeight="1" x14ac:dyDescent="0.3">
      <c r="A67" s="138" t="s">
        <v>138</v>
      </c>
      <c r="B67" s="138"/>
      <c r="C67" s="95">
        <f ca="1">J68</f>
        <v>45</v>
      </c>
      <c r="D67" s="5">
        <f ca="1">((100/H65)*C67)/100</f>
        <v>1</v>
      </c>
      <c r="E67" s="173">
        <f ca="1">(((C67/H65*10)+(C68/H65*15)+(25/(E65+G65+H65)*C69)+(5/(H65)*C70)+(2.5/(H65)*C71)+(2.5/(H65)*C72)+(5/H65*C73)+(10/H65*C74)+(2.5/H65*C75)+(2.5/H65*C76)+(10/H65*C77)+(10/H65*C78))/100)</f>
        <v>0.13</v>
      </c>
      <c r="F67" s="174"/>
      <c r="G67" s="138" t="str">
        <f ca="1">I64</f>
        <v>Excavation work Completed. Footing work is process</v>
      </c>
      <c r="H67" s="138"/>
      <c r="I67" s="20" t="s">
        <v>124</v>
      </c>
      <c r="J67" s="24">
        <f ca="1">H65*50%</f>
        <v>22.5</v>
      </c>
    </row>
    <row r="68" spans="1:10" ht="20.25" x14ac:dyDescent="0.3">
      <c r="A68" s="138" t="s">
        <v>104</v>
      </c>
      <c r="B68" s="138"/>
      <c r="C68" s="40">
        <f ca="1">J69</f>
        <v>9</v>
      </c>
      <c r="D68" s="5">
        <f ca="1">((100/H65)*C68)/100</f>
        <v>0.2</v>
      </c>
      <c r="E68" s="175"/>
      <c r="F68" s="176"/>
      <c r="G68" s="138"/>
      <c r="H68" s="138"/>
      <c r="I68" s="20" t="s">
        <v>125</v>
      </c>
      <c r="J68" s="24">
        <f ca="1">H65</f>
        <v>45</v>
      </c>
    </row>
    <row r="69" spans="1:10" ht="21" customHeight="1" x14ac:dyDescent="0.35">
      <c r="A69" s="138" t="s">
        <v>139</v>
      </c>
      <c r="B69" s="138"/>
      <c r="C69" s="38">
        <v>0</v>
      </c>
      <c r="D69" s="5">
        <f ca="1">((100/(E65+G65+H65))*C69)/100</f>
        <v>0</v>
      </c>
      <c r="E69" s="175"/>
      <c r="F69" s="176"/>
      <c r="G69" s="138"/>
      <c r="H69" s="138"/>
      <c r="I69" s="20" t="s">
        <v>126</v>
      </c>
      <c r="J69" s="25">
        <f ca="1">(IF(D65&gt;1,(H65/(D65+2)),H65*0.2))</f>
        <v>9</v>
      </c>
    </row>
    <row r="70" spans="1:10" ht="21" customHeight="1" x14ac:dyDescent="0.35">
      <c r="A70" s="138" t="s">
        <v>140</v>
      </c>
      <c r="B70" s="138"/>
      <c r="C70" s="38">
        <v>0</v>
      </c>
      <c r="D70" s="5">
        <f ca="1">((100/H65)*C70)/100</f>
        <v>0</v>
      </c>
      <c r="E70" s="175"/>
      <c r="F70" s="176"/>
      <c r="G70" s="138"/>
      <c r="H70" s="138"/>
      <c r="I70" s="20" t="s">
        <v>127</v>
      </c>
      <c r="J70" s="25">
        <f ca="1">(IF(D65&gt;1,(H65/(D65+2)+J69),H65*0.2+J69))</f>
        <v>18</v>
      </c>
    </row>
    <row r="71" spans="1:10" ht="21" customHeight="1" x14ac:dyDescent="0.35">
      <c r="A71" s="134" t="s">
        <v>141</v>
      </c>
      <c r="B71" s="135"/>
      <c r="C71" s="38">
        <v>0</v>
      </c>
      <c r="D71" s="5">
        <f ca="1">((100/H65)*C71)/100</f>
        <v>0</v>
      </c>
      <c r="E71" s="175"/>
      <c r="F71" s="176"/>
      <c r="G71" s="138"/>
      <c r="H71" s="138"/>
      <c r="I71" s="20" t="s">
        <v>142</v>
      </c>
      <c r="J71" s="25">
        <f ca="1">(IF(D65&gt;1,(H65/(D65+2)+J70),0))</f>
        <v>27</v>
      </c>
    </row>
    <row r="72" spans="1:10" ht="21" customHeight="1" x14ac:dyDescent="0.35">
      <c r="A72" s="134" t="s">
        <v>173</v>
      </c>
      <c r="B72" s="135"/>
      <c r="C72" s="38">
        <v>0</v>
      </c>
      <c r="D72" s="5">
        <f ca="1">((100/H65)*C72)/100</f>
        <v>0</v>
      </c>
      <c r="E72" s="175"/>
      <c r="F72" s="176"/>
      <c r="G72" s="138"/>
      <c r="H72" s="138"/>
      <c r="I72" s="20" t="s">
        <v>143</v>
      </c>
      <c r="J72" s="25">
        <f ca="1">(IF(D65&gt;2,(H65/(D65+2)+J71),0))</f>
        <v>36</v>
      </c>
    </row>
    <row r="73" spans="1:10" ht="21" x14ac:dyDescent="0.35">
      <c r="A73" s="134" t="s">
        <v>170</v>
      </c>
      <c r="B73" s="135"/>
      <c r="C73" s="38">
        <v>0</v>
      </c>
      <c r="D73" s="5">
        <f ca="1">((100/(H65))*C73)/100</f>
        <v>0</v>
      </c>
      <c r="E73" s="175"/>
      <c r="F73" s="176"/>
      <c r="G73" s="138"/>
      <c r="H73" s="138"/>
      <c r="I73" s="20" t="s">
        <v>145</v>
      </c>
      <c r="J73" s="26">
        <f>(IF(D65&gt;3,(H65/(D65+2)+J72),0))</f>
        <v>0</v>
      </c>
    </row>
    <row r="74" spans="1:10" ht="21" x14ac:dyDescent="0.35">
      <c r="A74" s="138" t="s">
        <v>144</v>
      </c>
      <c r="B74" s="138"/>
      <c r="C74" s="38">
        <v>0</v>
      </c>
      <c r="D74" s="5">
        <f ca="1">((100/(H65))*C74)/100</f>
        <v>0</v>
      </c>
      <c r="E74" s="175"/>
      <c r="F74" s="176"/>
      <c r="G74" s="138"/>
      <c r="H74" s="138"/>
      <c r="I74" s="20" t="s">
        <v>146</v>
      </c>
      <c r="J74" s="25">
        <f>(IF(D65&gt;4,(H65/(D65+2)+J73),0))</f>
        <v>0</v>
      </c>
    </row>
    <row r="75" spans="1:10" ht="21" customHeight="1" x14ac:dyDescent="0.35">
      <c r="A75" s="138" t="s">
        <v>172</v>
      </c>
      <c r="B75" s="138"/>
      <c r="C75" s="38">
        <v>0</v>
      </c>
      <c r="D75" s="5">
        <f ca="1">((100/H65)*C75)/100</f>
        <v>0</v>
      </c>
      <c r="E75" s="175"/>
      <c r="F75" s="176"/>
      <c r="G75" s="138"/>
      <c r="H75" s="138"/>
      <c r="I75" s="20" t="s">
        <v>128</v>
      </c>
      <c r="J75" s="25">
        <f>(IF(D65=1,(H65/(D65+3)+J70),IF(D65=0,(H65*0.3+J70),IF(D65&gt;1,0))))</f>
        <v>0</v>
      </c>
    </row>
    <row r="76" spans="1:10" ht="21.75" thickBot="1" x14ac:dyDescent="0.4">
      <c r="A76" s="138" t="s">
        <v>171</v>
      </c>
      <c r="B76" s="138"/>
      <c r="C76" s="38">
        <v>0</v>
      </c>
      <c r="D76" s="5">
        <f ca="1">((100/H65)*C76)/100</f>
        <v>0</v>
      </c>
      <c r="E76" s="175"/>
      <c r="F76" s="176"/>
      <c r="G76" s="138"/>
      <c r="H76" s="138"/>
      <c r="I76" s="22" t="s">
        <v>129</v>
      </c>
      <c r="J76" s="27">
        <f ca="1">(IF(D65&gt;1.5,(H65/(D65+2)+J70+MAX(0,J71-J70)+MAX(0,J72-J71)+MAX(0,J73-J72)+MAX(0,J74-J73)+MAX(0,J75-J74)),IF(D65=1,(H65/(D65+3)+J75),IF(D65=0,H65*0.3+J75))))</f>
        <v>45</v>
      </c>
    </row>
    <row r="77" spans="1:10" ht="20.25" x14ac:dyDescent="0.25">
      <c r="A77" s="138" t="s">
        <v>147</v>
      </c>
      <c r="B77" s="138"/>
      <c r="C77" s="38">
        <v>0</v>
      </c>
      <c r="D77" s="5">
        <f ca="1">((100/(H65))*C77)/100</f>
        <v>0</v>
      </c>
      <c r="E77" s="175"/>
      <c r="F77" s="176"/>
      <c r="G77" s="138"/>
      <c r="H77" s="138"/>
    </row>
    <row r="78" spans="1:10" ht="20.25" x14ac:dyDescent="0.25">
      <c r="A78" s="138" t="s">
        <v>148</v>
      </c>
      <c r="B78" s="138"/>
      <c r="C78" s="38">
        <v>0</v>
      </c>
      <c r="D78" s="5">
        <f ca="1">((100/(H65))*C78)/100</f>
        <v>0</v>
      </c>
      <c r="E78" s="177"/>
      <c r="F78" s="178"/>
      <c r="G78" s="138"/>
      <c r="H78" s="138"/>
    </row>
    <row r="79" spans="1:10" ht="21" thickBot="1" x14ac:dyDescent="0.3">
      <c r="A79" s="150" t="s">
        <v>66</v>
      </c>
      <c r="B79" s="150"/>
      <c r="C79" s="150"/>
      <c r="D79" s="150"/>
      <c r="E79" s="150"/>
      <c r="F79" s="150"/>
      <c r="G79" s="150"/>
      <c r="H79" s="150"/>
    </row>
    <row r="80" spans="1:10" ht="20.25" customHeight="1" x14ac:dyDescent="0.3">
      <c r="A80" s="133" t="str">
        <f>CONCATENATE((IF(OR(A47="",A47="NA"),"",A47)),"= ",(IF(OR(D47="",D47="NA"),"",D47)),".")</f>
        <v>Building No.7 (Wing B1 &amp; B2)= 3B +  Gr + 1st to 45th Floor.</v>
      </c>
      <c r="B80" s="133"/>
      <c r="C80" s="133"/>
      <c r="D80" s="32" t="s">
        <v>117</v>
      </c>
      <c r="E80" s="132" t="s">
        <v>103</v>
      </c>
      <c r="F80" s="132"/>
      <c r="G80" s="32" t="s">
        <v>118</v>
      </c>
      <c r="H80" s="32" t="s">
        <v>119</v>
      </c>
      <c r="I80" s="16" t="str">
        <f ca="1">(IF(E83&gt;99%,"All work completed. Please provide OC.",IF(E83&gt;89.8%,"Plinth, RCC, Brick, Plaster, Flooring, Wooden, Plumbing, Electrification, etc.,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completed","0")))))))))))&amp;(IF(C85=(E81+G81+H81),", RCC Slab",IF(C85&gt;0,", RCC upto "&amp;C85&amp;" Slab",""))&amp;(IF(C86=H81,", Brickwork",IF(C86&gt;0,", Brickwork upto "&amp;C86&amp;" Floor",""))&amp;(IF(C87=H81,", Internal Plaster",IF(C87&gt;0,", Internal Plaster upto "&amp;C87&amp;" Floor",""))&amp;(IF(C88=H81,", External Plaster",IF(C88&gt;0,", External Plaster upto "&amp;C88&amp;" Floor",""))&amp;(IF(C89=H81,", External Plumbing, Elevation and Waterproofing",IF(C89&gt;0,", External Plumbing, Elevation and Waterproofing upto "&amp;C89&amp;" Floor",""))&amp;(IF(C90=H81,", Flooring &amp; Fitting",IF(C90&gt;0,", Flooring &amp; Fitting upto "&amp;C90&amp;" Floor",""))&amp;(IF(C91=H81,", Wooden Work",IF(C91&gt;0,", Wooden Work upto "&amp;C91&amp;" Floor",""))&amp;(IF(C92=H81,", Electrical &amp; Sanitary fittings",IF(C92&gt;0,", Electrical &amp; Sanitary fittings upto "&amp;C92&amp;" Floor",""))&amp;(IF(C93&gt;0,", Finishing upto "&amp;C93&amp;" Floor","")&amp;(IF(C85&gt;0.5," Completed",""))))))))))))))))</f>
        <v>Excavation work Completed. Footing work is process</v>
      </c>
      <c r="J80" s="18"/>
    </row>
    <row r="81" spans="1:10" ht="20.25" x14ac:dyDescent="0.3">
      <c r="A81" s="133"/>
      <c r="B81" s="133"/>
      <c r="C81" s="133"/>
      <c r="D81" s="90">
        <f>IF(AND(ISNUMBER(SEARCH("1B",A80))),1,IF(AND(ISNUMBER(SEARCH("2B",A80))),2,IF(AND(ISNUMBER(SEARCH("3B",A80))),3,IF(AND(ISNUMBER(SEARCH("4B",A80))),4,IF(ISNUMBER(SEARCH("5B",A80)),5,0)))))</f>
        <v>3</v>
      </c>
      <c r="E81" s="132">
        <v>2</v>
      </c>
      <c r="F81" s="132"/>
      <c r="G81" s="90">
        <v>0</v>
      </c>
      <c r="H81" s="32">
        <f ca="1">--TRIM(RIGHT(SUBSTITUTE(LEFT(A80,_xlfn.AGGREGATE(16,6,FIND({0,1,2,3,4,5,6,7,8,9},A80,ROW(INDIRECT("1:"&amp;LEN(A80)))),1))," ",REPT(" ",LEN(A80))),LEN(A80)))</f>
        <v>45</v>
      </c>
      <c r="I81" s="17" t="s">
        <v>123</v>
      </c>
      <c r="J81" s="18"/>
    </row>
    <row r="82" spans="1:10" ht="20.25" customHeight="1" x14ac:dyDescent="0.3">
      <c r="A82" s="139" t="s">
        <v>121</v>
      </c>
      <c r="B82" s="139"/>
      <c r="C82" s="45" t="s">
        <v>135</v>
      </c>
      <c r="D82" s="33" t="s">
        <v>136</v>
      </c>
      <c r="E82" s="139" t="s">
        <v>122</v>
      </c>
      <c r="F82" s="139"/>
      <c r="G82" s="29" t="s">
        <v>120</v>
      </c>
      <c r="H82" s="29"/>
      <c r="I82" s="20" t="s">
        <v>137</v>
      </c>
      <c r="J82" s="19">
        <f ca="1">H81*25%</f>
        <v>11.25</v>
      </c>
    </row>
    <row r="83" spans="1:10" ht="20.25" customHeight="1" x14ac:dyDescent="0.3">
      <c r="A83" s="138" t="s">
        <v>138</v>
      </c>
      <c r="B83" s="138"/>
      <c r="C83" s="38">
        <f ca="1">J84</f>
        <v>45</v>
      </c>
      <c r="D83" s="34">
        <f ca="1">((100/H81)*C83)/100</f>
        <v>1</v>
      </c>
      <c r="E83" s="173">
        <f ca="1">(((C83/H81*10)+(C84/H81*15)+(25/(E81+G81+H81)*C85)+(5/(H81)*C86)+(2.5/(H81)*C87)+(2.5/(H81)*C88)+(5/H81*C89)+(10/H81*C90)+(2.5/H81*C91)+(2.5/H81*C92)+(10/H81*C93)+(10/H81*C94))/100)</f>
        <v>0.13</v>
      </c>
      <c r="F83" s="174"/>
      <c r="G83" s="138" t="str">
        <f ca="1">I80</f>
        <v>Excavation work Completed. Footing work is process</v>
      </c>
      <c r="H83" s="138"/>
      <c r="I83" s="20" t="s">
        <v>124</v>
      </c>
      <c r="J83" s="24">
        <f ca="1">H81*50%</f>
        <v>22.5</v>
      </c>
    </row>
    <row r="84" spans="1:10" ht="20.25" x14ac:dyDescent="0.3">
      <c r="A84" s="138" t="s">
        <v>104</v>
      </c>
      <c r="B84" s="138"/>
      <c r="C84" s="40">
        <f ca="1">J85</f>
        <v>9</v>
      </c>
      <c r="D84" s="34">
        <f ca="1">((100/H81)*C84)/100</f>
        <v>0.2</v>
      </c>
      <c r="E84" s="175"/>
      <c r="F84" s="176"/>
      <c r="G84" s="138"/>
      <c r="H84" s="138"/>
      <c r="I84" s="20" t="s">
        <v>125</v>
      </c>
      <c r="J84" s="24">
        <f ca="1">H81</f>
        <v>45</v>
      </c>
    </row>
    <row r="85" spans="1:10" ht="21" customHeight="1" x14ac:dyDescent="0.35">
      <c r="A85" s="138" t="s">
        <v>139</v>
      </c>
      <c r="B85" s="138"/>
      <c r="C85" s="38">
        <v>0</v>
      </c>
      <c r="D85" s="34">
        <f ca="1">((100/(E81+G81+H81))*C85)/100</f>
        <v>0</v>
      </c>
      <c r="E85" s="175"/>
      <c r="F85" s="176"/>
      <c r="G85" s="138"/>
      <c r="H85" s="138"/>
      <c r="I85" s="20" t="s">
        <v>126</v>
      </c>
      <c r="J85" s="25">
        <f ca="1">(IF(D81&gt;1,(H81/(D81+2)),H81*0.2))</f>
        <v>9</v>
      </c>
    </row>
    <row r="86" spans="1:10" ht="21" customHeight="1" x14ac:dyDescent="0.35">
      <c r="A86" s="138" t="s">
        <v>140</v>
      </c>
      <c r="B86" s="138"/>
      <c r="C86" s="38">
        <v>0</v>
      </c>
      <c r="D86" s="34">
        <f ca="1">((100/H81)*C86)/100</f>
        <v>0</v>
      </c>
      <c r="E86" s="175"/>
      <c r="F86" s="176"/>
      <c r="G86" s="138"/>
      <c r="H86" s="138"/>
      <c r="I86" s="20" t="s">
        <v>127</v>
      </c>
      <c r="J86" s="25">
        <f ca="1">(IF(D81&gt;1,(H81/(D81+2)+J85),H81*0.2+J85))</f>
        <v>18</v>
      </c>
    </row>
    <row r="87" spans="1:10" ht="21" customHeight="1" x14ac:dyDescent="0.35">
      <c r="A87" s="134" t="s">
        <v>141</v>
      </c>
      <c r="B87" s="135"/>
      <c r="C87" s="97">
        <v>0</v>
      </c>
      <c r="D87" s="34">
        <f ca="1">((100/H81)*C87)/100</f>
        <v>0</v>
      </c>
      <c r="E87" s="175"/>
      <c r="F87" s="176"/>
      <c r="G87" s="138"/>
      <c r="H87" s="138"/>
      <c r="I87" s="20" t="s">
        <v>142</v>
      </c>
      <c r="J87" s="25">
        <f ca="1">(IF(D81&gt;1,(H81/(D81+2)+J86),0))</f>
        <v>27</v>
      </c>
    </row>
    <row r="88" spans="1:10" ht="21" customHeight="1" x14ac:dyDescent="0.35">
      <c r="A88" s="134" t="s">
        <v>173</v>
      </c>
      <c r="B88" s="135"/>
      <c r="C88" s="97">
        <v>0</v>
      </c>
      <c r="D88" s="34">
        <f ca="1">((100/H81)*C88)/100</f>
        <v>0</v>
      </c>
      <c r="E88" s="175"/>
      <c r="F88" s="176"/>
      <c r="G88" s="138"/>
      <c r="H88" s="138"/>
      <c r="I88" s="20" t="s">
        <v>143</v>
      </c>
      <c r="J88" s="25">
        <f ca="1">(IF(D81&gt;2,(H81/(D81+2)+J87),0))</f>
        <v>36</v>
      </c>
    </row>
    <row r="89" spans="1:10" ht="57.75" customHeight="1" x14ac:dyDescent="0.35">
      <c r="A89" s="134" t="s">
        <v>170</v>
      </c>
      <c r="B89" s="135"/>
      <c r="C89" s="38">
        <v>0</v>
      </c>
      <c r="D89" s="34">
        <f ca="1">((100/(H81))*C89)/100</f>
        <v>0</v>
      </c>
      <c r="E89" s="175"/>
      <c r="F89" s="176"/>
      <c r="G89" s="138"/>
      <c r="H89" s="138"/>
      <c r="I89" s="20" t="s">
        <v>145</v>
      </c>
      <c r="J89" s="26">
        <f>(IF(D81&gt;3,(H81/(D81+2)+J88),0))</f>
        <v>0</v>
      </c>
    </row>
    <row r="90" spans="1:10" ht="21" x14ac:dyDescent="0.35">
      <c r="A90" s="138" t="s">
        <v>144</v>
      </c>
      <c r="B90" s="138"/>
      <c r="C90" s="38">
        <v>0</v>
      </c>
      <c r="D90" s="34">
        <f ca="1">((100/(H81))*C90)/100</f>
        <v>0</v>
      </c>
      <c r="E90" s="175"/>
      <c r="F90" s="176"/>
      <c r="G90" s="138"/>
      <c r="H90" s="138"/>
      <c r="I90" s="20" t="s">
        <v>146</v>
      </c>
      <c r="J90" s="25">
        <f>(IF(D81&gt;4,(H81/(D81+2)+J89),0))</f>
        <v>0</v>
      </c>
    </row>
    <row r="91" spans="1:10" ht="21" customHeight="1" x14ac:dyDescent="0.35">
      <c r="A91" s="138" t="s">
        <v>172</v>
      </c>
      <c r="B91" s="138"/>
      <c r="C91" s="38">
        <v>0</v>
      </c>
      <c r="D91" s="34">
        <f ca="1">((100/H81)*C91)/100</f>
        <v>0</v>
      </c>
      <c r="E91" s="175"/>
      <c r="F91" s="176"/>
      <c r="G91" s="138"/>
      <c r="H91" s="138"/>
      <c r="I91" s="20" t="s">
        <v>128</v>
      </c>
      <c r="J91" s="25">
        <f>(IF(D81=1,(H81/(D81+3)+J86),IF(D81=0,(H81*0.3+J86),IF(D81&gt;1,0))))</f>
        <v>0</v>
      </c>
    </row>
    <row r="92" spans="1:10" ht="21.75" thickBot="1" x14ac:dyDescent="0.4">
      <c r="A92" s="138" t="s">
        <v>171</v>
      </c>
      <c r="B92" s="138"/>
      <c r="C92" s="38">
        <v>0</v>
      </c>
      <c r="D92" s="34">
        <f ca="1">((100/H81)*C92)/100</f>
        <v>0</v>
      </c>
      <c r="E92" s="175"/>
      <c r="F92" s="176"/>
      <c r="G92" s="138"/>
      <c r="H92" s="138"/>
      <c r="I92" s="22" t="s">
        <v>129</v>
      </c>
      <c r="J92" s="27">
        <f ca="1">(IF(D81&gt;1.5,(H81/(D81+2)+J86+MAX(0,J87-J86)+MAX(0,J88-J87)+MAX(0,J89-J88)+MAX(0,J90-J89)+MAX(0,J91-J90)),IF(D81=1,(H81/(D81+3)+J91),IF(D81=0,H81*0.3+J91))))</f>
        <v>45</v>
      </c>
    </row>
    <row r="93" spans="1:10" ht="20.25" x14ac:dyDescent="0.25">
      <c r="A93" s="138" t="s">
        <v>147</v>
      </c>
      <c r="B93" s="138"/>
      <c r="C93" s="38">
        <v>0</v>
      </c>
      <c r="D93" s="34">
        <f ca="1">((100/(H81))*C93)/100</f>
        <v>0</v>
      </c>
      <c r="E93" s="175"/>
      <c r="F93" s="176"/>
      <c r="G93" s="138"/>
      <c r="H93" s="138"/>
    </row>
    <row r="94" spans="1:10" ht="20.25" x14ac:dyDescent="0.25">
      <c r="A94" s="138" t="s">
        <v>148</v>
      </c>
      <c r="B94" s="138"/>
      <c r="C94" s="38">
        <v>0</v>
      </c>
      <c r="D94" s="34">
        <f ca="1">((100/(H81))*C94)/100</f>
        <v>0</v>
      </c>
      <c r="E94" s="177"/>
      <c r="F94" s="178"/>
      <c r="G94" s="138"/>
      <c r="H94" s="138"/>
    </row>
    <row r="95" spans="1:10" ht="21" thickBot="1" x14ac:dyDescent="0.3">
      <c r="A95" s="129" t="s">
        <v>66</v>
      </c>
      <c r="B95" s="130"/>
      <c r="C95" s="130"/>
      <c r="D95" s="130"/>
      <c r="E95" s="130"/>
      <c r="F95" s="130"/>
      <c r="G95" s="130"/>
      <c r="H95" s="131"/>
    </row>
    <row r="96" spans="1:10" ht="20.25" customHeight="1" x14ac:dyDescent="0.3">
      <c r="A96" s="191" t="str">
        <f>CONCATENATE((IF(OR(A48="",A48="NA"),"",A48)),"= ",(IF(OR(D48="",D48="NA"),"",D48)),".")</f>
        <v>Building No.7 (Wing C)= 3B + LW Gr + Gr + 1st to 4th Shopping Mall/Comm. + 5th Service Floor.</v>
      </c>
      <c r="B96" s="192"/>
      <c r="C96" s="193"/>
      <c r="D96" s="38" t="s">
        <v>117</v>
      </c>
      <c r="E96" s="189" t="s">
        <v>103</v>
      </c>
      <c r="F96" s="190"/>
      <c r="G96" s="38" t="s">
        <v>118</v>
      </c>
      <c r="H96" s="38" t="s">
        <v>119</v>
      </c>
      <c r="I96" s="16" t="str">
        <f ca="1">(IF(E99&gt;99%,"All work completed. Please provide OC.",IF(E99&gt;89.8%,"Plinth, RCC, Brick, Plaster, Flooring, Wooden, Plumbing, Electrification, etc., work Completed. Finishing work is in process.",IF(E99&lt;94%,(IF(C99=0,"Work not yet Started.",IF(D99=25%,"Piling work in process",IF(D99=50%,"Excavation work in process",IF(D99=100%,"Excavation work Completed. ","0")))&amp;(IF(C100=0%,"",IF(C100=J101,"Footing work is process",IF(C100=J102,"Footing work Completed",IF(C100=J103,"1st Basement Completed",IF(C100=J104,"1st &amp; 2nd Basement Completed",IF(C100=J105,"1st to 3rd Basement Completed",IF(C100=J106,"1st to 4th Basement Completed",IF(C100=J107,"Plinth work is process",IF(C100=J108,"Plinth work completed","0")))))))))))&amp;(IF(C101=(E97+G97+H97),", RCC Slab",IF(C101&gt;0,", RCC upto "&amp;C101&amp;" Slab",""))&amp;(IF(C102=H97,", Brickwork",IF(C102&gt;0,", Brickwork upto "&amp;C102&amp;" Floor",""))&amp;(IF(C103=H97,", Internal Plaster",IF(C103&gt;0,", Internal Plaster upto "&amp;C103&amp;" Floor",""))&amp;(IF(C104=H97,", External Plaster",IF(C104&gt;0,", External Plaster upto "&amp;C104&amp;" Floor",""))&amp;(IF(C105=H97,", External Plumbing, Elevation and Waterproofing",IF(C105&gt;0,", External Plumbing, Elevation and Waterproofing upto "&amp;C105&amp;" Floor",""))&amp;(IF(C106=H97,", Flooring &amp; Fitting",IF(C106&gt;0,", Flooring &amp; Fitting upto "&amp;C106&amp;" Floor",""))&amp;(IF(C107=H97,", Wooden Work",IF(C107&gt;0,", Wooden Work upto "&amp;C107&amp;" Floor",""))&amp;(IF(C108=H97,", Electrical &amp; Sanitary fittings",IF(C108&gt;0,", Electrical &amp; Sanitary fittings upto "&amp;C108&amp;" Floor",""))&amp;(IF(C109&gt;0,", Finishing upto "&amp;C109&amp;" Floor","")&amp;(IF(C101&gt;0.5," Completed",""))))))))))))))))</f>
        <v>Excavation work Completed. Footing work is process</v>
      </c>
      <c r="J96" s="18"/>
    </row>
    <row r="97" spans="1:11" ht="20.25" x14ac:dyDescent="0.3">
      <c r="A97" s="194"/>
      <c r="B97" s="195"/>
      <c r="C97" s="196"/>
      <c r="D97" s="90">
        <f>IF(AND(ISNUMBER(SEARCH("1B",A96))),1,IF(AND(ISNUMBER(SEARCH("2B",A96))),2,IF(AND(ISNUMBER(SEARCH("3B",A96))),3,IF(AND(ISNUMBER(SEARCH("4B",A96))),4,IF(ISNUMBER(SEARCH("5B",A96)),5,0)))))</f>
        <v>3</v>
      </c>
      <c r="E97" s="189">
        <v>2</v>
      </c>
      <c r="F97" s="190"/>
      <c r="G97" s="90">
        <v>0</v>
      </c>
      <c r="H97" s="38">
        <f ca="1">--TRIM(RIGHT(SUBSTITUTE(LEFT(A96,_xlfn.AGGREGATE(16,6,FIND({0,1,2,3,4,5,6,7,8,9},A96,ROW(INDIRECT("1:"&amp;LEN(A96)))),1))," ",REPT(" ",LEN(A96))),LEN(A96)))</f>
        <v>5</v>
      </c>
      <c r="I97" s="17" t="s">
        <v>123</v>
      </c>
      <c r="J97" s="18"/>
    </row>
    <row r="98" spans="1:11" ht="20.25" customHeight="1" x14ac:dyDescent="0.3">
      <c r="A98" s="187" t="s">
        <v>121</v>
      </c>
      <c r="B98" s="188"/>
      <c r="C98" s="45" t="s">
        <v>135</v>
      </c>
      <c r="D98" s="45" t="s">
        <v>136</v>
      </c>
      <c r="E98" s="187" t="s">
        <v>122</v>
      </c>
      <c r="F98" s="188"/>
      <c r="G98" s="29" t="s">
        <v>120</v>
      </c>
      <c r="H98" s="29"/>
      <c r="I98" s="20" t="s">
        <v>137</v>
      </c>
      <c r="J98" s="19">
        <f ca="1">H97*25%</f>
        <v>1.25</v>
      </c>
    </row>
    <row r="99" spans="1:11" ht="20.25" customHeight="1" x14ac:dyDescent="0.3">
      <c r="A99" s="134" t="s">
        <v>138</v>
      </c>
      <c r="B99" s="135"/>
      <c r="C99" s="38">
        <f ca="1">J100</f>
        <v>5</v>
      </c>
      <c r="D99" s="39">
        <f ca="1">((100/H97)*C99)/100</f>
        <v>1</v>
      </c>
      <c r="E99" s="173">
        <f ca="1">(((C99/H97*10)+(C100/H97*15)+(25/(E97+G97+H97)*C101)+(5/(H97)*C102)+(2.5/(H97)*C103)+(2.5/(H97)*C104)+(5/H97*C105)+(10/H97*C106)+(2.5/H97*C107)+(2.5/H97*C108)+(10/H97*C109)+(10/H97*C110))/100)</f>
        <v>0.13</v>
      </c>
      <c r="F99" s="174"/>
      <c r="G99" s="173" t="str">
        <f ca="1">I96</f>
        <v>Excavation work Completed. Footing work is process</v>
      </c>
      <c r="H99" s="174"/>
      <c r="I99" s="20" t="s">
        <v>124</v>
      </c>
      <c r="J99" s="24">
        <f ca="1">H97*50%</f>
        <v>2.5</v>
      </c>
    </row>
    <row r="100" spans="1:11" ht="20.25" x14ac:dyDescent="0.3">
      <c r="A100" s="134" t="s">
        <v>104</v>
      </c>
      <c r="B100" s="135"/>
      <c r="C100" s="40">
        <f ca="1">J101</f>
        <v>1</v>
      </c>
      <c r="D100" s="39">
        <f ca="1">((100/H97)*C100)/100</f>
        <v>0.2</v>
      </c>
      <c r="E100" s="175"/>
      <c r="F100" s="176"/>
      <c r="G100" s="175"/>
      <c r="H100" s="176"/>
      <c r="I100" s="20" t="s">
        <v>125</v>
      </c>
      <c r="J100" s="24">
        <f ca="1">H97</f>
        <v>5</v>
      </c>
    </row>
    <row r="101" spans="1:11" ht="21" customHeight="1" x14ac:dyDescent="0.35">
      <c r="A101" s="134" t="s">
        <v>139</v>
      </c>
      <c r="B101" s="135"/>
      <c r="C101" s="38">
        <v>0</v>
      </c>
      <c r="D101" s="39">
        <f ca="1">((100/(E97+G97+H97))*C101)/100</f>
        <v>0</v>
      </c>
      <c r="E101" s="175"/>
      <c r="F101" s="176"/>
      <c r="G101" s="175"/>
      <c r="H101" s="176"/>
      <c r="I101" s="20" t="s">
        <v>126</v>
      </c>
      <c r="J101" s="25">
        <f ca="1">(IF(D97&gt;1,(H97/(D97+2)),H97*0.2))</f>
        <v>1</v>
      </c>
    </row>
    <row r="102" spans="1:11" ht="21" customHeight="1" x14ac:dyDescent="0.35">
      <c r="A102" s="134" t="s">
        <v>140</v>
      </c>
      <c r="B102" s="135"/>
      <c r="C102" s="38">
        <v>0</v>
      </c>
      <c r="D102" s="39">
        <f ca="1">((100/H97)*C102)/100</f>
        <v>0</v>
      </c>
      <c r="E102" s="175"/>
      <c r="F102" s="176"/>
      <c r="G102" s="175"/>
      <c r="H102" s="176"/>
      <c r="I102" s="20" t="s">
        <v>127</v>
      </c>
      <c r="J102" s="25">
        <f ca="1">(IF(D97&gt;1,(H97/(D97+2)+J101),H97*0.2+J101))</f>
        <v>2</v>
      </c>
    </row>
    <row r="103" spans="1:11" ht="21" customHeight="1" x14ac:dyDescent="0.35">
      <c r="A103" s="134" t="s">
        <v>141</v>
      </c>
      <c r="B103" s="135"/>
      <c r="C103" s="38">
        <v>0</v>
      </c>
      <c r="D103" s="39">
        <f ca="1">((100/H97)*C103)/100</f>
        <v>0</v>
      </c>
      <c r="E103" s="175"/>
      <c r="F103" s="176"/>
      <c r="G103" s="175"/>
      <c r="H103" s="176"/>
      <c r="I103" s="20" t="s">
        <v>142</v>
      </c>
      <c r="J103" s="25">
        <f ca="1">(IF(D97&gt;1,(H97/(D97+2)+J102),0))</f>
        <v>3</v>
      </c>
    </row>
    <row r="104" spans="1:11" ht="21" customHeight="1" x14ac:dyDescent="0.35">
      <c r="A104" s="134" t="s">
        <v>173</v>
      </c>
      <c r="B104" s="135"/>
      <c r="C104" s="38">
        <v>0</v>
      </c>
      <c r="D104" s="39">
        <f ca="1">((100/H97)*C104)/100</f>
        <v>0</v>
      </c>
      <c r="E104" s="175"/>
      <c r="F104" s="176"/>
      <c r="G104" s="175"/>
      <c r="H104" s="176"/>
      <c r="I104" s="20" t="s">
        <v>143</v>
      </c>
      <c r="J104" s="25">
        <f ca="1">(IF(D97&gt;2,(H97/(D97+2)+J103),0))</f>
        <v>4</v>
      </c>
    </row>
    <row r="105" spans="1:11" ht="57.75" customHeight="1" x14ac:dyDescent="0.35">
      <c r="A105" s="134" t="s">
        <v>170</v>
      </c>
      <c r="B105" s="135"/>
      <c r="C105" s="38">
        <v>0</v>
      </c>
      <c r="D105" s="39">
        <f ca="1">((100/(H97))*C105)/100</f>
        <v>0</v>
      </c>
      <c r="E105" s="175"/>
      <c r="F105" s="176"/>
      <c r="G105" s="175"/>
      <c r="H105" s="176"/>
      <c r="I105" s="20" t="s">
        <v>145</v>
      </c>
      <c r="J105" s="26">
        <f>(IF(D97&gt;3,(H97/(D97+2)+J104),0))</f>
        <v>0</v>
      </c>
    </row>
    <row r="106" spans="1:11" ht="21" customHeight="1" x14ac:dyDescent="0.35">
      <c r="A106" s="134" t="s">
        <v>144</v>
      </c>
      <c r="B106" s="135"/>
      <c r="C106" s="38">
        <v>0</v>
      </c>
      <c r="D106" s="39">
        <f ca="1">((100/(H97))*C106)/100</f>
        <v>0</v>
      </c>
      <c r="E106" s="175"/>
      <c r="F106" s="176"/>
      <c r="G106" s="175"/>
      <c r="H106" s="176"/>
      <c r="I106" s="20" t="s">
        <v>146</v>
      </c>
      <c r="J106" s="25">
        <f>(IF(D97&gt;4,(H97/(D97+2)+J105),0))</f>
        <v>0</v>
      </c>
    </row>
    <row r="107" spans="1:11" ht="21" customHeight="1" x14ac:dyDescent="0.35">
      <c r="A107" s="134" t="s">
        <v>172</v>
      </c>
      <c r="B107" s="135"/>
      <c r="C107" s="38">
        <v>0</v>
      </c>
      <c r="D107" s="39">
        <f ca="1">((100/H97)*C107)/100</f>
        <v>0</v>
      </c>
      <c r="E107" s="175"/>
      <c r="F107" s="176"/>
      <c r="G107" s="175"/>
      <c r="H107" s="176"/>
      <c r="I107" s="20" t="s">
        <v>128</v>
      </c>
      <c r="J107" s="25">
        <f>(IF(D97=1,(H97/(D97+3)+J102),IF(D97=0,(H97*0.3+J102),IF(D97&gt;1,0))))</f>
        <v>0</v>
      </c>
    </row>
    <row r="108" spans="1:11" ht="21.75" customHeight="1" thickBot="1" x14ac:dyDescent="0.4">
      <c r="A108" s="134" t="s">
        <v>171</v>
      </c>
      <c r="B108" s="135"/>
      <c r="C108" s="38">
        <v>0</v>
      </c>
      <c r="D108" s="39">
        <f ca="1">((100/H97)*C108)/100</f>
        <v>0</v>
      </c>
      <c r="E108" s="175"/>
      <c r="F108" s="176"/>
      <c r="G108" s="175"/>
      <c r="H108" s="176"/>
      <c r="I108" s="22" t="s">
        <v>129</v>
      </c>
      <c r="J108" s="27">
        <f ca="1">(IF(D97&gt;1.5,(H97/(D97+2)+J102+MAX(0,J103-J102)+MAX(0,J104-J103)+MAX(0,J105-J104)+MAX(0,J106-J105)+MAX(0,J107-J106)),IF(D97=1,(H97/(D97+3)+J107),IF(D97=0,H97*0.3+J107))))</f>
        <v>5</v>
      </c>
    </row>
    <row r="109" spans="1:11" ht="20.25" customHeight="1" x14ac:dyDescent="0.25">
      <c r="A109" s="134" t="s">
        <v>147</v>
      </c>
      <c r="B109" s="135"/>
      <c r="C109" s="38">
        <v>0</v>
      </c>
      <c r="D109" s="39">
        <f ca="1">((100/(H97))*C109)/100</f>
        <v>0</v>
      </c>
      <c r="E109" s="175"/>
      <c r="F109" s="176"/>
      <c r="G109" s="175"/>
      <c r="H109" s="176"/>
    </row>
    <row r="110" spans="1:11" ht="20.25" x14ac:dyDescent="0.25">
      <c r="A110" s="134" t="s">
        <v>148</v>
      </c>
      <c r="B110" s="135"/>
      <c r="C110" s="38">
        <v>0</v>
      </c>
      <c r="D110" s="39">
        <f ca="1">((100/(H97))*C110)/100</f>
        <v>0</v>
      </c>
      <c r="E110" s="177"/>
      <c r="F110" s="178"/>
      <c r="G110" s="177"/>
      <c r="H110" s="178"/>
    </row>
    <row r="111" spans="1:11" ht="36.75" customHeight="1" x14ac:dyDescent="0.3">
      <c r="A111" s="124" t="s">
        <v>130</v>
      </c>
      <c r="B111" s="125"/>
      <c r="C111" s="125"/>
      <c r="D111" s="125"/>
      <c r="E111" s="125"/>
      <c r="F111" s="125"/>
      <c r="G111" s="151">
        <f ca="1">AVERAGE(E67,E67,E83,E83,E99)</f>
        <v>0.13</v>
      </c>
      <c r="H111" s="152"/>
      <c r="I111" s="20"/>
      <c r="J111" s="21"/>
      <c r="K111" s="21"/>
    </row>
    <row r="112" spans="1:11" ht="20.25" x14ac:dyDescent="0.25">
      <c r="A112" s="129" t="s">
        <v>70</v>
      </c>
      <c r="B112" s="130"/>
      <c r="C112" s="130"/>
      <c r="D112" s="130"/>
      <c r="E112" s="130"/>
      <c r="F112" s="130"/>
      <c r="G112" s="130"/>
      <c r="H112" s="131"/>
    </row>
    <row r="113" spans="1:150 16226:16383" ht="54.75" customHeight="1" x14ac:dyDescent="0.25">
      <c r="A113" s="111" t="s">
        <v>71</v>
      </c>
      <c r="B113" s="112"/>
      <c r="C113" s="107" t="s">
        <v>109</v>
      </c>
      <c r="D113" s="108"/>
      <c r="E113" s="111" t="s">
        <v>149</v>
      </c>
      <c r="F113" s="112" t="s">
        <v>4</v>
      </c>
      <c r="G113" s="106" t="s">
        <v>162</v>
      </c>
      <c r="H113" s="106"/>
    </row>
    <row r="114" spans="1:150 16226:16383" ht="44.25" customHeight="1" x14ac:dyDescent="0.25">
      <c r="A114" s="111" t="s">
        <v>159</v>
      </c>
      <c r="B114" s="112"/>
      <c r="C114" s="107" t="s">
        <v>386</v>
      </c>
      <c r="D114" s="108"/>
      <c r="E114" s="111" t="s">
        <v>160</v>
      </c>
      <c r="F114" s="112" t="s">
        <v>4</v>
      </c>
      <c r="G114" s="120" t="s">
        <v>150</v>
      </c>
      <c r="H114" s="120"/>
    </row>
    <row r="115" spans="1:150 16226:16383" ht="20.25" x14ac:dyDescent="0.25">
      <c r="A115" s="111" t="s">
        <v>72</v>
      </c>
      <c r="B115" s="112"/>
      <c r="C115" s="109">
        <v>600000</v>
      </c>
      <c r="D115" s="110"/>
      <c r="E115" s="111" t="s">
        <v>102</v>
      </c>
      <c r="F115" s="112" t="s">
        <v>4</v>
      </c>
      <c r="G115" s="107" t="s">
        <v>110</v>
      </c>
      <c r="H115" s="108"/>
    </row>
    <row r="116" spans="1:150 16226:16383" ht="20.25" hidden="1" x14ac:dyDescent="0.25">
      <c r="A116" s="129" t="s">
        <v>69</v>
      </c>
      <c r="B116" s="130"/>
      <c r="C116" s="130"/>
      <c r="D116" s="130"/>
      <c r="E116" s="130"/>
      <c r="F116" s="130"/>
      <c r="G116" s="130"/>
      <c r="H116" s="131"/>
    </row>
    <row r="117" spans="1:150 16226:16383" ht="20.25" hidden="1" customHeight="1" x14ac:dyDescent="0.25">
      <c r="A117" s="111" t="s">
        <v>8</v>
      </c>
      <c r="B117" s="113"/>
      <c r="C117" s="113"/>
      <c r="D117" s="113"/>
      <c r="E117" s="113"/>
      <c r="F117" s="112"/>
      <c r="G117" s="156">
        <f>27700/10.764</f>
        <v>2573.3927907840953</v>
      </c>
      <c r="H117" s="157"/>
    </row>
    <row r="118" spans="1:150 16226:16383" ht="20.25" hidden="1" customHeight="1" x14ac:dyDescent="0.25">
      <c r="A118" s="111" t="s">
        <v>27</v>
      </c>
      <c r="B118" s="113"/>
      <c r="C118" s="113"/>
      <c r="D118" s="113"/>
      <c r="E118" s="113"/>
      <c r="F118" s="112" t="s">
        <v>4</v>
      </c>
      <c r="G118" s="155">
        <f>101400/10.764</f>
        <v>9420.289855072464</v>
      </c>
      <c r="H118" s="155"/>
    </row>
    <row r="119" spans="1:150 16226:16383" ht="20.25" hidden="1" customHeight="1" x14ac:dyDescent="0.25">
      <c r="A119" s="111" t="s">
        <v>111</v>
      </c>
      <c r="B119" s="113"/>
      <c r="C119" s="113"/>
      <c r="D119" s="113"/>
      <c r="E119" s="113"/>
      <c r="F119" s="112" t="s">
        <v>4</v>
      </c>
      <c r="G119" s="155">
        <f>G117*0.8</f>
        <v>2058.7142326272765</v>
      </c>
      <c r="H119" s="155"/>
    </row>
    <row r="120" spans="1:150 16226:16383" ht="20.25" hidden="1" x14ac:dyDescent="0.25">
      <c r="A120" s="153" t="s">
        <v>248</v>
      </c>
      <c r="B120" s="154"/>
      <c r="C120" s="154"/>
      <c r="D120" s="154"/>
      <c r="E120" s="154"/>
      <c r="F120" s="154"/>
      <c r="G120" s="154"/>
      <c r="H120" s="128"/>
    </row>
    <row r="121" spans="1:150 16226:16383" s="3" customFormat="1" ht="20.25" hidden="1" x14ac:dyDescent="0.25">
      <c r="A121" s="102" t="s">
        <v>156</v>
      </c>
      <c r="B121" s="103"/>
      <c r="C121" s="102" t="s">
        <v>157</v>
      </c>
      <c r="D121" s="103"/>
      <c r="E121" s="102" t="s">
        <v>155</v>
      </c>
      <c r="F121" s="103"/>
      <c r="G121" s="102" t="s">
        <v>168</v>
      </c>
      <c r="H121" s="103"/>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hidden="1" x14ac:dyDescent="0.25">
      <c r="A122" s="104"/>
      <c r="B122" s="105"/>
      <c r="C122" s="104"/>
      <c r="D122" s="105"/>
      <c r="E122" s="104"/>
      <c r="F122" s="105"/>
      <c r="G122" s="104"/>
      <c r="H122" s="105"/>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hidden="1" x14ac:dyDescent="0.25">
      <c r="A123" s="104"/>
      <c r="B123" s="105"/>
      <c r="C123" s="104"/>
      <c r="D123" s="105"/>
      <c r="E123" s="104"/>
      <c r="F123" s="105"/>
      <c r="G123" s="104"/>
      <c r="H123" s="10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hidden="1" x14ac:dyDescent="0.25">
      <c r="A124" s="102" t="s">
        <v>158</v>
      </c>
      <c r="B124" s="103"/>
      <c r="C124" s="102" t="s">
        <v>94</v>
      </c>
      <c r="D124" s="103"/>
      <c r="E124" s="102">
        <f>SUM(F122:F123)</f>
        <v>0</v>
      </c>
      <c r="F124" s="103"/>
      <c r="G124" s="102">
        <f>SUM(H122:H123)</f>
        <v>0</v>
      </c>
      <c r="H124" s="103">
        <f>SUM(H122:H123)</f>
        <v>0</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ht="20.25" hidden="1" x14ac:dyDescent="0.25">
      <c r="A125" s="153" t="s">
        <v>236</v>
      </c>
      <c r="B125" s="154"/>
      <c r="C125" s="154"/>
      <c r="D125" s="154"/>
      <c r="E125" s="154"/>
      <c r="F125" s="154"/>
      <c r="G125" s="154"/>
      <c r="H125" s="128"/>
    </row>
    <row r="126" spans="1:150 16226:16383" s="3" customFormat="1" ht="20.25" hidden="1" x14ac:dyDescent="0.25">
      <c r="A126" s="102" t="s">
        <v>156</v>
      </c>
      <c r="B126" s="103"/>
      <c r="C126" s="102" t="s">
        <v>157</v>
      </c>
      <c r="D126" s="103"/>
      <c r="E126" s="102" t="s">
        <v>155</v>
      </c>
      <c r="F126" s="103"/>
      <c r="G126" s="102" t="s">
        <v>168</v>
      </c>
      <c r="H126" s="103"/>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hidden="1" x14ac:dyDescent="0.25">
      <c r="A127" s="104" t="s">
        <v>361</v>
      </c>
      <c r="B127" s="105"/>
      <c r="C127" s="104" t="s">
        <v>94</v>
      </c>
      <c r="D127" s="105"/>
      <c r="E127" s="104">
        <f>COUNT(E146:E155)*26+COUNT(E159:E166)*6</f>
        <v>308</v>
      </c>
      <c r="F127" s="105"/>
      <c r="G127" s="104">
        <f>SUM(H146:H155)*26+SUM(H159:H166)*6</f>
        <v>180015.68286</v>
      </c>
      <c r="H127" s="10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hidden="1" x14ac:dyDescent="0.25">
      <c r="A128" s="104" t="s">
        <v>369</v>
      </c>
      <c r="B128" s="105"/>
      <c r="C128" s="104" t="s">
        <v>94</v>
      </c>
      <c r="D128" s="105"/>
      <c r="E128" s="104">
        <f>COUNT(E176:E185)*26+COUNT(E187:E196)*6</f>
        <v>320</v>
      </c>
      <c r="F128" s="105"/>
      <c r="G128" s="104">
        <f>SUM(H176:H185)*26+SUM(H187:H196)*6</f>
        <v>160278.54336000001</v>
      </c>
      <c r="H128" s="105"/>
      <c r="I128" s="1"/>
      <c r="J128" s="1">
        <f>10000*1.5</f>
        <v>15000</v>
      </c>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hidden="1" x14ac:dyDescent="0.25">
      <c r="A129" s="102" t="s">
        <v>158</v>
      </c>
      <c r="B129" s="103"/>
      <c r="C129" s="102" t="s">
        <v>94</v>
      </c>
      <c r="D129" s="103"/>
      <c r="E129" s="102">
        <f>SUM(E127:F128)</f>
        <v>628</v>
      </c>
      <c r="F129" s="103"/>
      <c r="G129" s="102">
        <f>SUM(G127:H128)</f>
        <v>340294.22622000001</v>
      </c>
      <c r="H129" s="103"/>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hidden="1" x14ac:dyDescent="0.25">
      <c r="A130" s="102" t="s">
        <v>249</v>
      </c>
      <c r="B130" s="103"/>
      <c r="C130" s="102" t="s">
        <v>94</v>
      </c>
      <c r="D130" s="103"/>
      <c r="E130" s="102">
        <f>SUM(F124,F129)</f>
        <v>0</v>
      </c>
      <c r="F130" s="103"/>
      <c r="G130" s="102">
        <f>SUM(H124,H129)</f>
        <v>0</v>
      </c>
      <c r="H130" s="103"/>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ht="20.25" hidden="1" x14ac:dyDescent="0.25">
      <c r="A131" s="126" t="s">
        <v>154</v>
      </c>
      <c r="B131" s="127"/>
      <c r="C131" s="127"/>
      <c r="D131" s="127"/>
      <c r="E131" s="127"/>
      <c r="F131" s="127"/>
      <c r="G131" s="127"/>
      <c r="H131" s="128"/>
    </row>
    <row r="132" spans="1:150 16226:16383" ht="66" hidden="1" customHeight="1" x14ac:dyDescent="0.25">
      <c r="A132" s="65" t="s">
        <v>237</v>
      </c>
      <c r="B132" s="44" t="s">
        <v>238</v>
      </c>
      <c r="C132" s="43" t="s">
        <v>239</v>
      </c>
      <c r="D132" s="31" t="s">
        <v>87</v>
      </c>
      <c r="E132" s="44" t="s">
        <v>169</v>
      </c>
      <c r="F132" s="43" t="s">
        <v>240</v>
      </c>
      <c r="G132" s="31" t="s">
        <v>89</v>
      </c>
      <c r="H132" s="31" t="s">
        <v>88</v>
      </c>
    </row>
    <row r="133" spans="1:150 16226:16383" s="3" customFormat="1" ht="20.25" hidden="1" x14ac:dyDescent="0.25">
      <c r="A133" s="99" t="s">
        <v>351</v>
      </c>
      <c r="B133" s="100"/>
      <c r="C133" s="100"/>
      <c r="D133" s="100"/>
      <c r="E133" s="100"/>
      <c r="F133" s="100"/>
      <c r="G133" s="100"/>
      <c r="H133" s="10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hidden="1" x14ac:dyDescent="0.25">
      <c r="A134" s="117" t="s">
        <v>361</v>
      </c>
      <c r="B134" s="118"/>
      <c r="C134" s="118"/>
      <c r="D134" s="118"/>
      <c r="E134" s="118"/>
      <c r="F134" s="118"/>
      <c r="G134" s="118"/>
      <c r="H134" s="11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hidden="1" x14ac:dyDescent="0.25">
      <c r="A135" s="99" t="s">
        <v>352</v>
      </c>
      <c r="B135" s="100"/>
      <c r="C135" s="100"/>
      <c r="D135" s="100"/>
      <c r="E135" s="100"/>
      <c r="F135" s="100"/>
      <c r="G135" s="100"/>
      <c r="H135" s="10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hidden="1" x14ac:dyDescent="0.25">
      <c r="A136" s="99" t="s">
        <v>353</v>
      </c>
      <c r="B136" s="100"/>
      <c r="C136" s="100"/>
      <c r="D136" s="100"/>
      <c r="E136" s="100"/>
      <c r="F136" s="100"/>
      <c r="G136" s="100"/>
      <c r="H136" s="10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hidden="1" x14ac:dyDescent="0.25">
      <c r="A137" s="99" t="s">
        <v>354</v>
      </c>
      <c r="B137" s="100"/>
      <c r="C137" s="100"/>
      <c r="D137" s="100"/>
      <c r="E137" s="100"/>
      <c r="F137" s="100"/>
      <c r="G137" s="100"/>
      <c r="H137" s="10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hidden="1" x14ac:dyDescent="0.25">
      <c r="A138" s="99" t="s">
        <v>355</v>
      </c>
      <c r="B138" s="100"/>
      <c r="C138" s="100"/>
      <c r="D138" s="100"/>
      <c r="E138" s="100"/>
      <c r="F138" s="100"/>
      <c r="G138" s="100"/>
      <c r="H138" s="10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hidden="1" x14ac:dyDescent="0.25">
      <c r="A139" s="99" t="s">
        <v>356</v>
      </c>
      <c r="B139" s="100"/>
      <c r="C139" s="100"/>
      <c r="D139" s="100"/>
      <c r="E139" s="100"/>
      <c r="F139" s="100"/>
      <c r="G139" s="100"/>
      <c r="H139" s="10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hidden="1" x14ac:dyDescent="0.25">
      <c r="A140" s="99" t="s">
        <v>357</v>
      </c>
      <c r="B140" s="100"/>
      <c r="C140" s="100"/>
      <c r="D140" s="100"/>
      <c r="E140" s="100"/>
      <c r="F140" s="100"/>
      <c r="G140" s="100"/>
      <c r="H140" s="10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hidden="1" x14ac:dyDescent="0.25">
      <c r="A141" s="99" t="s">
        <v>358</v>
      </c>
      <c r="B141" s="100"/>
      <c r="C141" s="100"/>
      <c r="D141" s="100"/>
      <c r="E141" s="100"/>
      <c r="F141" s="100"/>
      <c r="G141" s="100"/>
      <c r="H141" s="10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hidden="1" x14ac:dyDescent="0.25">
      <c r="A142" s="99" t="s">
        <v>359</v>
      </c>
      <c r="B142" s="100"/>
      <c r="C142" s="100"/>
      <c r="D142" s="100"/>
      <c r="E142" s="100"/>
      <c r="F142" s="100"/>
      <c r="G142" s="100"/>
      <c r="H142" s="10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hidden="1" x14ac:dyDescent="0.25">
      <c r="A143" s="99" t="s">
        <v>360</v>
      </c>
      <c r="B143" s="100"/>
      <c r="C143" s="100"/>
      <c r="D143" s="100"/>
      <c r="E143" s="100"/>
      <c r="F143" s="100"/>
      <c r="G143" s="100"/>
      <c r="H143" s="10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hidden="1" x14ac:dyDescent="0.25">
      <c r="A144" s="99" t="s">
        <v>362</v>
      </c>
      <c r="B144" s="100"/>
      <c r="C144" s="100"/>
      <c r="D144" s="100"/>
      <c r="E144" s="100"/>
      <c r="F144" s="100"/>
      <c r="G144" s="100"/>
      <c r="H144" s="10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39.75" hidden="1" customHeight="1" x14ac:dyDescent="0.25">
      <c r="A145" s="114" t="s">
        <v>372</v>
      </c>
      <c r="B145" s="115"/>
      <c r="C145" s="115"/>
      <c r="D145" s="115"/>
      <c r="E145" s="115"/>
      <c r="F145" s="115"/>
      <c r="G145" s="115"/>
      <c r="H145" s="116"/>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hidden="1" customHeight="1" x14ac:dyDescent="0.25">
      <c r="A146" s="98">
        <v>1</v>
      </c>
      <c r="B146" s="98"/>
      <c r="C146" s="66" t="s">
        <v>94</v>
      </c>
      <c r="D146" s="66" t="s">
        <v>363</v>
      </c>
      <c r="E146" s="92">
        <f>(52.55)*10.764</f>
        <v>565.64819999999997</v>
      </c>
      <c r="F146" s="92">
        <f>(1.2*(2.7+3)+0.6*3.4+1.4*1)*10.764</f>
        <v>110.65391999999999</v>
      </c>
      <c r="G146" s="92">
        <v>0</v>
      </c>
      <c r="H146" s="92">
        <f>E146+F146+(IF(G146&lt;101,G146,IF(G146&lt;201,G146/2,IF(G146&lt;=301,G146/3,G146/4))))</f>
        <v>676.30211999999995</v>
      </c>
      <c r="I146" s="1"/>
      <c r="J146" s="1"/>
      <c r="K146" s="1"/>
      <c r="L146" s="1"/>
      <c r="M146" s="1"/>
      <c r="N146" s="1"/>
      <c r="O146" s="1"/>
      <c r="P146" s="1"/>
      <c r="Q146" s="1"/>
      <c r="R146" s="1"/>
      <c r="S146" s="1"/>
      <c r="T146" s="23" t="e">
        <f t="shared" ref="T146:T153" ca="1" si="0">U146&amp;""&amp;",..,"&amp;""&amp;V146</f>
        <v>#VALUE!</v>
      </c>
      <c r="U146" s="23">
        <f ca="1">(SUMPRODUCT(MID(0&amp;(LEFT(A145,SUM(LEN(A145)-LEN(SUBSTITUTE(A145,{"0","1","2","3"},""))))), LARGE(INDEX(ISNUMBER(--MID((LEFT(A145,SUM(LEN(A145)-LEN(SUBSTITUTE(A145,{"0","1","2","3"},""))))), ROW(INDIRECT("1:"&amp;LEN((LEFT(A145,SUM(LEN(A145)-LEN(SUBSTITUTE(A145,{"0","1","2","3"},"")))))))), 1)) * ROW(INDIRECT("1:"&amp;LEN((LEFT(A145,SUM(LEN(A145)-LEN(SUBSTITUTE(A145,{"0","1","2","3"},"")))))))), 0), ROW(INDIRECT("1:"&amp;LEN((LEFT(A145,SUM(LEN(A145)-LEN(SUBSTITUTE(A145,{"0","1","2","3"},"")))))))))+1, 1) * 10^ROW(INDIRECT("1:"&amp;LEN((LEFT(A145,SUM(LEN(A145)-LEN(SUBSTITUTE(A145,{"0","1","2","3"},""))))))))/10))*100+1</f>
        <v>7101201</v>
      </c>
      <c r="V146" s="23" t="e">
        <f ca="1">(SUMPRODUCT(MID(0&amp;(--TRIM(RIGHT(SUBSTITUTE(LEFT(A145,_xlfn.AGGREGATE(16,6,FIND({0,1,2,3,4,5,6,7,8,9},A145,ROW(INDIRECT("1:"&amp;LEN(A145)))),1)),"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",LEN(A145))),LEN(A145)))))))/10))*100+1</f>
        <v>#VALUE!</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hidden="1" customHeight="1" x14ac:dyDescent="0.25">
      <c r="A147" s="98">
        <f>A146+1</f>
        <v>2</v>
      </c>
      <c r="B147" s="98"/>
      <c r="C147" s="66" t="s">
        <v>94</v>
      </c>
      <c r="D147" s="66" t="s">
        <v>364</v>
      </c>
      <c r="E147" s="91">
        <f>(33.91)*10.764</f>
        <v>365.00723999999997</v>
      </c>
      <c r="F147" s="92">
        <f>(0.75*(2.75+2)+2*1.8)*10.764</f>
        <v>77.097149999999985</v>
      </c>
      <c r="G147" s="92">
        <v>0</v>
      </c>
      <c r="H147" s="92">
        <f t="shared" ref="H147:H153" si="1">E147+F147+(IF(G147&lt;101,G147,IF(G147&lt;201,G147/2,IF(G147&lt;=301,G147/3,G147/4))))</f>
        <v>442.10438999999997</v>
      </c>
      <c r="I147" s="1"/>
      <c r="J147" s="1"/>
      <c r="K147" s="1"/>
      <c r="L147" s="1"/>
      <c r="M147" s="1"/>
      <c r="N147" s="1"/>
      <c r="O147" s="1"/>
      <c r="P147" s="1"/>
      <c r="Q147" s="1"/>
      <c r="R147" s="1"/>
      <c r="S147" s="1"/>
      <c r="T147" s="23" t="e">
        <f t="shared" ca="1" si="0"/>
        <v>#VALUE!</v>
      </c>
      <c r="U147" s="23">
        <f ca="1">U146+1</f>
        <v>7101202</v>
      </c>
      <c r="V147" s="23" t="e">
        <f ca="1">V146+1</f>
        <v>#VALUE!</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hidden="1" customHeight="1" x14ac:dyDescent="0.25">
      <c r="A148" s="98">
        <f t="shared" ref="A148:A153" si="2">A147+1</f>
        <v>3</v>
      </c>
      <c r="B148" s="98"/>
      <c r="C148" s="66" t="s">
        <v>94</v>
      </c>
      <c r="D148" s="66" t="s">
        <v>364</v>
      </c>
      <c r="E148" s="91">
        <f>(29.89)*10.764</f>
        <v>321.73595999999998</v>
      </c>
      <c r="F148" s="92">
        <f>(1.2*(2.75+1.95)+2*1.8)*10.764</f>
        <v>99.45935999999999</v>
      </c>
      <c r="G148" s="92">
        <v>0</v>
      </c>
      <c r="H148" s="92">
        <f t="shared" si="1"/>
        <v>421.19531999999998</v>
      </c>
      <c r="I148" s="1"/>
      <c r="J148" s="1"/>
      <c r="K148" s="1"/>
      <c r="L148" s="1"/>
      <c r="M148" s="1"/>
      <c r="N148" s="1"/>
      <c r="O148" s="1"/>
      <c r="P148" s="1"/>
      <c r="Q148" s="1"/>
      <c r="R148" s="1"/>
      <c r="S148" s="1"/>
      <c r="T148" s="23" t="e">
        <f t="shared" ca="1" si="0"/>
        <v>#VALUE!</v>
      </c>
      <c r="U148" s="23">
        <f t="shared" ref="U148:V153" ca="1" si="3">U147+1</f>
        <v>7101203</v>
      </c>
      <c r="V148" s="23" t="e">
        <f t="shared" ca="1" si="3"/>
        <v>#VALUE!</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hidden="1" customHeight="1" x14ac:dyDescent="0.25">
      <c r="A149" s="98">
        <f t="shared" si="2"/>
        <v>4</v>
      </c>
      <c r="B149" s="98"/>
      <c r="C149" s="66" t="s">
        <v>94</v>
      </c>
      <c r="D149" s="66" t="s">
        <v>365</v>
      </c>
      <c r="E149" s="91">
        <f>(71.55)*10.764</f>
        <v>770.16419999999994</v>
      </c>
      <c r="F149" s="92">
        <f>(1.2*(2.8+2.75)+2.9*0.6+2.1*0.9+3*0.75)*10.764</f>
        <v>134.98055999999997</v>
      </c>
      <c r="G149" s="92">
        <v>0</v>
      </c>
      <c r="H149" s="92">
        <f t="shared" si="1"/>
        <v>905.14475999999991</v>
      </c>
      <c r="I149" s="1"/>
      <c r="J149" s="1"/>
      <c r="K149" s="1"/>
      <c r="L149" s="1"/>
      <c r="M149" s="1"/>
      <c r="N149" s="1"/>
      <c r="O149" s="1"/>
      <c r="P149" s="1"/>
      <c r="Q149" s="1"/>
      <c r="R149" s="1"/>
      <c r="S149" s="1"/>
      <c r="T149" s="23" t="e">
        <f t="shared" ca="1" si="0"/>
        <v>#VALUE!</v>
      </c>
      <c r="U149" s="23">
        <f t="shared" ca="1" si="3"/>
        <v>7101204</v>
      </c>
      <c r="V149" s="23" t="e">
        <f t="shared" ca="1" si="3"/>
        <v>#VALUE!</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hidden="1" customHeight="1" x14ac:dyDescent="0.25">
      <c r="A150" s="98">
        <f t="shared" si="2"/>
        <v>5</v>
      </c>
      <c r="B150" s="98"/>
      <c r="C150" s="66" t="s">
        <v>94</v>
      </c>
      <c r="D150" s="66" t="s">
        <v>366</v>
      </c>
      <c r="E150" s="91">
        <f>(64.17)*10.764</f>
        <v>690.72587999999996</v>
      </c>
      <c r="F150" s="92">
        <f>(0.75*(3.2+2.7*2)+2*1.2)*10.764</f>
        <v>95.261400000000009</v>
      </c>
      <c r="G150" s="92">
        <v>0</v>
      </c>
      <c r="H150" s="92">
        <f t="shared" si="1"/>
        <v>785.98727999999994</v>
      </c>
      <c r="I150" s="1"/>
      <c r="J150" s="1"/>
      <c r="K150" s="1"/>
      <c r="L150" s="1"/>
      <c r="M150" s="1"/>
      <c r="N150" s="1"/>
      <c r="O150" s="1"/>
      <c r="P150" s="1"/>
      <c r="Q150" s="1"/>
      <c r="R150" s="1"/>
      <c r="S150" s="1"/>
      <c r="T150" s="23" t="e">
        <f t="shared" ca="1" si="0"/>
        <v>#VALUE!</v>
      </c>
      <c r="U150" s="23">
        <f t="shared" ca="1" si="3"/>
        <v>7101205</v>
      </c>
      <c r="V150" s="23" t="e">
        <f t="shared" ca="1" si="3"/>
        <v>#VALUE!</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hidden="1" customHeight="1" x14ac:dyDescent="0.25">
      <c r="A151" s="98">
        <f t="shared" si="2"/>
        <v>6</v>
      </c>
      <c r="B151" s="98"/>
      <c r="C151" s="66" t="s">
        <v>94</v>
      </c>
      <c r="D151" s="66" t="s">
        <v>364</v>
      </c>
      <c r="E151" s="91">
        <f>(29.87)*10.764</f>
        <v>321.52067999999997</v>
      </c>
      <c r="F151" s="92">
        <f>(2*1.8+1.2*(1.9+2.7))*10.764</f>
        <v>98.16767999999999</v>
      </c>
      <c r="G151" s="92">
        <v>0</v>
      </c>
      <c r="H151" s="92">
        <f t="shared" si="1"/>
        <v>419.68835999999999</v>
      </c>
      <c r="I151" s="1"/>
      <c r="J151" s="1"/>
      <c r="K151" s="1"/>
      <c r="L151" s="1"/>
      <c r="M151" s="1"/>
      <c r="N151" s="1"/>
      <c r="O151" s="1"/>
      <c r="P151" s="1"/>
      <c r="Q151" s="1"/>
      <c r="R151" s="1"/>
      <c r="S151" s="1"/>
      <c r="T151" s="23" t="e">
        <f t="shared" ca="1" si="0"/>
        <v>#VALUE!</v>
      </c>
      <c r="U151" s="23">
        <f t="shared" ca="1" si="3"/>
        <v>7101206</v>
      </c>
      <c r="V151" s="23" t="e">
        <f t="shared" ca="1" si="3"/>
        <v>#VALUE!</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hidden="1" customHeight="1" x14ac:dyDescent="0.25">
      <c r="A152" s="98">
        <f t="shared" si="2"/>
        <v>7</v>
      </c>
      <c r="B152" s="98"/>
      <c r="C152" s="66" t="s">
        <v>94</v>
      </c>
      <c r="D152" s="66" t="s">
        <v>364</v>
      </c>
      <c r="E152" s="91">
        <f>(29.87)*10.764</f>
        <v>321.52067999999997</v>
      </c>
      <c r="F152" s="92">
        <f>(2*1.8+1.2*(1.9+2.7))*10.764</f>
        <v>98.16767999999999</v>
      </c>
      <c r="G152" s="92">
        <v>0</v>
      </c>
      <c r="H152" s="92">
        <f t="shared" si="1"/>
        <v>419.68835999999999</v>
      </c>
      <c r="I152" s="1"/>
      <c r="J152" s="1"/>
      <c r="K152" s="1"/>
      <c r="L152" s="1"/>
      <c r="M152" s="1"/>
      <c r="N152" s="1"/>
      <c r="O152" s="1"/>
      <c r="P152" s="1"/>
      <c r="Q152" s="1"/>
      <c r="R152" s="1"/>
      <c r="S152" s="1"/>
      <c r="T152" s="23" t="e">
        <f t="shared" ca="1" si="0"/>
        <v>#VALUE!</v>
      </c>
      <c r="U152" s="23">
        <f t="shared" ca="1" si="3"/>
        <v>7101207</v>
      </c>
      <c r="V152" s="23" t="e">
        <f t="shared" ca="1" si="3"/>
        <v>#VALUE!</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hidden="1" customHeight="1" x14ac:dyDescent="0.25">
      <c r="A153" s="98">
        <f t="shared" si="2"/>
        <v>8</v>
      </c>
      <c r="B153" s="98"/>
      <c r="C153" s="66" t="s">
        <v>94</v>
      </c>
      <c r="D153" s="66" t="s">
        <v>363</v>
      </c>
      <c r="E153" s="91">
        <f>(49.24)*10.764</f>
        <v>530.01936000000001</v>
      </c>
      <c r="F153" s="92">
        <f>(1.2*(2.7+2))*10.764</f>
        <v>60.70895999999999</v>
      </c>
      <c r="G153" s="92">
        <v>0</v>
      </c>
      <c r="H153" s="92">
        <f t="shared" si="1"/>
        <v>590.72831999999994</v>
      </c>
      <c r="I153" s="1"/>
      <c r="J153" s="1"/>
      <c r="K153" s="1"/>
      <c r="L153" s="1"/>
      <c r="M153" s="1"/>
      <c r="N153" s="1"/>
      <c r="O153" s="1"/>
      <c r="P153" s="1"/>
      <c r="Q153" s="1"/>
      <c r="R153" s="1"/>
      <c r="S153" s="1"/>
      <c r="T153" s="23" t="e">
        <f t="shared" ca="1" si="0"/>
        <v>#VALUE!</v>
      </c>
      <c r="U153" s="23">
        <f t="shared" ca="1" si="3"/>
        <v>7101208</v>
      </c>
      <c r="V153" s="23" t="e">
        <f t="shared" ca="1" si="3"/>
        <v>#VALUE!</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hidden="1" customHeight="1" x14ac:dyDescent="0.25">
      <c r="A154" s="98">
        <f t="shared" ref="A154:A155" si="4">A153+1</f>
        <v>9</v>
      </c>
      <c r="B154" s="98"/>
      <c r="C154" s="66" t="s">
        <v>94</v>
      </c>
      <c r="D154" s="66" t="s">
        <v>364</v>
      </c>
      <c r="E154" s="91">
        <f>(33.53)*10.764</f>
        <v>360.91692</v>
      </c>
      <c r="F154" s="92">
        <f>(2*1.8+1.2*(2+2.7))*10.764</f>
        <v>99.45935999999999</v>
      </c>
      <c r="G154" s="92">
        <v>0</v>
      </c>
      <c r="H154" s="92">
        <f t="shared" ref="H154:H155" si="5">E154+F154+(IF(G154&lt;101,G154,IF(G154&lt;201,G154/2,IF(G154&lt;=301,G154/3,G154/4))))</f>
        <v>460.37628000000001</v>
      </c>
      <c r="I154" s="1"/>
      <c r="J154" s="1"/>
      <c r="K154" s="1"/>
      <c r="L154" s="1"/>
      <c r="M154" s="1"/>
      <c r="N154" s="1"/>
      <c r="O154" s="1"/>
      <c r="P154" s="1"/>
      <c r="Q154" s="1"/>
      <c r="R154" s="1"/>
      <c r="S154" s="1"/>
      <c r="T154" s="23" t="e">
        <f t="shared" ref="T154:T155" ca="1" si="6">U154&amp;""&amp;",..,"&amp;""&amp;V154</f>
        <v>#VALUE!</v>
      </c>
      <c r="U154" s="23">
        <f t="shared" ref="U154:V154" ca="1" si="7">U153+1</f>
        <v>7101209</v>
      </c>
      <c r="V154" s="23" t="e">
        <f t="shared" ca="1" si="7"/>
        <v>#VALUE!</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hidden="1" customHeight="1" x14ac:dyDescent="0.25">
      <c r="A155" s="98">
        <f t="shared" si="4"/>
        <v>10</v>
      </c>
      <c r="B155" s="98"/>
      <c r="C155" s="66" t="s">
        <v>94</v>
      </c>
      <c r="D155" s="66" t="s">
        <v>363</v>
      </c>
      <c r="E155" s="91">
        <f>(55.54)*10.764</f>
        <v>597.83255999999994</v>
      </c>
      <c r="F155" s="92">
        <f>(1.2*(2.7+3)+3.4*0.75+1.4*1)*10.764</f>
        <v>116.14356000000001</v>
      </c>
      <c r="G155" s="92">
        <v>0</v>
      </c>
      <c r="H155" s="92">
        <f t="shared" si="5"/>
        <v>713.97611999999992</v>
      </c>
      <c r="I155" s="1"/>
      <c r="J155" s="1"/>
      <c r="K155" s="1"/>
      <c r="L155" s="1"/>
      <c r="M155" s="1"/>
      <c r="N155" s="1"/>
      <c r="O155" s="1"/>
      <c r="P155" s="1"/>
      <c r="Q155" s="1"/>
      <c r="R155" s="1"/>
      <c r="S155" s="1"/>
      <c r="T155" s="23" t="e">
        <f t="shared" ca="1" si="6"/>
        <v>#VALUE!</v>
      </c>
      <c r="U155" s="23">
        <f t="shared" ref="U155:V155" ca="1" si="8">U154+1</f>
        <v>7101210</v>
      </c>
      <c r="V155" s="23" t="e">
        <f t="shared" ca="1" si="8"/>
        <v>#VALUE!</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hidden="1" x14ac:dyDescent="0.25">
      <c r="A156" s="114" t="s">
        <v>367</v>
      </c>
      <c r="B156" s="115"/>
      <c r="C156" s="115"/>
      <c r="D156" s="115"/>
      <c r="E156" s="115"/>
      <c r="F156" s="115"/>
      <c r="G156" s="115"/>
      <c r="H156" s="11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hidden="1" customHeight="1" x14ac:dyDescent="0.25">
      <c r="A157" s="98">
        <v>1</v>
      </c>
      <c r="B157" s="98"/>
      <c r="C157" s="197" t="s">
        <v>368</v>
      </c>
      <c r="D157" s="198"/>
      <c r="E157" s="198"/>
      <c r="F157" s="198"/>
      <c r="G157" s="198"/>
      <c r="H157" s="199"/>
      <c r="I157" s="1"/>
      <c r="J157" s="1"/>
      <c r="K157" s="1"/>
      <c r="L157" s="1"/>
      <c r="M157" s="1"/>
      <c r="N157" s="1"/>
      <c r="O157" s="1"/>
      <c r="P157" s="1"/>
      <c r="Q157" s="1"/>
      <c r="R157" s="1"/>
      <c r="S157" s="1"/>
      <c r="T157" s="23" t="str">
        <f t="shared" ref="T157:T166" ca="1" si="9">U157&amp;""&amp;",..,"&amp;""&amp;V157</f>
        <v>111601,..,3601</v>
      </c>
      <c r="U157" s="23">
        <f ca="1">(SUMPRODUCT(MID(0&amp;(LEFT(A156,SUM(LEN(A156)-LEN(SUBSTITUTE(A156,{"0","1","2","3"},""))))), LARGE(INDEX(ISNUMBER(--MID((LEFT(A156,SUM(LEN(A156)-LEN(SUBSTITUTE(A156,{"0","1","2","3"},""))))), ROW(INDIRECT("1:"&amp;LEN((LEFT(A156,SUM(LEN(A156)-LEN(SUBSTITUTE(A156,{"0","1","2","3"},"")))))))), 1)) * ROW(INDIRECT("1:"&amp;LEN((LEFT(A156,SUM(LEN(A156)-LEN(SUBSTITUTE(A156,{"0","1","2","3"},"")))))))), 0), ROW(INDIRECT("1:"&amp;LEN((LEFT(A156,SUM(LEN(A156)-LEN(SUBSTITUTE(A156,{"0","1","2","3"},"")))))))))+1, 1) * 10^ROW(INDIRECT("1:"&amp;LEN((LEFT(A156,SUM(LEN(A156)-LEN(SUBSTITUTE(A156,{"0","1","2","3"},""))))))))/10))*100+1</f>
        <v>111601</v>
      </c>
      <c r="V157" s="23">
        <f ca="1">(SUMPRODUCT(MID(0&amp;(--TRIM(RIGHT(SUBSTITUTE(LEFT(A156,_xlfn.AGGREGATE(16,6,FIND({0,1,2,3,4,5,6,7,8,9},A156,ROW(INDIRECT("1:"&amp;LEN(A156)))),1)),"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",LEN(A156))),LEN(A156)))))))/10))*100+1</f>
        <v>3601</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hidden="1" customHeight="1" x14ac:dyDescent="0.25">
      <c r="A158" s="98">
        <f>A157+1</f>
        <v>2</v>
      </c>
      <c r="B158" s="98"/>
      <c r="C158" s="200"/>
      <c r="D158" s="201"/>
      <c r="E158" s="201"/>
      <c r="F158" s="201"/>
      <c r="G158" s="201"/>
      <c r="H158" s="202"/>
      <c r="I158" s="1"/>
      <c r="J158" s="1"/>
      <c r="K158" s="1"/>
      <c r="L158" s="1"/>
      <c r="M158" s="1"/>
      <c r="N158" s="1"/>
      <c r="O158" s="1"/>
      <c r="P158" s="1"/>
      <c r="Q158" s="1"/>
      <c r="R158" s="1"/>
      <c r="S158" s="1"/>
      <c r="T158" s="23" t="str">
        <f t="shared" ca="1" si="9"/>
        <v>111602,..,3602</v>
      </c>
      <c r="U158" s="23">
        <f ca="1">U157+1</f>
        <v>111602</v>
      </c>
      <c r="V158" s="23">
        <f ca="1">V157+1</f>
        <v>3602</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hidden="1" customHeight="1" x14ac:dyDescent="0.25">
      <c r="A159" s="98">
        <f t="shared" ref="A159:A166" si="10">A158+1</f>
        <v>3</v>
      </c>
      <c r="B159" s="98"/>
      <c r="C159" s="66" t="s">
        <v>94</v>
      </c>
      <c r="D159" s="66" t="s">
        <v>364</v>
      </c>
      <c r="E159" s="91">
        <f>(29.89)*10.764</f>
        <v>321.73595999999998</v>
      </c>
      <c r="F159" s="92">
        <f>(1.2*(2.75+1.95)+2*1.8)*10.764</f>
        <v>99.45935999999999</v>
      </c>
      <c r="G159" s="92">
        <v>0</v>
      </c>
      <c r="H159" s="92">
        <f t="shared" ref="H159:H166" si="11">E159+F159+(IF(G159&lt;101,G159,IF(G159&lt;201,G159/2,IF(G159&lt;=301,G159/3,G159/4))))</f>
        <v>421.19531999999998</v>
      </c>
      <c r="I159" s="1"/>
      <c r="J159" s="1"/>
      <c r="K159" s="1"/>
      <c r="L159" s="1"/>
      <c r="M159" s="1"/>
      <c r="N159" s="1"/>
      <c r="O159" s="1"/>
      <c r="P159" s="1"/>
      <c r="Q159" s="1"/>
      <c r="R159" s="1"/>
      <c r="S159" s="1"/>
      <c r="T159" s="23" t="str">
        <f t="shared" ca="1" si="9"/>
        <v>111603,..,3603</v>
      </c>
      <c r="U159" s="23">
        <f t="shared" ref="U159:V159" ca="1" si="12">U158+1</f>
        <v>111603</v>
      </c>
      <c r="V159" s="23">
        <f t="shared" ca="1" si="12"/>
        <v>3603</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hidden="1" customHeight="1" x14ac:dyDescent="0.25">
      <c r="A160" s="98">
        <f t="shared" si="10"/>
        <v>4</v>
      </c>
      <c r="B160" s="98"/>
      <c r="C160" s="66" t="s">
        <v>94</v>
      </c>
      <c r="D160" s="66" t="s">
        <v>365</v>
      </c>
      <c r="E160" s="91">
        <f>(71.55)*10.764</f>
        <v>770.16419999999994</v>
      </c>
      <c r="F160" s="92">
        <f>(1.2*(2.8+2.75)+2.9*0.6+2.1*0.9+3*0.75)*10.764</f>
        <v>134.98055999999997</v>
      </c>
      <c r="G160" s="92">
        <v>0</v>
      </c>
      <c r="H160" s="92">
        <f t="shared" si="11"/>
        <v>905.14475999999991</v>
      </c>
      <c r="I160" s="1"/>
      <c r="J160" s="1"/>
      <c r="K160" s="1"/>
      <c r="L160" s="1"/>
      <c r="M160" s="1"/>
      <c r="N160" s="1"/>
      <c r="O160" s="1"/>
      <c r="P160" s="1"/>
      <c r="Q160" s="1"/>
      <c r="R160" s="1"/>
      <c r="S160" s="1"/>
      <c r="T160" s="23" t="str">
        <f t="shared" ca="1" si="9"/>
        <v>111604,..,3604</v>
      </c>
      <c r="U160" s="23">
        <f t="shared" ref="U160:V160" ca="1" si="13">U159+1</f>
        <v>111604</v>
      </c>
      <c r="V160" s="23">
        <f t="shared" ca="1" si="13"/>
        <v>3604</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hidden="1" customHeight="1" x14ac:dyDescent="0.25">
      <c r="A161" s="98">
        <f t="shared" si="10"/>
        <v>5</v>
      </c>
      <c r="B161" s="98"/>
      <c r="C161" s="66" t="s">
        <v>94</v>
      </c>
      <c r="D161" s="66" t="s">
        <v>366</v>
      </c>
      <c r="E161" s="91">
        <f>(64.17)*10.764</f>
        <v>690.72587999999996</v>
      </c>
      <c r="F161" s="92">
        <f>(0.75*(3.2+2.7*2)+2*1.2)*10.764</f>
        <v>95.261400000000009</v>
      </c>
      <c r="G161" s="92">
        <v>0</v>
      </c>
      <c r="H161" s="92">
        <f t="shared" si="11"/>
        <v>785.98727999999994</v>
      </c>
      <c r="I161" s="1"/>
      <c r="J161" s="1"/>
      <c r="K161" s="1"/>
      <c r="L161" s="1"/>
      <c r="M161" s="1"/>
      <c r="N161" s="1"/>
      <c r="O161" s="1"/>
      <c r="P161" s="1"/>
      <c r="Q161" s="1"/>
      <c r="R161" s="1"/>
      <c r="S161" s="1"/>
      <c r="T161" s="23" t="str">
        <f t="shared" ca="1" si="9"/>
        <v>111605,..,3605</v>
      </c>
      <c r="U161" s="23">
        <f t="shared" ref="U161:V161" ca="1" si="14">U160+1</f>
        <v>111605</v>
      </c>
      <c r="V161" s="23">
        <f t="shared" ca="1" si="14"/>
        <v>3605</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hidden="1" customHeight="1" x14ac:dyDescent="0.25">
      <c r="A162" s="98">
        <f t="shared" si="10"/>
        <v>6</v>
      </c>
      <c r="B162" s="98"/>
      <c r="C162" s="66" t="s">
        <v>94</v>
      </c>
      <c r="D162" s="66" t="s">
        <v>364</v>
      </c>
      <c r="E162" s="91">
        <f>(29.87)*10.764</f>
        <v>321.52067999999997</v>
      </c>
      <c r="F162" s="92">
        <f>(2*1.8+1.2*(1.9+2.7))*10.764</f>
        <v>98.16767999999999</v>
      </c>
      <c r="G162" s="92">
        <v>0</v>
      </c>
      <c r="H162" s="92">
        <f t="shared" si="11"/>
        <v>419.68835999999999</v>
      </c>
      <c r="I162" s="1"/>
      <c r="J162" s="1"/>
      <c r="K162" s="1"/>
      <c r="L162" s="1"/>
      <c r="M162" s="1"/>
      <c r="N162" s="1"/>
      <c r="O162" s="1"/>
      <c r="P162" s="1"/>
      <c r="Q162" s="1"/>
      <c r="R162" s="1"/>
      <c r="S162" s="1"/>
      <c r="T162" s="23" t="str">
        <f t="shared" ca="1" si="9"/>
        <v>111606,..,3606</v>
      </c>
      <c r="U162" s="23">
        <f t="shared" ref="U162:V162" ca="1" si="15">U161+1</f>
        <v>111606</v>
      </c>
      <c r="V162" s="23">
        <f t="shared" ca="1" si="15"/>
        <v>3606</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customHeight="1" x14ac:dyDescent="0.25">
      <c r="A163" s="98">
        <f t="shared" si="10"/>
        <v>7</v>
      </c>
      <c r="B163" s="98"/>
      <c r="C163" s="66" t="s">
        <v>94</v>
      </c>
      <c r="D163" s="66" t="s">
        <v>364</v>
      </c>
      <c r="E163" s="91">
        <f>(29.87)*10.764</f>
        <v>321.52067999999997</v>
      </c>
      <c r="F163" s="92">
        <f>(2*1.8+1.2*(1.9+2.7))*10.764</f>
        <v>98.16767999999999</v>
      </c>
      <c r="G163" s="92">
        <v>0</v>
      </c>
      <c r="H163" s="92">
        <f t="shared" si="11"/>
        <v>419.68835999999999</v>
      </c>
      <c r="I163" s="1"/>
      <c r="J163" s="1"/>
      <c r="K163" s="1"/>
      <c r="L163" s="1"/>
      <c r="M163" s="1"/>
      <c r="N163" s="1"/>
      <c r="O163" s="1"/>
      <c r="P163" s="1"/>
      <c r="Q163" s="1"/>
      <c r="R163" s="1"/>
      <c r="S163" s="1"/>
      <c r="T163" s="23" t="str">
        <f t="shared" ca="1" si="9"/>
        <v>111607,..,3607</v>
      </c>
      <c r="U163" s="23">
        <f t="shared" ref="U163:V163" ca="1" si="16">U162+1</f>
        <v>111607</v>
      </c>
      <c r="V163" s="23">
        <f t="shared" ca="1" si="16"/>
        <v>3607</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customHeight="1" x14ac:dyDescent="0.25">
      <c r="A164" s="98">
        <f t="shared" si="10"/>
        <v>8</v>
      </c>
      <c r="B164" s="98"/>
      <c r="C164" s="66" t="s">
        <v>94</v>
      </c>
      <c r="D164" s="66" t="s">
        <v>363</v>
      </c>
      <c r="E164" s="91">
        <f>(49.24)*10.764</f>
        <v>530.01936000000001</v>
      </c>
      <c r="F164" s="92">
        <f>(1.2*(2.7+2))*10.764</f>
        <v>60.70895999999999</v>
      </c>
      <c r="G164" s="92">
        <v>0</v>
      </c>
      <c r="H164" s="92">
        <f t="shared" si="11"/>
        <v>590.72831999999994</v>
      </c>
      <c r="I164" s="1"/>
      <c r="J164" s="1"/>
      <c r="K164" s="1"/>
      <c r="L164" s="1"/>
      <c r="M164" s="1"/>
      <c r="N164" s="1"/>
      <c r="O164" s="1"/>
      <c r="P164" s="1"/>
      <c r="Q164" s="1"/>
      <c r="R164" s="1"/>
      <c r="S164" s="1"/>
      <c r="T164" s="23" t="str">
        <f t="shared" ca="1" si="9"/>
        <v>111608,..,3608</v>
      </c>
      <c r="U164" s="23">
        <f t="shared" ref="U164:V164" ca="1" si="17">U163+1</f>
        <v>111608</v>
      </c>
      <c r="V164" s="23">
        <f t="shared" ca="1" si="17"/>
        <v>3608</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hidden="1" customHeight="1" x14ac:dyDescent="0.25">
      <c r="A165" s="98">
        <f t="shared" si="10"/>
        <v>9</v>
      </c>
      <c r="B165" s="98"/>
      <c r="C165" s="66" t="s">
        <v>94</v>
      </c>
      <c r="D165" s="66" t="s">
        <v>364</v>
      </c>
      <c r="E165" s="91">
        <f>(33.53)*10.764</f>
        <v>360.91692</v>
      </c>
      <c r="F165" s="92">
        <f>(2*1.8+1.2*(2+2.7))*10.764</f>
        <v>99.45935999999999</v>
      </c>
      <c r="G165" s="92">
        <v>0</v>
      </c>
      <c r="H165" s="92">
        <f t="shared" si="11"/>
        <v>460.37628000000001</v>
      </c>
      <c r="I165" s="1"/>
      <c r="J165" s="1"/>
      <c r="K165" s="1"/>
      <c r="L165" s="1"/>
      <c r="M165" s="1"/>
      <c r="N165" s="1"/>
      <c r="O165" s="1"/>
      <c r="P165" s="1"/>
      <c r="Q165" s="1"/>
      <c r="R165" s="1"/>
      <c r="S165" s="1"/>
      <c r="T165" s="23" t="str">
        <f t="shared" ca="1" si="9"/>
        <v>111609,..,3609</v>
      </c>
      <c r="U165" s="23">
        <f t="shared" ref="U165:V165" ca="1" si="18">U164+1</f>
        <v>111609</v>
      </c>
      <c r="V165" s="23">
        <f t="shared" ca="1" si="18"/>
        <v>3609</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hidden="1" customHeight="1" x14ac:dyDescent="0.25">
      <c r="A166" s="98">
        <f t="shared" si="10"/>
        <v>10</v>
      </c>
      <c r="B166" s="98"/>
      <c r="C166" s="66" t="s">
        <v>94</v>
      </c>
      <c r="D166" s="66" t="s">
        <v>363</v>
      </c>
      <c r="E166" s="91">
        <f>(55.54)*10.764</f>
        <v>597.83255999999994</v>
      </c>
      <c r="F166" s="92">
        <f>(1.2*(2.7+3)+3.4*0.75+1.4*1)*10.764</f>
        <v>116.14356000000001</v>
      </c>
      <c r="G166" s="92">
        <v>0</v>
      </c>
      <c r="H166" s="92">
        <f t="shared" si="11"/>
        <v>713.97611999999992</v>
      </c>
      <c r="I166" s="1"/>
      <c r="J166" s="1"/>
      <c r="K166" s="1"/>
      <c r="L166" s="1"/>
      <c r="M166" s="1"/>
      <c r="N166" s="1"/>
      <c r="O166" s="1"/>
      <c r="P166" s="1"/>
      <c r="Q166" s="1"/>
      <c r="R166" s="1"/>
      <c r="S166" s="1"/>
      <c r="T166" s="23" t="str">
        <f t="shared" ca="1" si="9"/>
        <v>111610,..,3610</v>
      </c>
      <c r="U166" s="23">
        <f t="shared" ref="U166:V166" ca="1" si="19">U165+1</f>
        <v>111610</v>
      </c>
      <c r="V166" s="23">
        <f t="shared" ca="1" si="19"/>
        <v>3610</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hidden="1" x14ac:dyDescent="0.25">
      <c r="A167" s="117" t="s">
        <v>369</v>
      </c>
      <c r="B167" s="118"/>
      <c r="C167" s="118"/>
      <c r="D167" s="118"/>
      <c r="E167" s="118"/>
      <c r="F167" s="118"/>
      <c r="G167" s="118"/>
      <c r="H167" s="11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x14ac:dyDescent="0.25">
      <c r="A168" s="99" t="s">
        <v>352</v>
      </c>
      <c r="B168" s="100"/>
      <c r="C168" s="100"/>
      <c r="D168" s="100"/>
      <c r="E168" s="100"/>
      <c r="F168" s="100"/>
      <c r="G168" s="100"/>
      <c r="H168" s="10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x14ac:dyDescent="0.25">
      <c r="A169" s="99" t="s">
        <v>353</v>
      </c>
      <c r="B169" s="100"/>
      <c r="C169" s="100"/>
      <c r="D169" s="100"/>
      <c r="E169" s="100"/>
      <c r="F169" s="100"/>
      <c r="G169" s="100"/>
      <c r="H169" s="10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hidden="1" x14ac:dyDescent="0.25">
      <c r="A170" s="99" t="s">
        <v>370</v>
      </c>
      <c r="B170" s="100"/>
      <c r="C170" s="100"/>
      <c r="D170" s="100"/>
      <c r="E170" s="100"/>
      <c r="F170" s="100"/>
      <c r="G170" s="100"/>
      <c r="H170" s="10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x14ac:dyDescent="0.25">
      <c r="A171" s="99" t="s">
        <v>371</v>
      </c>
      <c r="B171" s="100"/>
      <c r="C171" s="100"/>
      <c r="D171" s="100"/>
      <c r="E171" s="100"/>
      <c r="F171" s="100"/>
      <c r="G171" s="100"/>
      <c r="H171" s="10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x14ac:dyDescent="0.25">
      <c r="A172" s="99" t="s">
        <v>359</v>
      </c>
      <c r="B172" s="100"/>
      <c r="C172" s="100"/>
      <c r="D172" s="100"/>
      <c r="E172" s="100"/>
      <c r="F172" s="100"/>
      <c r="G172" s="100"/>
      <c r="H172" s="10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x14ac:dyDescent="0.25">
      <c r="A173" s="99" t="s">
        <v>360</v>
      </c>
      <c r="B173" s="100"/>
      <c r="C173" s="100"/>
      <c r="D173" s="100"/>
      <c r="E173" s="100"/>
      <c r="F173" s="100"/>
      <c r="G173" s="100"/>
      <c r="H173" s="10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x14ac:dyDescent="0.25">
      <c r="A174" s="99" t="s">
        <v>362</v>
      </c>
      <c r="B174" s="100"/>
      <c r="C174" s="100"/>
      <c r="D174" s="100"/>
      <c r="E174" s="100"/>
      <c r="F174" s="100"/>
      <c r="G174" s="100"/>
      <c r="H174" s="10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39.75" hidden="1" customHeight="1" x14ac:dyDescent="0.25">
      <c r="A175" s="114" t="s">
        <v>372</v>
      </c>
      <c r="B175" s="115"/>
      <c r="C175" s="115"/>
      <c r="D175" s="115"/>
      <c r="E175" s="115"/>
      <c r="F175" s="115"/>
      <c r="G175" s="115"/>
      <c r="H175" s="116"/>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25">
      <c r="A176" s="98">
        <v>1</v>
      </c>
      <c r="B176" s="98"/>
      <c r="C176" s="66" t="s">
        <v>94</v>
      </c>
      <c r="D176" s="92" t="s">
        <v>364</v>
      </c>
      <c r="E176" s="92">
        <f>(29.87)*10.764</f>
        <v>321.52067999999997</v>
      </c>
      <c r="F176" s="92">
        <f>(2*1.8+1.2*(1.9+2.7))*10.764</f>
        <v>98.16767999999999</v>
      </c>
      <c r="G176" s="92">
        <v>0</v>
      </c>
      <c r="H176" s="92">
        <f>E176+F176+(IF(G176&lt;101,G176,IF(G176&lt;201,G176/2,IF(G176&lt;=301,G176/3,G176/4))))</f>
        <v>419.68835999999999</v>
      </c>
      <c r="I176" s="1"/>
      <c r="J176" s="1"/>
      <c r="K176" s="1"/>
      <c r="L176" s="1"/>
      <c r="M176" s="1"/>
      <c r="N176" s="1"/>
      <c r="O176" s="1"/>
      <c r="P176" s="1"/>
      <c r="Q176" s="1"/>
      <c r="R176" s="1"/>
      <c r="S176" s="1"/>
      <c r="T176" s="23" t="e">
        <f t="shared" ref="T176:T183" ca="1" si="20">U176&amp;""&amp;",..,"&amp;""&amp;V176</f>
        <v>#VALUE!</v>
      </c>
      <c r="U176" s="23">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7101201</v>
      </c>
      <c r="V176" s="23" t="e">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#VALUE!</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25">
      <c r="A177" s="98">
        <f>A176+1</f>
        <v>2</v>
      </c>
      <c r="B177" s="98"/>
      <c r="C177" s="66" t="s">
        <v>94</v>
      </c>
      <c r="D177" s="92" t="s">
        <v>364</v>
      </c>
      <c r="E177" s="92">
        <f>(29.87)*10.764</f>
        <v>321.52067999999997</v>
      </c>
      <c r="F177" s="92">
        <f>(2*1.8+1.2*(1.9+2.7))*10.764</f>
        <v>98.16767999999999</v>
      </c>
      <c r="G177" s="92">
        <v>0</v>
      </c>
      <c r="H177" s="92">
        <f t="shared" ref="H177:H183" si="21">E177+F177+(IF(G177&lt;101,G177,IF(G177&lt;201,G177/2,IF(G177&lt;=301,G177/3,G177/4))))</f>
        <v>419.68835999999999</v>
      </c>
      <c r="I177" s="1"/>
      <c r="J177" s="1"/>
      <c r="K177" s="1"/>
      <c r="L177" s="1"/>
      <c r="M177" s="1"/>
      <c r="N177" s="1"/>
      <c r="O177" s="1"/>
      <c r="P177" s="1"/>
      <c r="Q177" s="1"/>
      <c r="R177" s="1"/>
      <c r="S177" s="1"/>
      <c r="T177" s="23" t="e">
        <f t="shared" ca="1" si="20"/>
        <v>#VALUE!</v>
      </c>
      <c r="U177" s="23">
        <f ca="1">U176+1</f>
        <v>7101202</v>
      </c>
      <c r="V177" s="23" t="e">
        <f ca="1">V176+1</f>
        <v>#VALUE!</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98">
        <f t="shared" ref="A178:A183" si="22">A177+1</f>
        <v>3</v>
      </c>
      <c r="B178" s="98"/>
      <c r="C178" s="66" t="s">
        <v>94</v>
      </c>
      <c r="D178" s="92" t="s">
        <v>363</v>
      </c>
      <c r="E178" s="92">
        <f>(50.07)*10.764</f>
        <v>538.95348000000001</v>
      </c>
      <c r="F178" s="92">
        <f>(2.7*0.75+1.2*(2.7+2))*10.764</f>
        <v>82.506059999999991</v>
      </c>
      <c r="G178" s="92">
        <v>0</v>
      </c>
      <c r="H178" s="92">
        <f t="shared" si="21"/>
        <v>621.45954000000006</v>
      </c>
      <c r="I178" s="1"/>
      <c r="J178" s="1"/>
      <c r="K178" s="1"/>
      <c r="L178" s="1"/>
      <c r="M178" s="1"/>
      <c r="N178" s="1"/>
      <c r="O178" s="1"/>
      <c r="P178" s="1"/>
      <c r="Q178" s="1"/>
      <c r="R178" s="1"/>
      <c r="S178" s="1"/>
      <c r="T178" s="23" t="e">
        <f t="shared" ca="1" si="20"/>
        <v>#VALUE!</v>
      </c>
      <c r="U178" s="23">
        <f t="shared" ref="U178:V183" ca="1" si="23">U177+1</f>
        <v>7101203</v>
      </c>
      <c r="V178" s="23" t="e">
        <f t="shared" ca="1" si="23"/>
        <v>#VALUE!</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98">
        <f t="shared" si="22"/>
        <v>4</v>
      </c>
      <c r="B179" s="98"/>
      <c r="C179" s="66" t="s">
        <v>94</v>
      </c>
      <c r="D179" s="92" t="s">
        <v>363</v>
      </c>
      <c r="E179" s="92">
        <f>(50.13)*10.764</f>
        <v>539.59932000000003</v>
      </c>
      <c r="F179" s="92">
        <f>(2.7*0.75+1.2*(2.7+2))*10.764</f>
        <v>82.506059999999991</v>
      </c>
      <c r="G179" s="92">
        <v>0</v>
      </c>
      <c r="H179" s="92">
        <f t="shared" si="21"/>
        <v>622.10537999999997</v>
      </c>
      <c r="I179" s="1"/>
      <c r="J179" s="1"/>
      <c r="K179" s="1"/>
      <c r="L179" s="1"/>
      <c r="M179" s="1"/>
      <c r="N179" s="1"/>
      <c r="O179" s="1"/>
      <c r="P179" s="1"/>
      <c r="Q179" s="1"/>
      <c r="R179" s="1"/>
      <c r="S179" s="1"/>
      <c r="T179" s="23" t="e">
        <f t="shared" ca="1" si="20"/>
        <v>#VALUE!</v>
      </c>
      <c r="U179" s="23">
        <f t="shared" ca="1" si="23"/>
        <v>7101204</v>
      </c>
      <c r="V179" s="23" t="e">
        <f t="shared" ca="1" si="23"/>
        <v>#VALUE!</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25">
      <c r="A180" s="98">
        <f t="shared" si="22"/>
        <v>5</v>
      </c>
      <c r="B180" s="98"/>
      <c r="C180" s="66" t="s">
        <v>94</v>
      </c>
      <c r="D180" s="92" t="s">
        <v>363</v>
      </c>
      <c r="E180" s="92">
        <f>(50.26)*10.764</f>
        <v>540.99863999999991</v>
      </c>
      <c r="F180" s="92">
        <f>(2.7*0.75+1.2*(2.7+2))*10.764</f>
        <v>82.506059999999991</v>
      </c>
      <c r="G180" s="92">
        <v>0</v>
      </c>
      <c r="H180" s="92">
        <f t="shared" si="21"/>
        <v>623.50469999999996</v>
      </c>
      <c r="I180" s="1"/>
      <c r="J180" s="1"/>
      <c r="K180" s="1"/>
      <c r="L180" s="1"/>
      <c r="M180" s="1"/>
      <c r="N180" s="1"/>
      <c r="O180" s="1"/>
      <c r="P180" s="1"/>
      <c r="Q180" s="1"/>
      <c r="R180" s="1"/>
      <c r="S180" s="1"/>
      <c r="T180" s="23" t="e">
        <f t="shared" ca="1" si="20"/>
        <v>#VALUE!</v>
      </c>
      <c r="U180" s="23">
        <f t="shared" ca="1" si="23"/>
        <v>7101205</v>
      </c>
      <c r="V180" s="23" t="e">
        <f t="shared" ca="1" si="23"/>
        <v>#VALUE!</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25">
      <c r="A181" s="98">
        <f t="shared" si="22"/>
        <v>6</v>
      </c>
      <c r="B181" s="98"/>
      <c r="C181" s="66" t="s">
        <v>94</v>
      </c>
      <c r="D181" s="92" t="s">
        <v>363</v>
      </c>
      <c r="E181" s="92">
        <f>(50.26)*10.764</f>
        <v>540.99863999999991</v>
      </c>
      <c r="F181" s="92">
        <f>(2.7*0.75+1.2*(2.7+2))*10.764</f>
        <v>82.506059999999991</v>
      </c>
      <c r="G181" s="92">
        <v>0</v>
      </c>
      <c r="H181" s="92">
        <f t="shared" si="21"/>
        <v>623.50469999999996</v>
      </c>
      <c r="I181" s="1"/>
      <c r="J181" s="1"/>
      <c r="K181" s="1"/>
      <c r="L181" s="1"/>
      <c r="M181" s="1"/>
      <c r="N181" s="1"/>
      <c r="O181" s="1"/>
      <c r="P181" s="1"/>
      <c r="Q181" s="1"/>
      <c r="R181" s="1"/>
      <c r="S181" s="1"/>
      <c r="T181" s="23" t="e">
        <f t="shared" ca="1" si="20"/>
        <v>#VALUE!</v>
      </c>
      <c r="U181" s="23">
        <f t="shared" ca="1" si="23"/>
        <v>7101206</v>
      </c>
      <c r="V181" s="23" t="e">
        <f t="shared" ca="1" si="23"/>
        <v>#VALUE!</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25">
      <c r="A182" s="98">
        <f t="shared" si="22"/>
        <v>7</v>
      </c>
      <c r="B182" s="98"/>
      <c r="C182" s="66" t="s">
        <v>94</v>
      </c>
      <c r="D182" s="92" t="s">
        <v>364</v>
      </c>
      <c r="E182" s="92">
        <f>(29.87)*10.764</f>
        <v>321.52067999999997</v>
      </c>
      <c r="F182" s="92">
        <f>(2*1.8+1.2*(1.9+2.7))*10.764</f>
        <v>98.16767999999999</v>
      </c>
      <c r="G182" s="92">
        <v>0</v>
      </c>
      <c r="H182" s="92">
        <f t="shared" si="21"/>
        <v>419.68835999999999</v>
      </c>
      <c r="I182" s="1"/>
      <c r="J182" s="1"/>
      <c r="K182" s="1"/>
      <c r="L182" s="1"/>
      <c r="M182" s="1"/>
      <c r="N182" s="1"/>
      <c r="O182" s="1"/>
      <c r="P182" s="1"/>
      <c r="Q182" s="1"/>
      <c r="R182" s="1"/>
      <c r="S182" s="1"/>
      <c r="T182" s="23" t="e">
        <f t="shared" ca="1" si="20"/>
        <v>#VALUE!</v>
      </c>
      <c r="U182" s="23">
        <f t="shared" ca="1" si="23"/>
        <v>7101207</v>
      </c>
      <c r="V182" s="23" t="e">
        <f t="shared" ca="1" si="23"/>
        <v>#VALUE!</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25">
      <c r="A183" s="98">
        <f t="shared" si="22"/>
        <v>8</v>
      </c>
      <c r="B183" s="98"/>
      <c r="C183" s="66" t="s">
        <v>94</v>
      </c>
      <c r="D183" s="92" t="s">
        <v>364</v>
      </c>
      <c r="E183" s="92">
        <f>(29.87)*10.764</f>
        <v>321.52067999999997</v>
      </c>
      <c r="F183" s="92">
        <f>(2*1.8+1.2*(1.9+2.7))*10.764</f>
        <v>98.16767999999999</v>
      </c>
      <c r="G183" s="92">
        <v>0</v>
      </c>
      <c r="H183" s="92">
        <f t="shared" si="21"/>
        <v>419.68835999999999</v>
      </c>
      <c r="I183" s="1"/>
      <c r="J183" s="1"/>
      <c r="K183" s="1"/>
      <c r="L183" s="1"/>
      <c r="M183" s="1"/>
      <c r="N183" s="1"/>
      <c r="O183" s="1"/>
      <c r="P183" s="1"/>
      <c r="Q183" s="1"/>
      <c r="R183" s="1"/>
      <c r="S183" s="1"/>
      <c r="T183" s="23" t="e">
        <f t="shared" ca="1" si="20"/>
        <v>#VALUE!</v>
      </c>
      <c r="U183" s="23">
        <f t="shared" ca="1" si="23"/>
        <v>7101208</v>
      </c>
      <c r="V183" s="23" t="e">
        <f t="shared" ca="1" si="23"/>
        <v>#VALUE!</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25">
      <c r="A184" s="98">
        <f t="shared" ref="A184:A185" si="24">A183+1</f>
        <v>9</v>
      </c>
      <c r="B184" s="98"/>
      <c r="C184" s="66" t="s">
        <v>94</v>
      </c>
      <c r="D184" s="92" t="s">
        <v>364</v>
      </c>
      <c r="E184" s="92">
        <f>(29.87)*10.764</f>
        <v>321.52067999999997</v>
      </c>
      <c r="F184" s="92">
        <f>(2*1.8+1.2*(1.9+2.7))*10.764</f>
        <v>98.16767999999999</v>
      </c>
      <c r="G184" s="92">
        <v>0</v>
      </c>
      <c r="H184" s="92">
        <f t="shared" ref="H184:H185" si="25">E184+F184+(IF(G184&lt;101,G184,IF(G184&lt;201,G184/2,IF(G184&lt;=301,G184/3,G184/4))))</f>
        <v>419.68835999999999</v>
      </c>
      <c r="I184" s="1"/>
      <c r="J184" s="1"/>
      <c r="K184" s="1"/>
      <c r="L184" s="1"/>
      <c r="M184" s="1"/>
      <c r="N184" s="1"/>
      <c r="O184" s="1"/>
      <c r="P184" s="1"/>
      <c r="Q184" s="1"/>
      <c r="R184" s="1"/>
      <c r="S184" s="1"/>
      <c r="T184" s="23" t="e">
        <f t="shared" ref="T184:T185" ca="1" si="26">U184&amp;""&amp;",..,"&amp;""&amp;V184</f>
        <v>#VALUE!</v>
      </c>
      <c r="U184" s="23">
        <f t="shared" ref="U184:V184" ca="1" si="27">U183+1</f>
        <v>7101209</v>
      </c>
      <c r="V184" s="23" t="e">
        <f t="shared" ca="1" si="27"/>
        <v>#VALUE!</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25">
      <c r="A185" s="98">
        <f t="shared" si="24"/>
        <v>10</v>
      </c>
      <c r="B185" s="98"/>
      <c r="C185" s="66" t="s">
        <v>94</v>
      </c>
      <c r="D185" s="92" t="s">
        <v>364</v>
      </c>
      <c r="E185" s="92">
        <f>(29.87)*10.764</f>
        <v>321.52067999999997</v>
      </c>
      <c r="F185" s="92">
        <f>(2*1.8+1.2*(1.9+2.7))*10.764</f>
        <v>98.16767999999999</v>
      </c>
      <c r="G185" s="92">
        <v>0</v>
      </c>
      <c r="H185" s="92">
        <f t="shared" si="25"/>
        <v>419.68835999999999</v>
      </c>
      <c r="I185" s="1"/>
      <c r="J185" s="1"/>
      <c r="K185" s="1"/>
      <c r="L185" s="1"/>
      <c r="M185" s="1"/>
      <c r="N185" s="1"/>
      <c r="O185" s="1"/>
      <c r="P185" s="1"/>
      <c r="Q185" s="1"/>
      <c r="R185" s="1"/>
      <c r="S185" s="1"/>
      <c r="T185" s="23" t="e">
        <f t="shared" ca="1" si="26"/>
        <v>#VALUE!</v>
      </c>
      <c r="U185" s="23">
        <f t="shared" ref="U185:V185" ca="1" si="28">U184+1</f>
        <v>7101210</v>
      </c>
      <c r="V185" s="23" t="e">
        <f t="shared" ca="1" si="28"/>
        <v>#VALUE!</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x14ac:dyDescent="0.25">
      <c r="A186" s="114" t="s">
        <v>373</v>
      </c>
      <c r="B186" s="115"/>
      <c r="C186" s="115"/>
      <c r="D186" s="115"/>
      <c r="E186" s="115"/>
      <c r="F186" s="115"/>
      <c r="G186" s="115"/>
      <c r="H186" s="11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98">
        <v>1</v>
      </c>
      <c r="B187" s="98"/>
      <c r="C187" s="66" t="s">
        <v>94</v>
      </c>
      <c r="D187" s="92" t="s">
        <v>364</v>
      </c>
      <c r="E187" s="92">
        <f>(29.87)*10.764</f>
        <v>321.52067999999997</v>
      </c>
      <c r="F187" s="92">
        <f>(2*1.8+1.2*(1.9+2.7))*10.764</f>
        <v>98.16767999999999</v>
      </c>
      <c r="G187" s="92">
        <v>0</v>
      </c>
      <c r="H187" s="92">
        <f>E187+F187+(IF(G187&lt;101,G187,IF(G187&lt;201,G187/2,IF(G187&lt;=301,G187/3,G187/4))))</f>
        <v>419.68835999999999</v>
      </c>
      <c r="I187" s="1"/>
      <c r="J187" s="1"/>
      <c r="K187" s="1"/>
      <c r="L187" s="1"/>
      <c r="M187" s="1"/>
      <c r="N187" s="1"/>
      <c r="O187" s="1"/>
      <c r="P187" s="1"/>
      <c r="Q187" s="1"/>
      <c r="R187" s="1"/>
      <c r="S187" s="1"/>
      <c r="T187" s="23" t="str">
        <f t="shared" ref="T187:T196" ca="1" si="29">U187&amp;""&amp;",..,"&amp;""&amp;V187</f>
        <v>111601,..,3601</v>
      </c>
      <c r="U187" s="23">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111601</v>
      </c>
      <c r="V187" s="23">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3601</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98">
        <f>A187+1</f>
        <v>2</v>
      </c>
      <c r="B188" s="98"/>
      <c r="C188" s="66" t="s">
        <v>94</v>
      </c>
      <c r="D188" s="92" t="s">
        <v>364</v>
      </c>
      <c r="E188" s="92">
        <f>(29.87)*10.764</f>
        <v>321.52067999999997</v>
      </c>
      <c r="F188" s="92">
        <f>(2*1.8+1.2*(1.9+2.7))*10.764</f>
        <v>98.16767999999999</v>
      </c>
      <c r="G188" s="92">
        <v>0</v>
      </c>
      <c r="H188" s="92">
        <f t="shared" ref="H188:H196" si="30">E188+F188+(IF(G188&lt;101,G188,IF(G188&lt;201,G188/2,IF(G188&lt;=301,G188/3,G188/4))))</f>
        <v>419.68835999999999</v>
      </c>
      <c r="I188" s="1"/>
      <c r="J188" s="1"/>
      <c r="K188" s="1"/>
      <c r="L188" s="1"/>
      <c r="M188" s="1"/>
      <c r="N188" s="1"/>
      <c r="O188" s="1"/>
      <c r="P188" s="1"/>
      <c r="Q188" s="1"/>
      <c r="R188" s="1"/>
      <c r="S188" s="1"/>
      <c r="T188" s="23" t="str">
        <f t="shared" ca="1" si="29"/>
        <v>111602,..,3602</v>
      </c>
      <c r="U188" s="23">
        <f ca="1">U187+1</f>
        <v>111602</v>
      </c>
      <c r="V188" s="23">
        <f ca="1">V187+1</f>
        <v>3602</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25">
      <c r="A189" s="98">
        <f t="shared" ref="A189:A196" si="31">A188+1</f>
        <v>3</v>
      </c>
      <c r="B189" s="98"/>
      <c r="C189" s="66" t="s">
        <v>94</v>
      </c>
      <c r="D189" s="92" t="s">
        <v>363</v>
      </c>
      <c r="E189" s="92">
        <f>(50.07)*10.764</f>
        <v>538.95348000000001</v>
      </c>
      <c r="F189" s="92">
        <f>(2.7*0.75+1.2*(2.7+2))*10.764</f>
        <v>82.506059999999991</v>
      </c>
      <c r="G189" s="92">
        <v>0</v>
      </c>
      <c r="H189" s="92">
        <f t="shared" si="30"/>
        <v>621.45954000000006</v>
      </c>
      <c r="I189" s="1"/>
      <c r="J189" s="1"/>
      <c r="K189" s="1"/>
      <c r="L189" s="1"/>
      <c r="M189" s="1"/>
      <c r="N189" s="1"/>
      <c r="O189" s="1"/>
      <c r="P189" s="1"/>
      <c r="Q189" s="1"/>
      <c r="R189" s="1"/>
      <c r="S189" s="1"/>
      <c r="T189" s="23" t="str">
        <f t="shared" ca="1" si="29"/>
        <v>111603,..,3603</v>
      </c>
      <c r="U189" s="23">
        <f t="shared" ref="U189:V189" ca="1" si="32">U188+1</f>
        <v>111603</v>
      </c>
      <c r="V189" s="23">
        <f t="shared" ca="1" si="32"/>
        <v>3603</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98">
        <f t="shared" si="31"/>
        <v>4</v>
      </c>
      <c r="B190" s="98"/>
      <c r="C190" s="66" t="s">
        <v>94</v>
      </c>
      <c r="D190" s="92" t="s">
        <v>363</v>
      </c>
      <c r="E190" s="92">
        <f>(50.13)*10.764</f>
        <v>539.59932000000003</v>
      </c>
      <c r="F190" s="92">
        <f>(2.7*0.75+1.2*(2.7+2))*10.764</f>
        <v>82.506059999999991</v>
      </c>
      <c r="G190" s="92">
        <v>0</v>
      </c>
      <c r="H190" s="92">
        <f t="shared" si="30"/>
        <v>622.10537999999997</v>
      </c>
      <c r="I190" s="1"/>
      <c r="J190" s="1"/>
      <c r="K190" s="1"/>
      <c r="L190" s="1"/>
      <c r="M190" s="1"/>
      <c r="N190" s="1"/>
      <c r="O190" s="1"/>
      <c r="P190" s="1"/>
      <c r="Q190" s="1"/>
      <c r="R190" s="1"/>
      <c r="S190" s="1"/>
      <c r="T190" s="23" t="str">
        <f t="shared" ca="1" si="29"/>
        <v>111604,..,3604</v>
      </c>
      <c r="U190" s="23">
        <f t="shared" ref="U190:V190" ca="1" si="33">U189+1</f>
        <v>111604</v>
      </c>
      <c r="V190" s="23">
        <f t="shared" ca="1" si="33"/>
        <v>3604</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25">
      <c r="A191" s="98">
        <f t="shared" si="31"/>
        <v>5</v>
      </c>
      <c r="B191" s="98"/>
      <c r="C191" s="66" t="s">
        <v>94</v>
      </c>
      <c r="D191" s="92" t="s">
        <v>363</v>
      </c>
      <c r="E191" s="92">
        <f>(50.26)*10.764</f>
        <v>540.99863999999991</v>
      </c>
      <c r="F191" s="92">
        <f>(2.7*0.75+1.2*(2.7+2))*10.764</f>
        <v>82.506059999999991</v>
      </c>
      <c r="G191" s="92">
        <v>0</v>
      </c>
      <c r="H191" s="92">
        <f t="shared" si="30"/>
        <v>623.50469999999996</v>
      </c>
      <c r="I191" s="1"/>
      <c r="J191" s="1"/>
      <c r="K191" s="1"/>
      <c r="L191" s="1"/>
      <c r="M191" s="1"/>
      <c r="N191" s="1"/>
      <c r="O191" s="1"/>
      <c r="P191" s="1"/>
      <c r="Q191" s="1"/>
      <c r="R191" s="1"/>
      <c r="S191" s="1"/>
      <c r="T191" s="23" t="str">
        <f t="shared" ca="1" si="29"/>
        <v>111605,..,3605</v>
      </c>
      <c r="U191" s="23">
        <f t="shared" ref="U191:V191" ca="1" si="34">U190+1</f>
        <v>111605</v>
      </c>
      <c r="V191" s="23">
        <f t="shared" ca="1" si="34"/>
        <v>3605</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98">
        <f t="shared" si="31"/>
        <v>6</v>
      </c>
      <c r="B192" s="98"/>
      <c r="C192" s="66" t="s">
        <v>94</v>
      </c>
      <c r="D192" s="92" t="s">
        <v>363</v>
      </c>
      <c r="E192" s="92">
        <f>(50.26)*10.764</f>
        <v>540.99863999999991</v>
      </c>
      <c r="F192" s="92">
        <f>(2.7*0.75+1.2*(2.7+2))*10.764</f>
        <v>82.506059999999991</v>
      </c>
      <c r="G192" s="92">
        <v>0</v>
      </c>
      <c r="H192" s="92">
        <f t="shared" si="30"/>
        <v>623.50469999999996</v>
      </c>
      <c r="I192" s="1"/>
      <c r="J192" s="1"/>
      <c r="K192" s="1"/>
      <c r="L192" s="1"/>
      <c r="M192" s="1"/>
      <c r="N192" s="1"/>
      <c r="O192" s="1"/>
      <c r="P192" s="1"/>
      <c r="Q192" s="1"/>
      <c r="R192" s="1"/>
      <c r="S192" s="1"/>
      <c r="T192" s="23" t="str">
        <f t="shared" ca="1" si="29"/>
        <v>111606,..,3606</v>
      </c>
      <c r="U192" s="23">
        <f t="shared" ref="U192:V192" ca="1" si="35">U191+1</f>
        <v>111606</v>
      </c>
      <c r="V192" s="23">
        <f t="shared" ca="1" si="35"/>
        <v>3606</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25">
      <c r="A193" s="98">
        <f t="shared" si="31"/>
        <v>7</v>
      </c>
      <c r="B193" s="98"/>
      <c r="C193" s="66" t="s">
        <v>94</v>
      </c>
      <c r="D193" s="92" t="s">
        <v>364</v>
      </c>
      <c r="E193" s="92">
        <f>(29.87)*10.764</f>
        <v>321.52067999999997</v>
      </c>
      <c r="F193" s="92">
        <f>(2*1.8+1.2*(1.9+2.7))*10.764</f>
        <v>98.16767999999999</v>
      </c>
      <c r="G193" s="92">
        <v>0</v>
      </c>
      <c r="H193" s="92">
        <f t="shared" si="30"/>
        <v>419.68835999999999</v>
      </c>
      <c r="I193" s="1"/>
      <c r="J193" s="1"/>
      <c r="K193" s="1"/>
      <c r="L193" s="1"/>
      <c r="M193" s="1"/>
      <c r="N193" s="1"/>
      <c r="O193" s="1"/>
      <c r="P193" s="1"/>
      <c r="Q193" s="1"/>
      <c r="R193" s="1"/>
      <c r="S193" s="1"/>
      <c r="T193" s="23" t="str">
        <f t="shared" ca="1" si="29"/>
        <v>111607,..,3607</v>
      </c>
      <c r="U193" s="23">
        <f t="shared" ref="U193:V193" ca="1" si="36">U192+1</f>
        <v>111607</v>
      </c>
      <c r="V193" s="23">
        <f t="shared" ca="1" si="36"/>
        <v>3607</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98">
        <f t="shared" si="31"/>
        <v>8</v>
      </c>
      <c r="B194" s="98"/>
      <c r="C194" s="66" t="s">
        <v>94</v>
      </c>
      <c r="D194" s="92" t="s">
        <v>364</v>
      </c>
      <c r="E194" s="92">
        <f>(29.87)*10.764</f>
        <v>321.52067999999997</v>
      </c>
      <c r="F194" s="92">
        <f>(2*1.8+1.2*(1.9+2.7))*10.764</f>
        <v>98.16767999999999</v>
      </c>
      <c r="G194" s="92">
        <v>0</v>
      </c>
      <c r="H194" s="92">
        <f t="shared" si="30"/>
        <v>419.68835999999999</v>
      </c>
      <c r="I194" s="1"/>
      <c r="J194" s="1"/>
      <c r="K194" s="1"/>
      <c r="L194" s="1"/>
      <c r="M194" s="1"/>
      <c r="N194" s="1"/>
      <c r="O194" s="1"/>
      <c r="P194" s="1"/>
      <c r="Q194" s="1"/>
      <c r="R194" s="1"/>
      <c r="S194" s="1"/>
      <c r="T194" s="23" t="str">
        <f t="shared" ca="1" si="29"/>
        <v>111608,..,3608</v>
      </c>
      <c r="U194" s="23">
        <f t="shared" ref="U194:V194" ca="1" si="37">U193+1</f>
        <v>111608</v>
      </c>
      <c r="V194" s="23">
        <f t="shared" ca="1" si="37"/>
        <v>3608</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25">
      <c r="A195" s="98">
        <f t="shared" si="31"/>
        <v>9</v>
      </c>
      <c r="B195" s="98"/>
      <c r="C195" s="66" t="s">
        <v>94</v>
      </c>
      <c r="D195" s="92" t="s">
        <v>364</v>
      </c>
      <c r="E195" s="92">
        <f>(29.87)*10.764</f>
        <v>321.52067999999997</v>
      </c>
      <c r="F195" s="92">
        <f>(2*1.8+1.2*(1.9+2.7))*10.764</f>
        <v>98.16767999999999</v>
      </c>
      <c r="G195" s="92">
        <v>0</v>
      </c>
      <c r="H195" s="92">
        <f t="shared" si="30"/>
        <v>419.68835999999999</v>
      </c>
      <c r="I195" s="1"/>
      <c r="J195" s="1"/>
      <c r="K195" s="1"/>
      <c r="L195" s="1"/>
      <c r="M195" s="1"/>
      <c r="N195" s="1"/>
      <c r="O195" s="1"/>
      <c r="P195" s="1"/>
      <c r="Q195" s="1"/>
      <c r="R195" s="1"/>
      <c r="S195" s="1"/>
      <c r="T195" s="23" t="str">
        <f t="shared" ca="1" si="29"/>
        <v>111609,..,3609</v>
      </c>
      <c r="U195" s="23">
        <f t="shared" ref="U195:V195" ca="1" si="38">U194+1</f>
        <v>111609</v>
      </c>
      <c r="V195" s="23">
        <f t="shared" ca="1" si="38"/>
        <v>3609</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98">
        <f t="shared" si="31"/>
        <v>10</v>
      </c>
      <c r="B196" s="98"/>
      <c r="C196" s="66" t="s">
        <v>94</v>
      </c>
      <c r="D196" s="92" t="s">
        <v>364</v>
      </c>
      <c r="E196" s="92">
        <f>(29.87)*10.764</f>
        <v>321.52067999999997</v>
      </c>
      <c r="F196" s="92">
        <f>(2*1.8+1.2*(1.9+2.7))*10.764</f>
        <v>98.16767999999999</v>
      </c>
      <c r="G196" s="92">
        <v>0</v>
      </c>
      <c r="H196" s="92">
        <f t="shared" si="30"/>
        <v>419.68835999999999</v>
      </c>
      <c r="I196" s="1"/>
      <c r="J196" s="1"/>
      <c r="K196" s="1"/>
      <c r="L196" s="1"/>
      <c r="M196" s="1"/>
      <c r="N196" s="1"/>
      <c r="O196" s="1"/>
      <c r="P196" s="1"/>
      <c r="Q196" s="1"/>
      <c r="R196" s="1"/>
      <c r="S196" s="1"/>
      <c r="T196" s="23" t="str">
        <f t="shared" ca="1" si="29"/>
        <v>111610,..,3610</v>
      </c>
      <c r="U196" s="23">
        <f t="shared" ref="U196:V196" ca="1" si="39">U195+1</f>
        <v>111610</v>
      </c>
      <c r="V196" s="23">
        <f t="shared" ca="1" si="39"/>
        <v>3610</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x14ac:dyDescent="0.25">
      <c r="A197" s="117" t="s">
        <v>374</v>
      </c>
      <c r="B197" s="118"/>
      <c r="C197" s="118"/>
      <c r="D197" s="118"/>
      <c r="E197" s="118"/>
      <c r="F197" s="118"/>
      <c r="G197" s="118"/>
      <c r="H197" s="11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x14ac:dyDescent="0.25">
      <c r="A198" s="99" t="s">
        <v>352</v>
      </c>
      <c r="B198" s="100"/>
      <c r="C198" s="100"/>
      <c r="D198" s="100"/>
      <c r="E198" s="100"/>
      <c r="F198" s="100"/>
      <c r="G198" s="100"/>
      <c r="H198" s="10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x14ac:dyDescent="0.25">
      <c r="A199" s="99" t="s">
        <v>353</v>
      </c>
      <c r="B199" s="100"/>
      <c r="C199" s="100"/>
      <c r="D199" s="100"/>
      <c r="E199" s="100"/>
      <c r="F199" s="100"/>
      <c r="G199" s="100"/>
      <c r="H199" s="10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x14ac:dyDescent="0.25">
      <c r="A200" s="99" t="s">
        <v>370</v>
      </c>
      <c r="B200" s="100"/>
      <c r="C200" s="100"/>
      <c r="D200" s="100"/>
      <c r="E200" s="100"/>
      <c r="F200" s="100"/>
      <c r="G200" s="100"/>
      <c r="H200" s="10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x14ac:dyDescent="0.25">
      <c r="A201" s="99" t="s">
        <v>371</v>
      </c>
      <c r="B201" s="100"/>
      <c r="C201" s="100"/>
      <c r="D201" s="100"/>
      <c r="E201" s="100"/>
      <c r="F201" s="100"/>
      <c r="G201" s="100"/>
      <c r="H201" s="10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x14ac:dyDescent="0.25">
      <c r="A202" s="99" t="s">
        <v>359</v>
      </c>
      <c r="B202" s="100"/>
      <c r="C202" s="100"/>
      <c r="D202" s="100"/>
      <c r="E202" s="100"/>
      <c r="F202" s="100"/>
      <c r="G202" s="100"/>
      <c r="H202" s="10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x14ac:dyDescent="0.25">
      <c r="A203" s="99" t="s">
        <v>360</v>
      </c>
      <c r="B203" s="100"/>
      <c r="C203" s="100"/>
      <c r="D203" s="100"/>
      <c r="E203" s="100"/>
      <c r="F203" s="100"/>
      <c r="G203" s="100"/>
      <c r="H203" s="10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x14ac:dyDescent="0.25">
      <c r="A204" s="99" t="s">
        <v>362</v>
      </c>
      <c r="B204" s="100"/>
      <c r="C204" s="100"/>
      <c r="D204" s="100"/>
      <c r="E204" s="100"/>
      <c r="F204" s="100"/>
      <c r="G204" s="100"/>
      <c r="H204" s="10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x14ac:dyDescent="0.25">
      <c r="A205" s="117" t="s">
        <v>384</v>
      </c>
      <c r="B205" s="118"/>
      <c r="C205" s="118"/>
      <c r="D205" s="118"/>
      <c r="E205" s="118"/>
      <c r="F205" s="118"/>
      <c r="G205" s="118"/>
      <c r="H205" s="11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x14ac:dyDescent="0.25">
      <c r="A206" s="99" t="s">
        <v>352</v>
      </c>
      <c r="B206" s="100"/>
      <c r="C206" s="100"/>
      <c r="D206" s="100"/>
      <c r="E206" s="100"/>
      <c r="F206" s="100"/>
      <c r="G206" s="100"/>
      <c r="H206" s="10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x14ac:dyDescent="0.25">
      <c r="A207" s="99" t="s">
        <v>353</v>
      </c>
      <c r="B207" s="100"/>
      <c r="C207" s="100"/>
      <c r="D207" s="100"/>
      <c r="E207" s="100"/>
      <c r="F207" s="100"/>
      <c r="G207" s="100"/>
      <c r="H207" s="10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x14ac:dyDescent="0.25">
      <c r="A208" s="99" t="s">
        <v>354</v>
      </c>
      <c r="B208" s="100"/>
      <c r="C208" s="100"/>
      <c r="D208" s="100"/>
      <c r="E208" s="100"/>
      <c r="F208" s="100"/>
      <c r="G208" s="100"/>
      <c r="H208" s="10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hidden="1" x14ac:dyDescent="0.25">
      <c r="A209" s="99" t="s">
        <v>355</v>
      </c>
      <c r="B209" s="100"/>
      <c r="C209" s="100"/>
      <c r="D209" s="100"/>
      <c r="E209" s="100"/>
      <c r="F209" s="100"/>
      <c r="G209" s="100"/>
      <c r="H209" s="10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hidden="1" x14ac:dyDescent="0.25">
      <c r="A210" s="99" t="s">
        <v>356</v>
      </c>
      <c r="B210" s="100"/>
      <c r="C210" s="100"/>
      <c r="D210" s="100"/>
      <c r="E210" s="100"/>
      <c r="F210" s="100"/>
      <c r="G210" s="100"/>
      <c r="H210" s="10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hidden="1" x14ac:dyDescent="0.25">
      <c r="A211" s="99" t="s">
        <v>357</v>
      </c>
      <c r="B211" s="100"/>
      <c r="C211" s="100"/>
      <c r="D211" s="100"/>
      <c r="E211" s="100"/>
      <c r="F211" s="100"/>
      <c r="G211" s="100"/>
      <c r="H211" s="10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hidden="1" x14ac:dyDescent="0.25">
      <c r="A212" s="99" t="s">
        <v>358</v>
      </c>
      <c r="B212" s="100"/>
      <c r="C212" s="100"/>
      <c r="D212" s="100"/>
      <c r="E212" s="100"/>
      <c r="F212" s="100"/>
      <c r="G212" s="100"/>
      <c r="H212" s="10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x14ac:dyDescent="0.25">
      <c r="A213" s="99" t="s">
        <v>359</v>
      </c>
      <c r="B213" s="100"/>
      <c r="C213" s="100"/>
      <c r="D213" s="100"/>
      <c r="E213" s="100"/>
      <c r="F213" s="100"/>
      <c r="G213" s="100"/>
      <c r="H213" s="10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x14ac:dyDescent="0.25">
      <c r="A214" s="99" t="s">
        <v>360</v>
      </c>
      <c r="B214" s="100"/>
      <c r="C214" s="100"/>
      <c r="D214" s="100"/>
      <c r="E214" s="100"/>
      <c r="F214" s="100"/>
      <c r="G214" s="100"/>
      <c r="H214" s="10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x14ac:dyDescent="0.25">
      <c r="A215" s="99" t="s">
        <v>131</v>
      </c>
      <c r="B215" s="100"/>
      <c r="C215" s="100"/>
      <c r="D215" s="100"/>
      <c r="E215" s="100"/>
      <c r="F215" s="100"/>
      <c r="G215" s="100"/>
      <c r="H215" s="10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x14ac:dyDescent="0.25">
      <c r="A216" s="98">
        <f>LEFT(A215,SUM(LEN(A215)-LEN(SUBSTITUTE(A215,{"0","1","2","3","4","5","6","7","8","9"},""))))*100+1</f>
        <v>101</v>
      </c>
      <c r="B216" s="98"/>
      <c r="C216" s="66"/>
      <c r="D216" s="66"/>
      <c r="E216" s="42">
        <v>0</v>
      </c>
      <c r="F216" s="41">
        <v>0</v>
      </c>
      <c r="G216" s="41">
        <v>0</v>
      </c>
      <c r="H216" s="6">
        <f>E216+F216+(IF(G216&lt;101,G216,IF(G216&lt;201,G216/2,IF(G216&lt;=301,G216/3,G216/4))))</f>
        <v>0</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x14ac:dyDescent="0.25">
      <c r="A217" s="148">
        <f>A216+1</f>
        <v>102</v>
      </c>
      <c r="B217" s="149"/>
      <c r="C217" s="66"/>
      <c r="D217" s="66"/>
      <c r="E217" s="42"/>
      <c r="F217" s="41"/>
      <c r="G217" s="41"/>
      <c r="H217" s="41">
        <f t="shared" ref="H217:H223" si="40">E217+F217+(IF(G217&lt;101,G217,IF(G217&lt;201,G217/2,IF(G217&lt;=301,G217/3,G217/4))))</f>
        <v>0</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x14ac:dyDescent="0.25">
      <c r="A218" s="148">
        <f t="shared" ref="A218:A223" si="41">A217+1</f>
        <v>103</v>
      </c>
      <c r="B218" s="149"/>
      <c r="C218" s="66"/>
      <c r="D218" s="66"/>
      <c r="E218" s="42"/>
      <c r="F218" s="41"/>
      <c r="G218" s="41"/>
      <c r="H218" s="41">
        <f t="shared" si="40"/>
        <v>0</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148">
        <f t="shared" si="41"/>
        <v>104</v>
      </c>
      <c r="B219" s="149"/>
      <c r="C219" s="66"/>
      <c r="D219" s="66"/>
      <c r="E219" s="42"/>
      <c r="F219" s="41"/>
      <c r="G219" s="41"/>
      <c r="H219" s="41">
        <f t="shared" si="40"/>
        <v>0</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148">
        <f t="shared" si="41"/>
        <v>105</v>
      </c>
      <c r="B220" s="149"/>
      <c r="C220" s="66"/>
      <c r="D220" s="66"/>
      <c r="E220" s="42"/>
      <c r="F220" s="41"/>
      <c r="G220" s="41"/>
      <c r="H220" s="41">
        <f t="shared" si="40"/>
        <v>0</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148">
        <f t="shared" si="41"/>
        <v>106</v>
      </c>
      <c r="B221" s="149"/>
      <c r="C221" s="66"/>
      <c r="D221" s="66"/>
      <c r="E221" s="42"/>
      <c r="F221" s="41"/>
      <c r="G221" s="41"/>
      <c r="H221" s="41">
        <f t="shared" si="40"/>
        <v>0</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customHeight="1" x14ac:dyDescent="0.25">
      <c r="A222" s="148">
        <f t="shared" si="41"/>
        <v>107</v>
      </c>
      <c r="B222" s="149"/>
      <c r="C222" s="66"/>
      <c r="D222" s="66"/>
      <c r="E222" s="42"/>
      <c r="F222" s="41"/>
      <c r="G222" s="41"/>
      <c r="H222" s="41">
        <f t="shared" si="40"/>
        <v>0</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25">
      <c r="A223" s="148">
        <f t="shared" si="41"/>
        <v>108</v>
      </c>
      <c r="B223" s="149"/>
      <c r="C223" s="66"/>
      <c r="D223" s="66"/>
      <c r="E223" s="42"/>
      <c r="F223" s="41"/>
      <c r="G223" s="41"/>
      <c r="H223" s="41">
        <f t="shared" si="40"/>
        <v>0</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x14ac:dyDescent="0.25">
      <c r="A224" s="114" t="s">
        <v>132</v>
      </c>
      <c r="B224" s="115"/>
      <c r="C224" s="115"/>
      <c r="D224" s="115"/>
      <c r="E224" s="115"/>
      <c r="F224" s="115"/>
      <c r="G224" s="115"/>
      <c r="H224" s="116"/>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25">
      <c r="A225" s="98" t="str">
        <f ca="1">T225</f>
        <v>201,..,901</v>
      </c>
      <c r="B225" s="98"/>
      <c r="C225" s="66"/>
      <c r="D225" s="66"/>
      <c r="E225" s="42">
        <v>0</v>
      </c>
      <c r="F225" s="41">
        <v>0</v>
      </c>
      <c r="G225" s="41">
        <v>0</v>
      </c>
      <c r="H225" s="41">
        <f>E225+F225+(IF(G225&lt;101,G225,IF(G225&lt;201,G225/2,IF(G225&lt;=301,G225/3,G225/4))))</f>
        <v>0</v>
      </c>
      <c r="I225" s="1"/>
      <c r="J225" s="1"/>
      <c r="K225" s="1"/>
      <c r="L225" s="1"/>
      <c r="M225" s="1"/>
      <c r="N225" s="1"/>
      <c r="O225" s="1"/>
      <c r="P225" s="1"/>
      <c r="Q225" s="1"/>
      <c r="R225" s="1"/>
      <c r="S225" s="1"/>
      <c r="T225" s="23" t="str">
        <f t="shared" ref="T225:T232" ca="1" si="42">U225&amp;""&amp;",..,"&amp;""&amp;V225</f>
        <v>201,..,901</v>
      </c>
      <c r="U225" s="23">
        <f ca="1">(SUMPRODUCT(MID(0&amp;(LEFT(A224,SUM(LEN(A224)-LEN(SUBSTITUTE(A224,{"0","1","2","3"},""))))), LARGE(INDEX(ISNUMBER(--MID((LEFT(A224,SUM(LEN(A224)-LEN(SUBSTITUTE(A224,{"0","1","2","3"},""))))), ROW(INDIRECT("1:"&amp;LEN((LEFT(A224,SUM(LEN(A224)-LEN(SUBSTITUTE(A224,{"0","1","2","3"},"")))))))), 1)) * ROW(INDIRECT("1:"&amp;LEN((LEFT(A224,SUM(LEN(A224)-LEN(SUBSTITUTE(A224,{"0","1","2","3"},"")))))))), 0), ROW(INDIRECT("1:"&amp;LEN((LEFT(A224,SUM(LEN(A224)-LEN(SUBSTITUTE(A224,{"0","1","2","3"},"")))))))))+1, 1) * 10^ROW(INDIRECT("1:"&amp;LEN((LEFT(A224,SUM(LEN(A224)-LEN(SUBSTITUTE(A224,{"0","1","2","3"},""))))))))/10))*100+1</f>
        <v>201</v>
      </c>
      <c r="V225" s="23">
        <f ca="1">(SUMPRODUCT(MID(0&amp;(--TRIM(RIGHT(SUBSTITUTE(LEFT(A224,_xlfn.AGGREGATE(16,6,FIND({0,1,2,3,4,5,6,7,8,9},A224,ROW(INDIRECT("1:"&amp;LEN(A224)))),1)),"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",LEN(A224))),LEN(A224)))))))/10))*100+1</f>
        <v>901</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customHeight="1" x14ac:dyDescent="0.25">
      <c r="A226" s="98" t="str">
        <f t="shared" ref="A226:A232" ca="1" si="43">T226</f>
        <v>202,..,902</v>
      </c>
      <c r="B226" s="98"/>
      <c r="C226" s="66"/>
      <c r="D226" s="66"/>
      <c r="E226" s="42"/>
      <c r="F226" s="41"/>
      <c r="G226" s="41"/>
      <c r="H226" s="41">
        <f t="shared" ref="H226:H232" si="44">E226+F226+(IF(G226&lt;101,G226,IF(G226&lt;201,G226/2,IF(G226&lt;=301,G226/3,G226/4))))</f>
        <v>0</v>
      </c>
      <c r="I226" s="1"/>
      <c r="J226" s="1"/>
      <c r="K226" s="1"/>
      <c r="L226" s="1"/>
      <c r="M226" s="1"/>
      <c r="N226" s="1"/>
      <c r="O226" s="1"/>
      <c r="P226" s="1"/>
      <c r="Q226" s="1"/>
      <c r="R226" s="1"/>
      <c r="S226" s="1"/>
      <c r="T226" s="23" t="str">
        <f t="shared" ca="1" si="42"/>
        <v>202,..,902</v>
      </c>
      <c r="U226" s="23">
        <f ca="1">U225+1</f>
        <v>202</v>
      </c>
      <c r="V226" s="23">
        <f ca="1">V225+1</f>
        <v>902</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98" t="str">
        <f t="shared" ca="1" si="43"/>
        <v>203,..,903</v>
      </c>
      <c r="B227" s="98"/>
      <c r="C227" s="66"/>
      <c r="D227" s="66"/>
      <c r="E227" s="42"/>
      <c r="F227" s="41"/>
      <c r="G227" s="41"/>
      <c r="H227" s="41">
        <f t="shared" si="44"/>
        <v>0</v>
      </c>
      <c r="I227" s="1"/>
      <c r="J227" s="1"/>
      <c r="K227" s="1"/>
      <c r="L227" s="1"/>
      <c r="M227" s="1"/>
      <c r="N227" s="1"/>
      <c r="O227" s="1"/>
      <c r="P227" s="1"/>
      <c r="Q227" s="1"/>
      <c r="R227" s="1"/>
      <c r="S227" s="1"/>
      <c r="T227" s="23" t="str">
        <f t="shared" ca="1" si="42"/>
        <v>203,..,903</v>
      </c>
      <c r="U227" s="23">
        <f t="shared" ref="U227:U232" ca="1" si="45">U226+1</f>
        <v>203</v>
      </c>
      <c r="V227" s="23">
        <f t="shared" ref="V227:V232" ca="1" si="46">V226+1</f>
        <v>903</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25">
      <c r="A228" s="98" t="str">
        <f t="shared" ca="1" si="43"/>
        <v>204,..,904</v>
      </c>
      <c r="B228" s="98"/>
      <c r="C228" s="66"/>
      <c r="D228" s="66"/>
      <c r="E228" s="42"/>
      <c r="F228" s="41"/>
      <c r="G228" s="41"/>
      <c r="H228" s="41">
        <f t="shared" si="44"/>
        <v>0</v>
      </c>
      <c r="I228" s="1"/>
      <c r="J228" s="1"/>
      <c r="K228" s="1"/>
      <c r="L228" s="1"/>
      <c r="M228" s="1"/>
      <c r="N228" s="1"/>
      <c r="O228" s="1"/>
      <c r="P228" s="1"/>
      <c r="Q228" s="1"/>
      <c r="R228" s="1"/>
      <c r="S228" s="1"/>
      <c r="T228" s="23" t="str">
        <f t="shared" ca="1" si="42"/>
        <v>204,..,904</v>
      </c>
      <c r="U228" s="23">
        <f t="shared" ca="1" si="45"/>
        <v>204</v>
      </c>
      <c r="V228" s="23">
        <f t="shared" ca="1" si="46"/>
        <v>904</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98" t="str">
        <f t="shared" ca="1" si="43"/>
        <v>205,..,905</v>
      </c>
      <c r="B229" s="98"/>
      <c r="C229" s="66"/>
      <c r="D229" s="66"/>
      <c r="E229" s="42"/>
      <c r="F229" s="41"/>
      <c r="G229" s="41"/>
      <c r="H229" s="41">
        <f t="shared" si="44"/>
        <v>0</v>
      </c>
      <c r="I229" s="1"/>
      <c r="J229" s="1"/>
      <c r="K229" s="1"/>
      <c r="L229" s="1"/>
      <c r="M229" s="1"/>
      <c r="N229" s="1"/>
      <c r="O229" s="1"/>
      <c r="P229" s="1"/>
      <c r="Q229" s="1"/>
      <c r="R229" s="1"/>
      <c r="S229" s="1"/>
      <c r="T229" s="23" t="str">
        <f t="shared" ca="1" si="42"/>
        <v>205,..,905</v>
      </c>
      <c r="U229" s="23">
        <f t="shared" ca="1" si="45"/>
        <v>205</v>
      </c>
      <c r="V229" s="23">
        <f t="shared" ca="1" si="46"/>
        <v>905</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98" t="str">
        <f t="shared" ca="1" si="43"/>
        <v>206,..,906</v>
      </c>
      <c r="B230" s="98"/>
      <c r="C230" s="66"/>
      <c r="D230" s="66"/>
      <c r="E230" s="42"/>
      <c r="F230" s="41"/>
      <c r="G230" s="41"/>
      <c r="H230" s="41">
        <f t="shared" si="44"/>
        <v>0</v>
      </c>
      <c r="I230" s="1"/>
      <c r="J230" s="1"/>
      <c r="K230" s="1"/>
      <c r="L230" s="1"/>
      <c r="M230" s="1"/>
      <c r="N230" s="1"/>
      <c r="O230" s="1"/>
      <c r="P230" s="1"/>
      <c r="Q230" s="1"/>
      <c r="R230" s="1"/>
      <c r="S230" s="1"/>
      <c r="T230" s="23" t="str">
        <f t="shared" ca="1" si="42"/>
        <v>206,..,906</v>
      </c>
      <c r="U230" s="23">
        <f t="shared" ca="1" si="45"/>
        <v>206</v>
      </c>
      <c r="V230" s="23">
        <f t="shared" ca="1" si="46"/>
        <v>906</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25">
      <c r="A231" s="98" t="str">
        <f t="shared" ca="1" si="43"/>
        <v>207,..,907</v>
      </c>
      <c r="B231" s="98"/>
      <c r="C231" s="66"/>
      <c r="D231" s="66"/>
      <c r="E231" s="42"/>
      <c r="F231" s="41"/>
      <c r="G231" s="41"/>
      <c r="H231" s="41">
        <f t="shared" si="44"/>
        <v>0</v>
      </c>
      <c r="I231" s="1"/>
      <c r="J231" s="1"/>
      <c r="K231" s="1"/>
      <c r="L231" s="1"/>
      <c r="M231" s="1"/>
      <c r="N231" s="1"/>
      <c r="O231" s="1"/>
      <c r="P231" s="1"/>
      <c r="Q231" s="1"/>
      <c r="R231" s="1"/>
      <c r="S231" s="1"/>
      <c r="T231" s="23" t="str">
        <f t="shared" ca="1" si="42"/>
        <v>207,..,907</v>
      </c>
      <c r="U231" s="23">
        <f t="shared" ca="1" si="45"/>
        <v>207</v>
      </c>
      <c r="V231" s="23">
        <f t="shared" ca="1" si="46"/>
        <v>907</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25">
      <c r="A232" s="98" t="str">
        <f t="shared" ca="1" si="43"/>
        <v>208,..,908</v>
      </c>
      <c r="B232" s="98"/>
      <c r="C232" s="66"/>
      <c r="D232" s="66"/>
      <c r="E232" s="42"/>
      <c r="F232" s="41"/>
      <c r="G232" s="41"/>
      <c r="H232" s="41">
        <f t="shared" si="44"/>
        <v>0</v>
      </c>
      <c r="I232" s="1"/>
      <c r="J232" s="1"/>
      <c r="K232" s="1"/>
      <c r="L232" s="1"/>
      <c r="M232" s="1"/>
      <c r="N232" s="1"/>
      <c r="O232" s="1"/>
      <c r="P232" s="1"/>
      <c r="Q232" s="1"/>
      <c r="R232" s="1"/>
      <c r="S232" s="1"/>
      <c r="T232" s="23" t="str">
        <f t="shared" ca="1" si="42"/>
        <v>208,..,908</v>
      </c>
      <c r="U232" s="23">
        <f t="shared" ca="1" si="45"/>
        <v>208</v>
      </c>
      <c r="V232" s="23">
        <f t="shared" ca="1" si="46"/>
        <v>908</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x14ac:dyDescent="0.25">
      <c r="A233" s="114" t="s">
        <v>133</v>
      </c>
      <c r="B233" s="115"/>
      <c r="C233" s="115"/>
      <c r="D233" s="115"/>
      <c r="E233" s="115"/>
      <c r="F233" s="115"/>
      <c r="G233" s="115"/>
      <c r="H233" s="116"/>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hidden="1" customHeight="1" x14ac:dyDescent="0.25">
      <c r="A234" s="98" t="str">
        <f ca="1">T234</f>
        <v>201 to 501</v>
      </c>
      <c r="B234" s="98"/>
      <c r="C234" s="66"/>
      <c r="D234" s="66"/>
      <c r="E234" s="42">
        <v>0</v>
      </c>
      <c r="F234" s="41">
        <v>0</v>
      </c>
      <c r="G234" s="41">
        <v>0</v>
      </c>
      <c r="H234" s="41">
        <f>E234+F234+(IF(G234&lt;101,G234,IF(G234&lt;201,G234/2,IF(G234&lt;=301,G234/3,G234/4))))</f>
        <v>0</v>
      </c>
      <c r="I234" s="1"/>
      <c r="J234" s="1"/>
      <c r="K234" s="1"/>
      <c r="L234" s="1"/>
      <c r="M234" s="1"/>
      <c r="N234" s="1"/>
      <c r="O234" s="1"/>
      <c r="P234" s="1"/>
      <c r="Q234" s="1"/>
      <c r="R234" s="1"/>
      <c r="S234" s="1"/>
      <c r="T234" s="23" t="str">
        <f ca="1">U234&amp;""&amp;" to "&amp;""&amp;V234</f>
        <v>201 to 501</v>
      </c>
      <c r="U234" s="23">
        <f ca="1">(SUMPRODUCT(MID(0&amp;(LEFT(A233,SUM(LEN(A233)-LEN(SUBSTITUTE(A233,{"0","1","2","3"},""))))), LARGE(INDEX(ISNUMBER(--MID((LEFT(A233,SUM(LEN(A233)-LEN(SUBSTITUTE(A233,{"0","1","2","3"},""))))), ROW(INDIRECT("1:"&amp;LEN((LEFT(A233,SUM(LEN(A233)-LEN(SUBSTITUTE(A233,{"0","1","2","3"},"")))))))), 1)) * ROW(INDIRECT("1:"&amp;LEN((LEFT(A233,SUM(LEN(A233)-LEN(SUBSTITUTE(A233,{"0","1","2","3"},"")))))))), 0), ROW(INDIRECT("1:"&amp;LEN((LEFT(A233,SUM(LEN(A233)-LEN(SUBSTITUTE(A233,{"0","1","2","3"},"")))))))))+1, 1) * 10^ROW(INDIRECT("1:"&amp;LEN((LEFT(A233,SUM(LEN(A233)-LEN(SUBSTITUTE(A233,{"0","1","2","3"},""))))))))/10))*100+1</f>
        <v>201</v>
      </c>
      <c r="V234" s="23">
        <f ca="1">(SUMPRODUCT(MID(0&amp;(--TRIM(RIGHT(SUBSTITUTE(LEFT(A233,_xlfn.AGGREGATE(16,6,FIND({0,1,2,3,4,5,6,7,8,9},A233,ROW(INDIRECT("1:"&amp;LEN(A233)))),1)),"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501</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hidden="1" customHeight="1" x14ac:dyDescent="0.25">
      <c r="A235" s="98" t="str">
        <f t="shared" ref="A235:A241" ca="1" si="47">T235</f>
        <v>202 to 502</v>
      </c>
      <c r="B235" s="98"/>
      <c r="C235" s="66"/>
      <c r="D235" s="66"/>
      <c r="E235" s="42"/>
      <c r="F235" s="41"/>
      <c r="G235" s="41"/>
      <c r="H235" s="41">
        <f t="shared" ref="H235:H241" si="48">E235+F235+(IF(G235&lt;101,G235,IF(G235&lt;201,G235/2,IF(G235&lt;=301,G235/3,G235/4))))</f>
        <v>0</v>
      </c>
      <c r="I235" s="1"/>
      <c r="J235" s="1"/>
      <c r="K235" s="1"/>
      <c r="L235" s="1"/>
      <c r="M235" s="1"/>
      <c r="N235" s="1"/>
      <c r="O235" s="1"/>
      <c r="P235" s="1"/>
      <c r="Q235" s="1"/>
      <c r="R235" s="1"/>
      <c r="S235" s="1"/>
      <c r="T235" s="23" t="str">
        <f t="shared" ref="T235:T241" ca="1" si="49">U235&amp;""&amp;" to "&amp;""&amp;V235</f>
        <v>202 to 502</v>
      </c>
      <c r="U235" s="23">
        <f ca="1">U234+1</f>
        <v>202</v>
      </c>
      <c r="V235" s="23">
        <f ca="1">V234+1</f>
        <v>502</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hidden="1" customHeight="1" x14ac:dyDescent="0.25">
      <c r="A236" s="98" t="str">
        <f t="shared" ca="1" si="47"/>
        <v>203 to 503</v>
      </c>
      <c r="B236" s="98"/>
      <c r="C236" s="66"/>
      <c r="D236" s="66"/>
      <c r="E236" s="42"/>
      <c r="F236" s="41"/>
      <c r="G236" s="41"/>
      <c r="H236" s="41">
        <f t="shared" si="48"/>
        <v>0</v>
      </c>
      <c r="I236" s="1"/>
      <c r="J236" s="1"/>
      <c r="K236" s="1"/>
      <c r="L236" s="1"/>
      <c r="M236" s="1"/>
      <c r="N236" s="1"/>
      <c r="O236" s="1"/>
      <c r="P236" s="1"/>
      <c r="Q236" s="1"/>
      <c r="R236" s="1"/>
      <c r="S236" s="1"/>
      <c r="T236" s="23" t="str">
        <f t="shared" ca="1" si="49"/>
        <v>203 to 503</v>
      </c>
      <c r="U236" s="23">
        <f t="shared" ref="U236:U241" ca="1" si="50">U235+1</f>
        <v>203</v>
      </c>
      <c r="V236" s="23">
        <f t="shared" ref="V236:V241" ca="1" si="51">V235+1</f>
        <v>503</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hidden="1" customHeight="1" x14ac:dyDescent="0.25">
      <c r="A237" s="98" t="str">
        <f t="shared" ca="1" si="47"/>
        <v>204 to 504</v>
      </c>
      <c r="B237" s="98"/>
      <c r="C237" s="66"/>
      <c r="D237" s="66"/>
      <c r="E237" s="42"/>
      <c r="F237" s="41"/>
      <c r="G237" s="41"/>
      <c r="H237" s="41">
        <f t="shared" si="48"/>
        <v>0</v>
      </c>
      <c r="I237" s="1"/>
      <c r="J237" s="1"/>
      <c r="K237" s="1"/>
      <c r="L237" s="1"/>
      <c r="M237" s="1"/>
      <c r="N237" s="1"/>
      <c r="O237" s="1"/>
      <c r="P237" s="1"/>
      <c r="Q237" s="1"/>
      <c r="R237" s="1"/>
      <c r="S237" s="1"/>
      <c r="T237" s="23" t="str">
        <f t="shared" ca="1" si="49"/>
        <v>204 to 504</v>
      </c>
      <c r="U237" s="23">
        <f t="shared" ca="1" si="50"/>
        <v>204</v>
      </c>
      <c r="V237" s="23">
        <f t="shared" ca="1" si="51"/>
        <v>504</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hidden="1" customHeight="1" x14ac:dyDescent="0.25">
      <c r="A238" s="98" t="str">
        <f t="shared" ca="1" si="47"/>
        <v>205 to 505</v>
      </c>
      <c r="B238" s="98"/>
      <c r="C238" s="66"/>
      <c r="D238" s="66"/>
      <c r="E238" s="42"/>
      <c r="F238" s="41"/>
      <c r="G238" s="41"/>
      <c r="H238" s="41">
        <f t="shared" si="48"/>
        <v>0</v>
      </c>
      <c r="I238" s="1"/>
      <c r="J238" s="1"/>
      <c r="K238" s="1"/>
      <c r="L238" s="1"/>
      <c r="M238" s="1"/>
      <c r="N238" s="1"/>
      <c r="O238" s="1"/>
      <c r="P238" s="1"/>
      <c r="Q238" s="1"/>
      <c r="R238" s="1"/>
      <c r="S238" s="1"/>
      <c r="T238" s="23" t="str">
        <f t="shared" ca="1" si="49"/>
        <v>205 to 505</v>
      </c>
      <c r="U238" s="23">
        <f t="shared" ca="1" si="50"/>
        <v>205</v>
      </c>
      <c r="V238" s="23">
        <f t="shared" ca="1" si="51"/>
        <v>505</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hidden="1" customHeight="1" x14ac:dyDescent="0.25">
      <c r="A239" s="98" t="str">
        <f t="shared" ca="1" si="47"/>
        <v>206 to 506</v>
      </c>
      <c r="B239" s="98"/>
      <c r="C239" s="66"/>
      <c r="D239" s="66"/>
      <c r="E239" s="42"/>
      <c r="F239" s="41"/>
      <c r="G239" s="41"/>
      <c r="H239" s="41">
        <f t="shared" si="48"/>
        <v>0</v>
      </c>
      <c r="I239" s="1"/>
      <c r="J239" s="1"/>
      <c r="K239" s="1"/>
      <c r="L239" s="1"/>
      <c r="M239" s="1"/>
      <c r="N239" s="1"/>
      <c r="O239" s="1"/>
      <c r="P239" s="1"/>
      <c r="Q239" s="1"/>
      <c r="R239" s="1"/>
      <c r="S239" s="1"/>
      <c r="T239" s="23" t="str">
        <f t="shared" ca="1" si="49"/>
        <v>206 to 506</v>
      </c>
      <c r="U239" s="23">
        <f t="shared" ca="1" si="50"/>
        <v>206</v>
      </c>
      <c r="V239" s="23">
        <f t="shared" ca="1" si="51"/>
        <v>506</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hidden="1" customHeight="1" x14ac:dyDescent="0.25">
      <c r="A240" s="98" t="str">
        <f t="shared" ca="1" si="47"/>
        <v>207 to 507</v>
      </c>
      <c r="B240" s="98"/>
      <c r="C240" s="66"/>
      <c r="D240" s="66"/>
      <c r="E240" s="42"/>
      <c r="F240" s="41"/>
      <c r="G240" s="41"/>
      <c r="H240" s="41">
        <f t="shared" si="48"/>
        <v>0</v>
      </c>
      <c r="I240" s="1"/>
      <c r="J240" s="1"/>
      <c r="K240" s="1"/>
      <c r="L240" s="1"/>
      <c r="M240" s="1"/>
      <c r="N240" s="1"/>
      <c r="O240" s="1"/>
      <c r="P240" s="1"/>
      <c r="Q240" s="1"/>
      <c r="R240" s="1"/>
      <c r="S240" s="1"/>
      <c r="T240" s="23" t="str">
        <f t="shared" ca="1" si="49"/>
        <v>207 to 507</v>
      </c>
      <c r="U240" s="23">
        <f t="shared" ca="1" si="50"/>
        <v>207</v>
      </c>
      <c r="V240" s="23">
        <f t="shared" ca="1" si="51"/>
        <v>507</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hidden="1" customHeight="1" x14ac:dyDescent="0.25">
      <c r="A241" s="98" t="str">
        <f t="shared" ca="1" si="47"/>
        <v>208 to 508</v>
      </c>
      <c r="B241" s="98"/>
      <c r="C241" s="66"/>
      <c r="D241" s="66"/>
      <c r="E241" s="42"/>
      <c r="F241" s="41"/>
      <c r="G241" s="41"/>
      <c r="H241" s="41">
        <f t="shared" si="48"/>
        <v>0</v>
      </c>
      <c r="I241" s="1"/>
      <c r="J241" s="1"/>
      <c r="K241" s="1"/>
      <c r="L241" s="1"/>
      <c r="M241" s="1"/>
      <c r="N241" s="1"/>
      <c r="O241" s="1"/>
      <c r="P241" s="1"/>
      <c r="Q241" s="1"/>
      <c r="R241" s="1"/>
      <c r="S241" s="1"/>
      <c r="T241" s="23" t="str">
        <f t="shared" ca="1" si="49"/>
        <v>208 to 508</v>
      </c>
      <c r="U241" s="23">
        <f t="shared" ca="1" si="50"/>
        <v>208</v>
      </c>
      <c r="V241" s="23">
        <f t="shared" ca="1" si="51"/>
        <v>508</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hidden="1" x14ac:dyDescent="0.25">
      <c r="A242" s="114" t="s">
        <v>134</v>
      </c>
      <c r="B242" s="115"/>
      <c r="C242" s="115"/>
      <c r="D242" s="115"/>
      <c r="E242" s="115"/>
      <c r="F242" s="115"/>
      <c r="G242" s="115"/>
      <c r="H242" s="116"/>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hidden="1" customHeight="1" x14ac:dyDescent="0.25">
      <c r="A243" s="98" t="str">
        <f ca="1">T243</f>
        <v>201 &amp; 501</v>
      </c>
      <c r="B243" s="98"/>
      <c r="C243" s="66"/>
      <c r="D243" s="66"/>
      <c r="E243" s="42">
        <v>0</v>
      </c>
      <c r="F243" s="41">
        <v>0</v>
      </c>
      <c r="G243" s="41">
        <v>0</v>
      </c>
      <c r="H243" s="41">
        <f>E243+F243+(IF(G243&lt;101,G243,IF(G243&lt;201,G243/2,IF(G243&lt;=301,G243/3,G243/4))))</f>
        <v>0</v>
      </c>
      <c r="I243" s="1"/>
      <c r="J243" s="1"/>
      <c r="K243" s="1"/>
      <c r="L243" s="1"/>
      <c r="M243" s="1"/>
      <c r="N243" s="1"/>
      <c r="O243" s="1"/>
      <c r="P243" s="1"/>
      <c r="Q243" s="1"/>
      <c r="R243" s="1"/>
      <c r="S243" s="1"/>
      <c r="T243" s="23" t="str">
        <f ca="1">U243&amp;""&amp;" &amp; "&amp;""&amp;V243</f>
        <v>201 &amp; 501</v>
      </c>
      <c r="U243" s="23">
        <f ca="1">(SUMPRODUCT(MID(0&amp;(LEFT(A242,SUM(LEN(A242)-LEN(SUBSTITUTE(A242,{"0","1","2","3"},""))))), LARGE(INDEX(ISNUMBER(--MID((LEFT(A242,SUM(LEN(A242)-LEN(SUBSTITUTE(A242,{"0","1","2","3"},""))))), ROW(INDIRECT("1:"&amp;LEN((LEFT(A242,SUM(LEN(A242)-LEN(SUBSTITUTE(A242,{"0","1","2","3"},"")))))))), 1)) * ROW(INDIRECT("1:"&amp;LEN((LEFT(A242,SUM(LEN(A242)-LEN(SUBSTITUTE(A242,{"0","1","2","3"},"")))))))), 0), ROW(INDIRECT("1:"&amp;LEN((LEFT(A242,SUM(LEN(A242)-LEN(SUBSTITUTE(A242,{"0","1","2","3"},"")))))))))+1, 1) * 10^ROW(INDIRECT("1:"&amp;LEN((LEFT(A242,SUM(LEN(A242)-LEN(SUBSTITUTE(A242,{"0","1","2","3"},""))))))))/10))*100+1</f>
        <v>201</v>
      </c>
      <c r="V243" s="23">
        <f ca="1">(SUMPRODUCT(MID(0&amp;(--TRIM(RIGHT(SUBSTITUTE(LEFT(A242,_xlfn.AGGREGATE(16,6,FIND({0,1,2,3,4,5,6,7,8,9},A242,ROW(INDIRECT("1:"&amp;LEN(A242)))),1))," ",REPT(" ",LEN(A242))),LEN(A242)))), LARGE(INDEX(ISNUMBER(--MID((--TRIM(RIGHT(SUBSTITUTE(LEFT(A242,_xlfn.AGGREGATE(16,6,FIND({0,1,2,3,4,5,6,7,8,9},A242,ROW(INDIRECT("1:"&amp;LEN(A242)))),1))," ",REPT(" ",LEN(A242))),LEN(A242)))), ROW(INDIRECT("1:"&amp;LEN((--TRIM(RIGHT(SUBSTITUTE(LEFT(A242,_xlfn.AGGREGATE(16,6,FIND({0,1,2,3,4,5,6,7,8,9},A242,ROW(INDIRECT("1:"&amp;LEN(A242)))),1))," ",REPT(" ",LEN(A242))),LEN(A242))))))), 1)) * ROW(INDIRECT("1:"&amp;LEN((--TRIM(RIGHT(SUBSTITUTE(LEFT(A242,_xlfn.AGGREGATE(16,6,FIND({0,1,2,3,4,5,6,7,8,9},A242,ROW(INDIRECT("1:"&amp;LEN(A242)))),1))," ",REPT(" ",LEN(A242))),LEN(A242))))))), 0), ROW(INDIRECT("1:"&amp;LEN((--TRIM(RIGHT(SUBSTITUTE(LEFT(A242,_xlfn.AGGREGATE(16,6,FIND({0,1,2,3,4,5,6,7,8,9},A242,ROW(INDIRECT("1:"&amp;LEN(A242)))),1))," ",REPT(" ",LEN(A242))),LEN(A242))))))))+1, 1) * 10^ROW(INDIRECT("1:"&amp;LEN((--TRIM(RIGHT(SUBSTITUTE(LEFT(A242,_xlfn.AGGREGATE(16,6,FIND({0,1,2,3,4,5,6,7,8,9},A242,ROW(INDIRECT("1:"&amp;LEN(A242)))),1))," ",REPT(" ",LEN(A242))),LEN(A242)))))))/10))*100+1</f>
        <v>501</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hidden="1" customHeight="1" x14ac:dyDescent="0.25">
      <c r="A244" s="98" t="str">
        <f t="shared" ref="A244:A250" ca="1" si="52">T244</f>
        <v>202 &amp; 502</v>
      </c>
      <c r="B244" s="98"/>
      <c r="C244" s="66"/>
      <c r="D244" s="66"/>
      <c r="E244" s="42"/>
      <c r="F244" s="41"/>
      <c r="G244" s="41"/>
      <c r="H244" s="41">
        <f t="shared" ref="H244:H250" si="53">E244+F244+(IF(G244&lt;101,G244,IF(G244&lt;201,G244/2,IF(G244&lt;=301,G244/3,G244/4))))</f>
        <v>0</v>
      </c>
      <c r="I244" s="1"/>
      <c r="J244" s="1"/>
      <c r="K244" s="1"/>
      <c r="L244" s="1"/>
      <c r="M244" s="1"/>
      <c r="N244" s="1"/>
      <c r="O244" s="1"/>
      <c r="P244" s="1"/>
      <c r="Q244" s="1"/>
      <c r="R244" s="1"/>
      <c r="S244" s="1"/>
      <c r="T244" s="23" t="str">
        <f t="shared" ref="T244:T250" ca="1" si="54">U244&amp;""&amp;" &amp; "&amp;""&amp;V244</f>
        <v>202 &amp; 502</v>
      </c>
      <c r="U244" s="23">
        <f ca="1">U243+1</f>
        <v>202</v>
      </c>
      <c r="V244" s="23">
        <f ca="1">V243+1</f>
        <v>502</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hidden="1" customHeight="1" x14ac:dyDescent="0.25">
      <c r="A245" s="98" t="str">
        <f t="shared" ca="1" si="52"/>
        <v>203 &amp; 503</v>
      </c>
      <c r="B245" s="98"/>
      <c r="C245" s="66"/>
      <c r="D245" s="66"/>
      <c r="E245" s="42"/>
      <c r="F245" s="41"/>
      <c r="G245" s="41"/>
      <c r="H245" s="41">
        <f t="shared" si="53"/>
        <v>0</v>
      </c>
      <c r="I245" s="1"/>
      <c r="J245" s="1"/>
      <c r="K245" s="1"/>
      <c r="L245" s="1"/>
      <c r="M245" s="1"/>
      <c r="N245" s="1"/>
      <c r="O245" s="1"/>
      <c r="P245" s="1"/>
      <c r="Q245" s="1"/>
      <c r="R245" s="1"/>
      <c r="S245" s="1"/>
      <c r="T245" s="23" t="str">
        <f t="shared" ca="1" si="54"/>
        <v>203 &amp; 503</v>
      </c>
      <c r="U245" s="23">
        <f t="shared" ref="U245:U250" ca="1" si="55">U244+1</f>
        <v>203</v>
      </c>
      <c r="V245" s="23">
        <f t="shared" ref="V245:V250" ca="1" si="56">V244+1</f>
        <v>503</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hidden="1" customHeight="1" x14ac:dyDescent="0.25">
      <c r="A246" s="98" t="str">
        <f t="shared" ca="1" si="52"/>
        <v>204 &amp; 504</v>
      </c>
      <c r="B246" s="98"/>
      <c r="C246" s="66"/>
      <c r="D246" s="66"/>
      <c r="E246" s="42"/>
      <c r="F246" s="41"/>
      <c r="G246" s="41"/>
      <c r="H246" s="41">
        <f t="shared" si="53"/>
        <v>0</v>
      </c>
      <c r="I246" s="1"/>
      <c r="J246" s="1"/>
      <c r="K246" s="1"/>
      <c r="L246" s="1"/>
      <c r="M246" s="1"/>
      <c r="N246" s="1"/>
      <c r="O246" s="1"/>
      <c r="P246" s="1"/>
      <c r="Q246" s="1"/>
      <c r="R246" s="1"/>
      <c r="S246" s="1"/>
      <c r="T246" s="23" t="str">
        <f t="shared" ca="1" si="54"/>
        <v>204 &amp; 504</v>
      </c>
      <c r="U246" s="23">
        <f t="shared" ca="1" si="55"/>
        <v>204</v>
      </c>
      <c r="V246" s="23">
        <f t="shared" ca="1" si="56"/>
        <v>504</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hidden="1" customHeight="1" x14ac:dyDescent="0.25">
      <c r="A247" s="98" t="str">
        <f t="shared" ca="1" si="52"/>
        <v>205 &amp; 505</v>
      </c>
      <c r="B247" s="98"/>
      <c r="C247" s="66"/>
      <c r="D247" s="66"/>
      <c r="E247" s="42"/>
      <c r="F247" s="41"/>
      <c r="G247" s="41"/>
      <c r="H247" s="41">
        <f t="shared" si="53"/>
        <v>0</v>
      </c>
      <c r="I247" s="1"/>
      <c r="J247" s="1"/>
      <c r="K247" s="1"/>
      <c r="L247" s="1"/>
      <c r="M247" s="1"/>
      <c r="N247" s="1"/>
      <c r="O247" s="1"/>
      <c r="P247" s="1"/>
      <c r="Q247" s="1"/>
      <c r="R247" s="1"/>
      <c r="S247" s="1"/>
      <c r="T247" s="23" t="str">
        <f t="shared" ca="1" si="54"/>
        <v>205 &amp; 505</v>
      </c>
      <c r="U247" s="23">
        <f t="shared" ca="1" si="55"/>
        <v>205</v>
      </c>
      <c r="V247" s="23">
        <f t="shared" ca="1" si="56"/>
        <v>505</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hidden="1" customHeight="1" x14ac:dyDescent="0.25">
      <c r="A248" s="98" t="str">
        <f t="shared" ca="1" si="52"/>
        <v>206 &amp; 506</v>
      </c>
      <c r="B248" s="98"/>
      <c r="C248" s="66"/>
      <c r="D248" s="66"/>
      <c r="E248" s="42"/>
      <c r="F248" s="41"/>
      <c r="G248" s="41"/>
      <c r="H248" s="41">
        <f t="shared" si="53"/>
        <v>0</v>
      </c>
      <c r="I248" s="1"/>
      <c r="J248" s="1"/>
      <c r="K248" s="1"/>
      <c r="L248" s="1"/>
      <c r="M248" s="1"/>
      <c r="N248" s="1"/>
      <c r="O248" s="1"/>
      <c r="P248" s="1"/>
      <c r="Q248" s="1"/>
      <c r="R248" s="1"/>
      <c r="S248" s="1"/>
      <c r="T248" s="23" t="str">
        <f t="shared" ca="1" si="54"/>
        <v>206 &amp; 506</v>
      </c>
      <c r="U248" s="23">
        <f t="shared" ca="1" si="55"/>
        <v>206</v>
      </c>
      <c r="V248" s="23">
        <f t="shared" ca="1" si="56"/>
        <v>506</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hidden="1" customHeight="1" x14ac:dyDescent="0.25">
      <c r="A249" s="98" t="str">
        <f t="shared" ca="1" si="52"/>
        <v>207 &amp; 507</v>
      </c>
      <c r="B249" s="98"/>
      <c r="C249" s="66"/>
      <c r="D249" s="66"/>
      <c r="E249" s="42"/>
      <c r="F249" s="41"/>
      <c r="G249" s="41"/>
      <c r="H249" s="41">
        <f t="shared" si="53"/>
        <v>0</v>
      </c>
      <c r="I249" s="1"/>
      <c r="J249" s="1"/>
      <c r="K249" s="1"/>
      <c r="L249" s="1"/>
      <c r="M249" s="1"/>
      <c r="N249" s="1"/>
      <c r="O249" s="1"/>
      <c r="P249" s="1"/>
      <c r="Q249" s="1"/>
      <c r="R249" s="1"/>
      <c r="S249" s="1"/>
      <c r="T249" s="23" t="str">
        <f t="shared" ca="1" si="54"/>
        <v>207 &amp; 507</v>
      </c>
      <c r="U249" s="23">
        <f t="shared" ca="1" si="55"/>
        <v>207</v>
      </c>
      <c r="V249" s="23">
        <f t="shared" ca="1" si="56"/>
        <v>507</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hidden="1" customHeight="1" x14ac:dyDescent="0.25">
      <c r="A250" s="98" t="str">
        <f t="shared" ca="1" si="52"/>
        <v>208 &amp; 508</v>
      </c>
      <c r="B250" s="98"/>
      <c r="C250" s="66"/>
      <c r="D250" s="66"/>
      <c r="E250" s="42"/>
      <c r="F250" s="41"/>
      <c r="G250" s="41"/>
      <c r="H250" s="41">
        <f t="shared" si="53"/>
        <v>0</v>
      </c>
      <c r="I250" s="1"/>
      <c r="J250" s="1"/>
      <c r="K250" s="1"/>
      <c r="L250" s="1"/>
      <c r="M250" s="1"/>
      <c r="N250" s="1"/>
      <c r="O250" s="1"/>
      <c r="P250" s="1"/>
      <c r="Q250" s="1"/>
      <c r="R250" s="1"/>
      <c r="S250" s="1"/>
      <c r="T250" s="23" t="str">
        <f t="shared" ca="1" si="54"/>
        <v>208 &amp; 508</v>
      </c>
      <c r="U250" s="23">
        <f t="shared" ca="1" si="55"/>
        <v>208</v>
      </c>
      <c r="V250" s="23">
        <f t="shared" ca="1" si="56"/>
        <v>508</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ht="20.25" x14ac:dyDescent="0.25">
      <c r="A251" s="150" t="s">
        <v>67</v>
      </c>
      <c r="B251" s="150"/>
      <c r="C251" s="150"/>
      <c r="D251" s="150"/>
      <c r="E251" s="150"/>
      <c r="F251" s="150"/>
      <c r="G251" s="150"/>
      <c r="H251" s="150"/>
    </row>
    <row r="252" spans="1:150 16226:16383" ht="88.5" customHeight="1" x14ac:dyDescent="0.25">
      <c r="A252" s="49" t="s">
        <v>241</v>
      </c>
      <c r="B252" s="109" t="s">
        <v>393</v>
      </c>
      <c r="C252" s="137"/>
      <c r="D252" s="137"/>
      <c r="E252" s="137"/>
      <c r="F252" s="137"/>
      <c r="G252" s="137"/>
      <c r="H252" s="110"/>
    </row>
    <row r="253" spans="1:150 16226:16383" ht="20.25" x14ac:dyDescent="0.25">
      <c r="A253" s="49" t="s">
        <v>241</v>
      </c>
      <c r="B253" s="109" t="s">
        <v>242</v>
      </c>
      <c r="C253" s="137"/>
      <c r="D253" s="137"/>
      <c r="E253" s="137"/>
      <c r="F253" s="137"/>
      <c r="G253" s="137"/>
      <c r="H253" s="110"/>
    </row>
    <row r="254" spans="1:150 16226:16383" ht="20.25" x14ac:dyDescent="0.25">
      <c r="A254" s="49" t="s">
        <v>241</v>
      </c>
      <c r="B254" s="109" t="s">
        <v>375</v>
      </c>
      <c r="C254" s="137"/>
      <c r="D254" s="137"/>
      <c r="E254" s="137"/>
      <c r="F254" s="137"/>
      <c r="G254" s="137"/>
      <c r="H254" s="110"/>
    </row>
    <row r="255" spans="1:150 16226:16383" ht="20.25" x14ac:dyDescent="0.25">
      <c r="A255" s="49" t="s">
        <v>241</v>
      </c>
      <c r="B255" s="109" t="s">
        <v>243</v>
      </c>
      <c r="C255" s="137"/>
      <c r="D255" s="137"/>
      <c r="E255" s="137"/>
      <c r="F255" s="137"/>
      <c r="G255" s="137"/>
      <c r="H255" s="110"/>
    </row>
    <row r="256" spans="1:150 16226:16383" ht="20.25" x14ac:dyDescent="0.25">
      <c r="A256" s="49" t="s">
        <v>241</v>
      </c>
      <c r="B256" s="109" t="s">
        <v>244</v>
      </c>
      <c r="C256" s="137"/>
      <c r="D256" s="137"/>
      <c r="E256" s="137"/>
      <c r="F256" s="137"/>
      <c r="G256" s="137"/>
      <c r="H256" s="110"/>
    </row>
    <row r="257" spans="1:8" ht="46.5" hidden="1" customHeight="1" x14ac:dyDescent="0.25">
      <c r="A257" s="49" t="s">
        <v>241</v>
      </c>
      <c r="B257" s="179" t="s">
        <v>245</v>
      </c>
      <c r="C257" s="137"/>
      <c r="D257" s="137"/>
      <c r="E257" s="137"/>
      <c r="F257" s="137"/>
      <c r="G257" s="137"/>
      <c r="H257" s="110"/>
    </row>
    <row r="258" spans="1:8" ht="24.75" hidden="1" customHeight="1" x14ac:dyDescent="0.25">
      <c r="A258" s="49" t="s">
        <v>241</v>
      </c>
      <c r="B258" s="179" t="s">
        <v>246</v>
      </c>
      <c r="C258" s="137"/>
      <c r="D258" s="137"/>
      <c r="E258" s="137"/>
      <c r="F258" s="137"/>
      <c r="G258" s="137"/>
      <c r="H258" s="110"/>
    </row>
    <row r="259" spans="1:8" ht="46.5" customHeight="1" x14ac:dyDescent="0.25">
      <c r="A259" s="2" t="s">
        <v>241</v>
      </c>
      <c r="B259" s="109" t="s">
        <v>376</v>
      </c>
      <c r="C259" s="137"/>
      <c r="D259" s="137"/>
      <c r="E259" s="137"/>
      <c r="F259" s="137"/>
      <c r="G259" s="137"/>
      <c r="H259" s="110"/>
    </row>
    <row r="260" spans="1:8" ht="20.25" x14ac:dyDescent="0.25">
      <c r="A260" s="159" t="s">
        <v>73</v>
      </c>
      <c r="B260" s="159"/>
      <c r="C260" s="159"/>
      <c r="D260" s="159"/>
      <c r="E260" s="159"/>
      <c r="F260" s="159"/>
      <c r="G260" s="159"/>
      <c r="H260" s="159"/>
    </row>
    <row r="261" spans="1:8" ht="43.5" customHeight="1" x14ac:dyDescent="0.25">
      <c r="A261" s="136" t="s">
        <v>68</v>
      </c>
      <c r="B261" s="136"/>
      <c r="C261" s="136"/>
      <c r="D261" s="109" t="str">
        <f>C3</f>
        <v>Codename StarLife
( Wing A1, A2, B1, B2 &amp; C )</v>
      </c>
      <c r="E261" s="137"/>
      <c r="F261" s="137"/>
      <c r="G261" s="137"/>
      <c r="H261" s="110"/>
    </row>
    <row r="262" spans="1:8" ht="40.5" customHeight="1" x14ac:dyDescent="0.25">
      <c r="A262" s="136" t="s">
        <v>105</v>
      </c>
      <c r="B262" s="136"/>
      <c r="C262" s="136"/>
      <c r="D262" s="109" t="str">
        <f>C9</f>
        <v>Codename StarLife-Wing A1, A2, B1, B2 &amp; C , 111-1-2, 111-2, 111-5, 111-8-3, 111-8-4, 119-1, 119-2, 119-3, 119-4, 124-1, 124-2, 124-3, 118-4-1, 118-5, 118-7, 125-1, 125-2, at Mira Bhayandar (M Corp.), Thane - 401107</v>
      </c>
      <c r="E262" s="137"/>
      <c r="F262" s="137"/>
      <c r="G262" s="137"/>
      <c r="H262" s="110"/>
    </row>
    <row r="263" spans="1:8" ht="20.25" customHeight="1" x14ac:dyDescent="0.25">
      <c r="A263" s="165" t="s">
        <v>112</v>
      </c>
      <c r="B263" s="165"/>
      <c r="C263" s="165"/>
      <c r="D263" s="166" t="str">
        <f>G3</f>
        <v>08/08/2025 at 10:58AM</v>
      </c>
      <c r="E263" s="137"/>
      <c r="F263" s="137"/>
      <c r="G263" s="137"/>
      <c r="H263" s="110"/>
    </row>
    <row r="264" spans="1:8" ht="20.25" x14ac:dyDescent="0.25">
      <c r="A264" s="10"/>
      <c r="B264" s="11"/>
      <c r="C264" s="11"/>
      <c r="D264" s="11"/>
      <c r="E264" s="11"/>
      <c r="F264" s="11"/>
      <c r="G264" s="11"/>
      <c r="H264" s="7"/>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4"/>
      <c r="B307" s="15"/>
      <c r="C307" s="15"/>
      <c r="D307" s="15"/>
      <c r="E307" s="15"/>
      <c r="F307" s="15"/>
      <c r="G307" s="15"/>
      <c r="H307" s="9"/>
    </row>
    <row r="308" spans="1:8" ht="20.25" x14ac:dyDescent="0.25">
      <c r="A308" s="150" t="s">
        <v>164</v>
      </c>
      <c r="B308" s="150"/>
      <c r="C308" s="150"/>
      <c r="D308" s="150"/>
      <c r="E308" s="150"/>
      <c r="F308" s="150"/>
      <c r="G308" s="150"/>
      <c r="H308" s="150"/>
    </row>
    <row r="309" spans="1:8" ht="20.25" x14ac:dyDescent="0.25">
      <c r="A309" s="10"/>
      <c r="B309" s="11"/>
      <c r="C309" s="11"/>
      <c r="D309" s="11"/>
      <c r="E309" s="11"/>
      <c r="F309" s="11"/>
      <c r="G309" s="11"/>
      <c r="H309" s="7"/>
    </row>
    <row r="310" spans="1:8" ht="20.25" x14ac:dyDescent="0.25">
      <c r="A310" s="12"/>
      <c r="B310" s="67"/>
      <c r="C310" s="67"/>
      <c r="D310" s="67"/>
      <c r="E310" s="67"/>
      <c r="F310" s="67"/>
      <c r="G310" s="67"/>
      <c r="H310" s="8"/>
    </row>
    <row r="311" spans="1:8" ht="20.25" x14ac:dyDescent="0.25">
      <c r="A311" s="12"/>
      <c r="B311" s="67"/>
      <c r="C311" s="67"/>
      <c r="D311" s="67"/>
      <c r="E311" s="67"/>
      <c r="F311" s="67"/>
      <c r="G311" s="67"/>
      <c r="H311" s="8"/>
    </row>
    <row r="312" spans="1:8" ht="20.25" x14ac:dyDescent="0.25">
      <c r="A312" s="12"/>
      <c r="B312" s="67"/>
      <c r="C312" s="67"/>
      <c r="D312" s="67"/>
      <c r="E312" s="67"/>
      <c r="F312" s="67"/>
      <c r="G312" s="67"/>
      <c r="H312" s="8"/>
    </row>
    <row r="313" spans="1:8" ht="20.25" x14ac:dyDescent="0.25">
      <c r="A313" s="12"/>
      <c r="B313" s="67"/>
      <c r="C313" s="67"/>
      <c r="D313" s="67"/>
      <c r="E313" s="67"/>
      <c r="F313" s="67"/>
      <c r="G313" s="67"/>
      <c r="H313" s="8"/>
    </row>
    <row r="314" spans="1:8" ht="20.25" x14ac:dyDescent="0.25">
      <c r="A314" s="12"/>
      <c r="B314" s="67"/>
      <c r="C314" s="67"/>
      <c r="D314" s="67"/>
      <c r="E314" s="67"/>
      <c r="F314" s="67"/>
      <c r="G314" s="67"/>
      <c r="H314" s="8"/>
    </row>
    <row r="315" spans="1:8" ht="20.25" x14ac:dyDescent="0.25">
      <c r="A315" s="12"/>
      <c r="B315" s="67"/>
      <c r="C315" s="67"/>
      <c r="D315" s="67"/>
      <c r="E315" s="67"/>
      <c r="F315" s="67"/>
      <c r="G315" s="67"/>
      <c r="H315" s="8"/>
    </row>
    <row r="316" spans="1:8" ht="20.25" x14ac:dyDescent="0.25">
      <c r="A316" s="12"/>
      <c r="B316" s="67"/>
      <c r="C316" s="67"/>
      <c r="D316" s="67"/>
      <c r="E316" s="67"/>
      <c r="F316" s="67"/>
      <c r="G316" s="67"/>
      <c r="H316" s="8"/>
    </row>
    <row r="317" spans="1:8" ht="20.25" x14ac:dyDescent="0.25">
      <c r="A317" s="12"/>
      <c r="B317" s="67"/>
      <c r="C317" s="67"/>
      <c r="D317" s="67"/>
      <c r="E317" s="67"/>
      <c r="F317" s="67"/>
      <c r="G317" s="67"/>
      <c r="H317" s="8"/>
    </row>
    <row r="318" spans="1:8" ht="20.25" x14ac:dyDescent="0.25">
      <c r="A318" s="12"/>
      <c r="B318" s="67"/>
      <c r="C318" s="67"/>
      <c r="D318" s="67"/>
      <c r="E318" s="67"/>
      <c r="F318" s="67"/>
      <c r="G318" s="67"/>
      <c r="H318" s="8"/>
    </row>
    <row r="319" spans="1:8" ht="20.25" x14ac:dyDescent="0.25">
      <c r="A319" s="12"/>
      <c r="B319" s="67"/>
      <c r="C319" s="67"/>
      <c r="D319" s="67"/>
      <c r="E319" s="67"/>
      <c r="F319" s="67"/>
      <c r="G319" s="67"/>
      <c r="H319" s="8"/>
    </row>
    <row r="320" spans="1:8" ht="20.25" x14ac:dyDescent="0.25">
      <c r="A320" s="12"/>
      <c r="B320" s="67"/>
      <c r="C320" s="67"/>
      <c r="D320" s="67"/>
      <c r="E320" s="67"/>
      <c r="F320" s="67"/>
      <c r="G320" s="67"/>
      <c r="H320" s="8"/>
    </row>
    <row r="321" spans="1:8" ht="20.25" x14ac:dyDescent="0.25">
      <c r="A321" s="12"/>
      <c r="B321" s="67"/>
      <c r="C321" s="67"/>
      <c r="D321" s="67"/>
      <c r="E321" s="67"/>
      <c r="F321" s="67"/>
      <c r="G321" s="67"/>
      <c r="H321" s="8"/>
    </row>
    <row r="322" spans="1:8" ht="20.25" x14ac:dyDescent="0.25">
      <c r="A322" s="12"/>
      <c r="B322" s="67"/>
      <c r="C322" s="67"/>
      <c r="D322" s="67"/>
      <c r="E322" s="67"/>
      <c r="F322" s="67"/>
      <c r="G322" s="67"/>
      <c r="H322" s="8"/>
    </row>
    <row r="323" spans="1:8" ht="20.25" x14ac:dyDescent="0.25">
      <c r="A323" s="12"/>
      <c r="B323" s="67"/>
      <c r="C323" s="67"/>
      <c r="D323" s="67"/>
      <c r="E323" s="67"/>
      <c r="F323" s="67"/>
      <c r="G323" s="67"/>
      <c r="H323" s="8"/>
    </row>
    <row r="324" spans="1:8" ht="20.25" x14ac:dyDescent="0.25">
      <c r="A324" s="12"/>
      <c r="B324" s="67"/>
      <c r="C324" s="67"/>
      <c r="D324" s="67"/>
      <c r="E324" s="67"/>
      <c r="F324" s="67"/>
      <c r="G324" s="67"/>
      <c r="H324" s="8"/>
    </row>
    <row r="325" spans="1:8" ht="20.25" x14ac:dyDescent="0.25">
      <c r="A325" s="12"/>
      <c r="B325" s="67"/>
      <c r="C325" s="67"/>
      <c r="D325" s="67"/>
      <c r="E325" s="67"/>
      <c r="F325" s="67"/>
      <c r="G325" s="67"/>
      <c r="H325" s="8"/>
    </row>
    <row r="326" spans="1:8" ht="20.25" x14ac:dyDescent="0.25">
      <c r="A326" s="12"/>
      <c r="B326" s="67"/>
      <c r="C326" s="67"/>
      <c r="D326" s="67"/>
      <c r="E326" s="67"/>
      <c r="F326" s="67"/>
      <c r="G326" s="67"/>
      <c r="H326" s="8"/>
    </row>
    <row r="327" spans="1:8" ht="20.25" x14ac:dyDescent="0.25">
      <c r="A327" s="12"/>
      <c r="B327" s="67"/>
      <c r="C327" s="67"/>
      <c r="D327" s="67"/>
      <c r="E327" s="67"/>
      <c r="F327" s="67"/>
      <c r="G327" s="67"/>
      <c r="H327" s="8"/>
    </row>
    <row r="328" spans="1:8" ht="20.25" x14ac:dyDescent="0.25">
      <c r="A328" s="12"/>
      <c r="B328" s="67"/>
      <c r="C328" s="67"/>
      <c r="D328" s="67"/>
      <c r="E328" s="67"/>
      <c r="F328" s="67"/>
      <c r="G328" s="67"/>
      <c r="H328" s="8"/>
    </row>
    <row r="329" spans="1:8" ht="20.25" x14ac:dyDescent="0.25">
      <c r="A329" s="12"/>
      <c r="B329" s="67"/>
      <c r="C329" s="67"/>
      <c r="D329" s="67"/>
      <c r="E329" s="67"/>
      <c r="F329" s="67"/>
      <c r="G329" s="67"/>
      <c r="H329" s="8"/>
    </row>
    <row r="330" spans="1:8" ht="20.25" x14ac:dyDescent="0.25">
      <c r="A330" s="12"/>
      <c r="B330" s="67"/>
      <c r="C330" s="67"/>
      <c r="D330" s="67"/>
      <c r="E330" s="67"/>
      <c r="F330" s="67"/>
      <c r="G330" s="67"/>
      <c r="H330" s="8"/>
    </row>
    <row r="331" spans="1:8" ht="20.25" x14ac:dyDescent="0.25">
      <c r="A331" s="12"/>
      <c r="B331" s="67"/>
      <c r="C331" s="67"/>
      <c r="D331" s="67"/>
      <c r="E331" s="67"/>
      <c r="F331" s="67"/>
      <c r="G331" s="67"/>
      <c r="H331" s="8"/>
    </row>
    <row r="332" spans="1:8" ht="20.25" x14ac:dyDescent="0.25">
      <c r="A332" s="12"/>
      <c r="B332" s="67"/>
      <c r="C332" s="67"/>
      <c r="D332" s="67"/>
      <c r="E332" s="67"/>
      <c r="F332" s="67"/>
      <c r="G332" s="67"/>
      <c r="H332" s="8"/>
    </row>
    <row r="333" spans="1:8" ht="20.25" x14ac:dyDescent="0.25">
      <c r="A333" s="12"/>
      <c r="B333" s="67"/>
      <c r="C333" s="67"/>
      <c r="D333" s="67"/>
      <c r="E333" s="67"/>
      <c r="F333" s="67"/>
      <c r="G333" s="67"/>
      <c r="H333" s="8"/>
    </row>
    <row r="334" spans="1:8" ht="20.25" x14ac:dyDescent="0.25">
      <c r="A334" s="12"/>
      <c r="B334" s="67"/>
      <c r="C334" s="67"/>
      <c r="D334" s="67"/>
      <c r="E334" s="67"/>
      <c r="F334" s="67"/>
      <c r="G334" s="67"/>
      <c r="H334" s="8"/>
    </row>
    <row r="335" spans="1:8" ht="20.25" x14ac:dyDescent="0.25">
      <c r="A335" s="12"/>
      <c r="B335" s="67"/>
      <c r="C335" s="67"/>
      <c r="D335" s="67"/>
      <c r="E335" s="67"/>
      <c r="F335" s="67"/>
      <c r="G335" s="67"/>
      <c r="H335" s="8"/>
    </row>
    <row r="336" spans="1:8" ht="20.25" x14ac:dyDescent="0.25">
      <c r="A336" s="12"/>
      <c r="B336" s="67"/>
      <c r="C336" s="67"/>
      <c r="D336" s="67"/>
      <c r="E336" s="67"/>
      <c r="F336" s="67"/>
      <c r="G336" s="67"/>
      <c r="H336" s="8"/>
    </row>
    <row r="337" spans="1:8" ht="20.25" x14ac:dyDescent="0.25">
      <c r="A337" s="12"/>
      <c r="B337" s="67"/>
      <c r="C337" s="67"/>
      <c r="D337" s="67"/>
      <c r="E337" s="67"/>
      <c r="F337" s="67"/>
      <c r="G337" s="67"/>
      <c r="H337" s="8"/>
    </row>
    <row r="338" spans="1:8" ht="20.25" x14ac:dyDescent="0.25">
      <c r="A338" s="12"/>
      <c r="B338" s="67"/>
      <c r="C338" s="67"/>
      <c r="D338" s="67"/>
      <c r="E338" s="67"/>
      <c r="F338" s="67"/>
      <c r="G338" s="67"/>
      <c r="H338" s="8"/>
    </row>
    <row r="339" spans="1:8" ht="20.25" x14ac:dyDescent="0.25">
      <c r="A339" s="12"/>
      <c r="B339" s="67"/>
      <c r="C339" s="67"/>
      <c r="D339" s="67"/>
      <c r="E339" s="67"/>
      <c r="F339" s="67"/>
      <c r="G339" s="67"/>
      <c r="H339" s="8"/>
    </row>
    <row r="340" spans="1:8" ht="20.25" x14ac:dyDescent="0.25">
      <c r="A340" s="12"/>
      <c r="B340" s="67"/>
      <c r="C340" s="67"/>
      <c r="D340" s="67"/>
      <c r="E340" s="67"/>
      <c r="F340" s="67"/>
      <c r="G340" s="67"/>
      <c r="H340" s="8"/>
    </row>
    <row r="341" spans="1:8" ht="20.25" x14ac:dyDescent="0.25">
      <c r="A341" s="12"/>
      <c r="B341" s="67"/>
      <c r="C341" s="67"/>
      <c r="D341" s="67"/>
      <c r="E341" s="67"/>
      <c r="F341" s="67"/>
      <c r="G341" s="67"/>
      <c r="H341" s="8"/>
    </row>
    <row r="342" spans="1:8" ht="20.25" x14ac:dyDescent="0.25">
      <c r="A342" s="12"/>
      <c r="B342" s="67"/>
      <c r="C342" s="67"/>
      <c r="D342" s="67"/>
      <c r="E342" s="67"/>
      <c r="F342" s="67"/>
      <c r="G342" s="67"/>
      <c r="H342" s="8"/>
    </row>
    <row r="343" spans="1:8" ht="20.25" x14ac:dyDescent="0.25">
      <c r="A343" s="12"/>
      <c r="B343" s="67"/>
      <c r="C343" s="67"/>
      <c r="D343" s="67"/>
      <c r="E343" s="67"/>
      <c r="F343" s="67"/>
      <c r="G343" s="67"/>
      <c r="H343" s="8"/>
    </row>
    <row r="344" spans="1:8" ht="20.25" x14ac:dyDescent="0.25">
      <c r="A344" s="12"/>
      <c r="B344" s="67"/>
      <c r="C344" s="67"/>
      <c r="D344" s="67"/>
      <c r="E344" s="67"/>
      <c r="F344" s="67"/>
      <c r="G344" s="67"/>
      <c r="H344" s="8"/>
    </row>
    <row r="345" spans="1:8" ht="20.25" x14ac:dyDescent="0.25">
      <c r="A345" s="12"/>
      <c r="B345" s="67"/>
      <c r="C345" s="67"/>
      <c r="D345" s="67"/>
      <c r="E345" s="67"/>
      <c r="F345" s="67"/>
      <c r="G345" s="67"/>
      <c r="H345" s="8"/>
    </row>
    <row r="346" spans="1:8" ht="20.25" x14ac:dyDescent="0.25">
      <c r="A346" s="12"/>
      <c r="B346" s="67"/>
      <c r="C346" s="67"/>
      <c r="D346" s="67"/>
      <c r="E346" s="67"/>
      <c r="F346" s="67"/>
      <c r="G346" s="67"/>
      <c r="H346" s="8"/>
    </row>
    <row r="347" spans="1:8" ht="20.25" x14ac:dyDescent="0.25">
      <c r="A347" s="12"/>
      <c r="B347" s="67"/>
      <c r="C347" s="67"/>
      <c r="D347" s="67"/>
      <c r="E347" s="67"/>
      <c r="F347" s="67"/>
      <c r="G347" s="67"/>
      <c r="H347" s="8"/>
    </row>
    <row r="348" spans="1:8" ht="20.25" x14ac:dyDescent="0.25">
      <c r="A348" s="12"/>
      <c r="B348" s="67"/>
      <c r="C348" s="67"/>
      <c r="D348" s="67"/>
      <c r="E348" s="67"/>
      <c r="F348" s="67"/>
      <c r="G348" s="67"/>
      <c r="H348" s="8"/>
    </row>
    <row r="349" spans="1:8" ht="20.25" x14ac:dyDescent="0.25">
      <c r="A349" s="12"/>
      <c r="B349" s="67"/>
      <c r="C349" s="67"/>
      <c r="D349" s="67"/>
      <c r="E349" s="67"/>
      <c r="F349" s="67"/>
      <c r="G349" s="67"/>
      <c r="H349" s="8"/>
    </row>
    <row r="350" spans="1:8" ht="20.25" x14ac:dyDescent="0.25">
      <c r="A350" s="12"/>
      <c r="B350" s="67"/>
      <c r="C350" s="67"/>
      <c r="D350" s="67"/>
      <c r="E350" s="67"/>
      <c r="F350" s="67"/>
      <c r="G350" s="67"/>
      <c r="H350" s="8"/>
    </row>
    <row r="351" spans="1:8" ht="20.25" x14ac:dyDescent="0.25">
      <c r="A351" s="12"/>
      <c r="B351" s="67"/>
      <c r="C351" s="67"/>
      <c r="D351" s="67"/>
      <c r="E351" s="67"/>
      <c r="F351" s="67"/>
      <c r="G351" s="67"/>
      <c r="H351" s="8"/>
    </row>
    <row r="352" spans="1:8" ht="20.25" x14ac:dyDescent="0.25">
      <c r="A352" s="12"/>
      <c r="B352" s="67"/>
      <c r="C352" s="67"/>
      <c r="D352" s="67"/>
      <c r="E352" s="67"/>
      <c r="F352" s="67"/>
      <c r="G352" s="67"/>
      <c r="H352" s="8"/>
    </row>
    <row r="353" spans="1:8" ht="20.25" x14ac:dyDescent="0.25">
      <c r="A353" s="12"/>
      <c r="B353" s="67"/>
      <c r="C353" s="67"/>
      <c r="D353" s="67"/>
      <c r="E353" s="67"/>
      <c r="F353" s="67"/>
      <c r="G353" s="67"/>
      <c r="H353" s="8"/>
    </row>
    <row r="354" spans="1:8" ht="20.25" x14ac:dyDescent="0.25">
      <c r="A354" s="12"/>
      <c r="B354" s="67"/>
      <c r="C354" s="67"/>
      <c r="D354" s="67"/>
      <c r="E354" s="67"/>
      <c r="F354" s="67"/>
      <c r="G354" s="67"/>
      <c r="H354" s="8"/>
    </row>
    <row r="355" spans="1:8" ht="20.25" x14ac:dyDescent="0.25">
      <c r="A355" s="12"/>
      <c r="B355" s="67"/>
      <c r="C355" s="67"/>
      <c r="D355" s="67"/>
      <c r="E355" s="67"/>
      <c r="F355" s="67"/>
      <c r="G355" s="67"/>
      <c r="H355" s="8"/>
    </row>
    <row r="356" spans="1:8" ht="20.25" x14ac:dyDescent="0.25">
      <c r="A356" s="12"/>
      <c r="B356" s="67"/>
      <c r="C356" s="67"/>
      <c r="D356" s="67"/>
      <c r="E356" s="67"/>
      <c r="F356" s="67"/>
      <c r="G356" s="67"/>
      <c r="H356" s="8"/>
    </row>
    <row r="357" spans="1:8" ht="20.25" x14ac:dyDescent="0.25">
      <c r="A357" s="14"/>
      <c r="B357" s="15"/>
      <c r="C357" s="15"/>
      <c r="D357" s="15"/>
      <c r="E357" s="15"/>
      <c r="F357" s="15"/>
      <c r="G357" s="15"/>
      <c r="H357" s="9"/>
    </row>
    <row r="358" spans="1:8" ht="20.25" x14ac:dyDescent="0.25">
      <c r="A358" s="129" t="s">
        <v>74</v>
      </c>
      <c r="B358" s="130"/>
      <c r="C358" s="130"/>
      <c r="D358" s="130"/>
      <c r="E358" s="130"/>
      <c r="F358" s="130"/>
      <c r="G358" s="130"/>
      <c r="H358" s="131"/>
    </row>
    <row r="359" spans="1:8" ht="20.25" x14ac:dyDescent="0.25">
      <c r="A359" s="10"/>
      <c r="B359" s="11"/>
      <c r="C359" s="11"/>
      <c r="D359" s="11"/>
      <c r="E359" s="11"/>
      <c r="F359" s="11"/>
      <c r="G359" s="11"/>
      <c r="H359" s="7"/>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2"/>
      <c r="B372" s="13"/>
      <c r="C372" s="13"/>
      <c r="D372" s="13"/>
      <c r="E372" s="13"/>
      <c r="F372" s="13"/>
      <c r="G372" s="13"/>
      <c r="H372" s="8"/>
    </row>
    <row r="373" spans="1:8" ht="20.25" x14ac:dyDescent="0.25">
      <c r="A373" s="12"/>
      <c r="B373" s="13"/>
      <c r="C373" s="13"/>
      <c r="D373" s="13"/>
      <c r="E373" s="13"/>
      <c r="F373" s="13"/>
      <c r="G373" s="13"/>
      <c r="H373" s="8"/>
    </row>
    <row r="374" spans="1:8" ht="36" customHeight="1" x14ac:dyDescent="0.25">
      <c r="A374" s="12"/>
      <c r="B374" s="13"/>
      <c r="C374" s="13"/>
      <c r="D374" s="13"/>
      <c r="E374" s="13"/>
      <c r="F374" s="13"/>
      <c r="G374" s="13"/>
      <c r="H374" s="8"/>
    </row>
    <row r="375" spans="1:8" ht="20.25" x14ac:dyDescent="0.25">
      <c r="A375" s="12"/>
      <c r="B375" s="13"/>
      <c r="C375" s="13"/>
      <c r="D375" s="13"/>
      <c r="E375" s="13"/>
      <c r="F375" s="13"/>
      <c r="G375" s="13"/>
      <c r="H375" s="8"/>
    </row>
    <row r="376" spans="1:8" ht="20.25" x14ac:dyDescent="0.25">
      <c r="A376" s="12"/>
      <c r="B376" s="13"/>
      <c r="C376" s="13"/>
      <c r="D376" s="13"/>
      <c r="E376" s="13"/>
      <c r="F376" s="13"/>
      <c r="G376" s="13"/>
      <c r="H376" s="8"/>
    </row>
    <row r="377" spans="1:8" ht="20.25" x14ac:dyDescent="0.25">
      <c r="A377" s="12"/>
      <c r="B377" s="13"/>
      <c r="C377" s="13"/>
      <c r="D377" s="13"/>
      <c r="E377" s="13"/>
      <c r="F377" s="13"/>
      <c r="G377" s="13"/>
      <c r="H377" s="8"/>
    </row>
    <row r="378" spans="1:8" ht="20.25" x14ac:dyDescent="0.25">
      <c r="A378" s="12"/>
      <c r="B378" s="13"/>
      <c r="C378" s="13"/>
      <c r="D378" s="13"/>
      <c r="E378" s="13"/>
      <c r="F378" s="13"/>
      <c r="G378" s="13"/>
      <c r="H378" s="8"/>
    </row>
    <row r="379" spans="1:8" ht="20.25" x14ac:dyDescent="0.25">
      <c r="A379" s="12"/>
      <c r="B379" s="13"/>
      <c r="C379" s="13"/>
      <c r="D379" s="13"/>
      <c r="E379" s="13"/>
      <c r="F379" s="13"/>
      <c r="G379" s="13"/>
      <c r="H379" s="8"/>
    </row>
    <row r="380" spans="1:8" ht="20.25" x14ac:dyDescent="0.25">
      <c r="A380" s="12"/>
      <c r="B380" s="13"/>
      <c r="C380" s="13"/>
      <c r="D380" s="13"/>
      <c r="E380" s="13"/>
      <c r="F380" s="13"/>
      <c r="G380" s="13"/>
      <c r="H380" s="8"/>
    </row>
    <row r="381" spans="1:8" ht="20.25" x14ac:dyDescent="0.25">
      <c r="A381" s="12"/>
      <c r="B381" s="13"/>
      <c r="C381" s="13"/>
      <c r="D381" s="13"/>
      <c r="E381" s="13"/>
      <c r="F381" s="13"/>
      <c r="G381" s="13"/>
      <c r="H381" s="8"/>
    </row>
    <row r="382" spans="1:8" ht="20.25" x14ac:dyDescent="0.25">
      <c r="A382" s="12"/>
      <c r="B382" s="13"/>
      <c r="C382" s="13"/>
      <c r="D382" s="13"/>
      <c r="E382" s="13"/>
      <c r="F382" s="13"/>
      <c r="G382" s="13"/>
      <c r="H382" s="8"/>
    </row>
    <row r="383" spans="1:8" ht="20.25" x14ac:dyDescent="0.25">
      <c r="A383" s="12"/>
      <c r="B383" s="13"/>
      <c r="C383" s="13"/>
      <c r="D383" s="13"/>
      <c r="E383" s="13"/>
      <c r="F383" s="13"/>
      <c r="G383" s="13"/>
      <c r="H383" s="8"/>
    </row>
    <row r="384" spans="1:8" ht="20.25" x14ac:dyDescent="0.25">
      <c r="A384" s="12"/>
      <c r="B384" s="13"/>
      <c r="C384" s="13"/>
      <c r="D384" s="13"/>
      <c r="E384" s="13"/>
      <c r="F384" s="13"/>
      <c r="G384" s="13"/>
      <c r="H384" s="8"/>
    </row>
    <row r="385" spans="1:8" ht="20.25" x14ac:dyDescent="0.25">
      <c r="A385" s="12"/>
      <c r="B385" s="13"/>
      <c r="C385" s="13"/>
      <c r="D385" s="13"/>
      <c r="E385" s="13"/>
      <c r="F385" s="13"/>
      <c r="G385" s="13"/>
      <c r="H385" s="8"/>
    </row>
    <row r="386" spans="1:8" ht="20.25" x14ac:dyDescent="0.25">
      <c r="A386" s="12"/>
      <c r="B386" s="13"/>
      <c r="C386" s="13"/>
      <c r="D386" s="13"/>
      <c r="E386" s="13"/>
      <c r="F386" s="13"/>
      <c r="G386" s="13"/>
      <c r="H386" s="8"/>
    </row>
    <row r="387" spans="1:8" ht="48" hidden="1" customHeight="1" x14ac:dyDescent="0.25">
      <c r="A387" s="12"/>
      <c r="B387" s="13"/>
      <c r="C387" s="13"/>
      <c r="D387" s="13"/>
      <c r="E387" s="13"/>
      <c r="F387" s="13"/>
      <c r="G387" s="13"/>
      <c r="H387" s="8"/>
    </row>
    <row r="388" spans="1:8" ht="20.25" hidden="1" x14ac:dyDescent="0.25">
      <c r="A388" s="12"/>
      <c r="B388" s="13"/>
      <c r="C388" s="13"/>
      <c r="D388" s="13"/>
      <c r="E388" s="13"/>
      <c r="F388" s="13"/>
      <c r="G388" s="13"/>
      <c r="H388" s="8"/>
    </row>
    <row r="389" spans="1:8" ht="20.25" x14ac:dyDescent="0.25">
      <c r="A389" s="150" t="s">
        <v>23</v>
      </c>
      <c r="B389" s="150"/>
      <c r="C389" s="150"/>
      <c r="D389" s="150"/>
      <c r="E389" s="150"/>
      <c r="F389" s="150"/>
      <c r="G389" s="150"/>
      <c r="H389" s="150"/>
    </row>
    <row r="390" spans="1:8" ht="20.25" x14ac:dyDescent="0.25">
      <c r="A390" s="140" t="s">
        <v>75</v>
      </c>
      <c r="B390" s="160"/>
      <c r="C390" s="160"/>
      <c r="D390" s="160"/>
      <c r="E390" s="160"/>
      <c r="F390" s="160"/>
      <c r="G390" s="160"/>
      <c r="H390" s="141"/>
    </row>
    <row r="391" spans="1:8" ht="20.25" x14ac:dyDescent="0.25">
      <c r="A391" s="161" t="s">
        <v>76</v>
      </c>
      <c r="B391" s="162"/>
      <c r="C391" s="162"/>
      <c r="D391" s="162"/>
      <c r="E391" s="162"/>
      <c r="F391" s="162"/>
      <c r="G391" s="162"/>
      <c r="H391" s="163"/>
    </row>
    <row r="392" spans="1:8" ht="45" customHeight="1" x14ac:dyDescent="0.25">
      <c r="A392" s="161" t="s">
        <v>77</v>
      </c>
      <c r="B392" s="162"/>
      <c r="C392" s="162"/>
      <c r="D392" s="162"/>
      <c r="E392" s="162"/>
      <c r="F392" s="162"/>
      <c r="G392" s="162"/>
      <c r="H392" s="163"/>
    </row>
    <row r="393" spans="1:8" ht="42.75" customHeight="1" x14ac:dyDescent="0.25">
      <c r="A393" s="161" t="s">
        <v>78</v>
      </c>
      <c r="B393" s="162"/>
      <c r="C393" s="162"/>
      <c r="D393" s="162"/>
      <c r="E393" s="162"/>
      <c r="F393" s="162"/>
      <c r="G393" s="162"/>
      <c r="H393" s="163"/>
    </row>
    <row r="394" spans="1:8" ht="20.25" x14ac:dyDescent="0.25">
      <c r="A394" s="161" t="s">
        <v>79</v>
      </c>
      <c r="B394" s="162"/>
      <c r="C394" s="162"/>
      <c r="D394" s="162"/>
      <c r="E394" s="162"/>
      <c r="F394" s="162"/>
      <c r="G394" s="162"/>
      <c r="H394" s="163"/>
    </row>
    <row r="395" spans="1:8" ht="20.25" x14ac:dyDescent="0.25">
      <c r="A395" s="161" t="s">
        <v>80</v>
      </c>
      <c r="B395" s="162"/>
      <c r="C395" s="162"/>
      <c r="D395" s="162"/>
      <c r="E395" s="162"/>
      <c r="F395" s="162"/>
      <c r="G395" s="162"/>
      <c r="H395" s="163"/>
    </row>
    <row r="396" spans="1:8" ht="45" customHeight="1" x14ac:dyDescent="0.25">
      <c r="A396" s="161" t="s">
        <v>81</v>
      </c>
      <c r="B396" s="162"/>
      <c r="C396" s="162"/>
      <c r="D396" s="162"/>
      <c r="E396" s="162"/>
      <c r="F396" s="162"/>
      <c r="G396" s="162"/>
      <c r="H396" s="163"/>
    </row>
    <row r="397" spans="1:8" ht="45" customHeight="1" x14ac:dyDescent="0.25">
      <c r="A397" s="161" t="s">
        <v>82</v>
      </c>
      <c r="B397" s="162"/>
      <c r="C397" s="162"/>
      <c r="D397" s="162"/>
      <c r="E397" s="162"/>
      <c r="F397" s="162"/>
      <c r="G397" s="162"/>
      <c r="H397" s="163"/>
    </row>
    <row r="398" spans="1:8" ht="20.25" x14ac:dyDescent="0.25">
      <c r="A398" s="142" t="s">
        <v>83</v>
      </c>
      <c r="B398" s="164"/>
      <c r="C398" s="164"/>
      <c r="D398" s="164"/>
      <c r="E398" s="164"/>
      <c r="F398" s="164"/>
      <c r="G398" s="164"/>
      <c r="H398" s="143"/>
    </row>
    <row r="399" spans="1:8" ht="57" customHeight="1" x14ac:dyDescent="0.25">
      <c r="A399" s="167" t="s">
        <v>387</v>
      </c>
      <c r="B399" s="168"/>
      <c r="C399" s="169" t="s">
        <v>392</v>
      </c>
      <c r="D399" s="170"/>
      <c r="E399" s="167" t="s">
        <v>390</v>
      </c>
      <c r="F399" s="168"/>
      <c r="G399" s="158"/>
      <c r="H399" s="158"/>
    </row>
  </sheetData>
  <mergeCells count="441">
    <mergeCell ref="I5:J5"/>
    <mergeCell ref="G99:H110"/>
    <mergeCell ref="A100:B100"/>
    <mergeCell ref="A213:H213"/>
    <mergeCell ref="A214:H214"/>
    <mergeCell ref="A134:H134"/>
    <mergeCell ref="A144:H144"/>
    <mergeCell ref="A135:H135"/>
    <mergeCell ref="A136:H136"/>
    <mergeCell ref="A137:H137"/>
    <mergeCell ref="A138:H138"/>
    <mergeCell ref="A139:H139"/>
    <mergeCell ref="A140:H140"/>
    <mergeCell ref="A141:H141"/>
    <mergeCell ref="A142:H142"/>
    <mergeCell ref="A143:H143"/>
    <mergeCell ref="A208:H208"/>
    <mergeCell ref="A207:H207"/>
    <mergeCell ref="A164:B164"/>
    <mergeCell ref="A165:B165"/>
    <mergeCell ref="A166:B166"/>
    <mergeCell ref="C157:H158"/>
    <mergeCell ref="A167:H167"/>
    <mergeCell ref="A206:H206"/>
    <mergeCell ref="A209:H209"/>
    <mergeCell ref="A210:H210"/>
    <mergeCell ref="A211:H211"/>
    <mergeCell ref="A212:H212"/>
    <mergeCell ref="A125:H125"/>
    <mergeCell ref="G126:H126"/>
    <mergeCell ref="A127:B127"/>
    <mergeCell ref="G127:H127"/>
    <mergeCell ref="A175:H175"/>
    <mergeCell ref="A172:H172"/>
    <mergeCell ref="A173:H173"/>
    <mergeCell ref="A174:H174"/>
    <mergeCell ref="A176:B176"/>
    <mergeCell ref="A177:B177"/>
    <mergeCell ref="A178:B178"/>
    <mergeCell ref="A128:B128"/>
    <mergeCell ref="G128:H128"/>
    <mergeCell ref="A129:B129"/>
    <mergeCell ref="G129:H129"/>
    <mergeCell ref="A205:H205"/>
    <mergeCell ref="A126:B126"/>
    <mergeCell ref="A170:H170"/>
    <mergeCell ref="A171:H171"/>
    <mergeCell ref="A179:B179"/>
    <mergeCell ref="E82:F82"/>
    <mergeCell ref="A83:B83"/>
    <mergeCell ref="E99:F110"/>
    <mergeCell ref="A99:B99"/>
    <mergeCell ref="E98:F98"/>
    <mergeCell ref="A98:B98"/>
    <mergeCell ref="A107:B107"/>
    <mergeCell ref="A108:B108"/>
    <mergeCell ref="E97:F97"/>
    <mergeCell ref="E96:F96"/>
    <mergeCell ref="A96:C97"/>
    <mergeCell ref="C60:F60"/>
    <mergeCell ref="A60:B61"/>
    <mergeCell ref="A118:F118"/>
    <mergeCell ref="A119:F119"/>
    <mergeCell ref="A95:H95"/>
    <mergeCell ref="A101:B101"/>
    <mergeCell ref="A102:B102"/>
    <mergeCell ref="A103:B103"/>
    <mergeCell ref="A104:B104"/>
    <mergeCell ref="A105:B105"/>
    <mergeCell ref="A106:B106"/>
    <mergeCell ref="A109:B109"/>
    <mergeCell ref="A110:B110"/>
    <mergeCell ref="A69:B69"/>
    <mergeCell ref="A70:B70"/>
    <mergeCell ref="A72:B72"/>
    <mergeCell ref="A116:H116"/>
    <mergeCell ref="E113:F113"/>
    <mergeCell ref="A115:B115"/>
    <mergeCell ref="E114:F114"/>
    <mergeCell ref="G114:H114"/>
    <mergeCell ref="A74:B74"/>
    <mergeCell ref="E81:F81"/>
    <mergeCell ref="A82:B82"/>
    <mergeCell ref="E31:F31"/>
    <mergeCell ref="J38:K38"/>
    <mergeCell ref="M38:N38"/>
    <mergeCell ref="C38:E38"/>
    <mergeCell ref="F38:H38"/>
    <mergeCell ref="C39:E39"/>
    <mergeCell ref="F39:H39"/>
    <mergeCell ref="F40:H40"/>
    <mergeCell ref="C40:E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41:B41"/>
    <mergeCell ref="C41:E41"/>
    <mergeCell ref="F41:H41"/>
    <mergeCell ref="A39:B39"/>
    <mergeCell ref="A40:B40"/>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G6:H6"/>
    <mergeCell ref="A5:H5"/>
    <mergeCell ref="C3:D3"/>
    <mergeCell ref="E3:F3"/>
    <mergeCell ref="E4:F4"/>
    <mergeCell ref="E83:F94"/>
    <mergeCell ref="G83:H94"/>
    <mergeCell ref="A84:B84"/>
    <mergeCell ref="A85:B85"/>
    <mergeCell ref="A86:B86"/>
    <mergeCell ref="A87:B87"/>
    <mergeCell ref="A88:B88"/>
    <mergeCell ref="A89:B89"/>
    <mergeCell ref="A90:B90"/>
    <mergeCell ref="A91:B91"/>
    <mergeCell ref="A92:B92"/>
    <mergeCell ref="A93:B93"/>
    <mergeCell ref="A94:B94"/>
    <mergeCell ref="A68:B68"/>
    <mergeCell ref="C27:D27"/>
    <mergeCell ref="A75:B75"/>
    <mergeCell ref="A76:B76"/>
    <mergeCell ref="A77:B77"/>
    <mergeCell ref="A78:B78"/>
    <mergeCell ref="C4:D4"/>
    <mergeCell ref="A22:B22"/>
    <mergeCell ref="A31:B31"/>
    <mergeCell ref="B259:H259"/>
    <mergeCell ref="B253:H253"/>
    <mergeCell ref="B252:H252"/>
    <mergeCell ref="B256:H256"/>
    <mergeCell ref="B255:H255"/>
    <mergeCell ref="B254:H254"/>
    <mergeCell ref="B257:H257"/>
    <mergeCell ref="A238:B238"/>
    <mergeCell ref="A239:B239"/>
    <mergeCell ref="A240:B240"/>
    <mergeCell ref="A249:B249"/>
    <mergeCell ref="A250:B250"/>
    <mergeCell ref="A246:B246"/>
    <mergeCell ref="A247:B247"/>
    <mergeCell ref="A248:B248"/>
    <mergeCell ref="A242:H242"/>
    <mergeCell ref="A243:B243"/>
    <mergeCell ref="A244:B244"/>
    <mergeCell ref="A245:B245"/>
    <mergeCell ref="B258:H258"/>
    <mergeCell ref="A251:H251"/>
    <mergeCell ref="A399:B399"/>
    <mergeCell ref="C399:D399"/>
    <mergeCell ref="G14:H14"/>
    <mergeCell ref="G16:H16"/>
    <mergeCell ref="G17:H17"/>
    <mergeCell ref="G15:H15"/>
    <mergeCell ref="G18:H18"/>
    <mergeCell ref="G19:H19"/>
    <mergeCell ref="G46:H46"/>
    <mergeCell ref="G31:H31"/>
    <mergeCell ref="G22:H22"/>
    <mergeCell ref="G36:H36"/>
    <mergeCell ref="G35:H35"/>
    <mergeCell ref="E67:F78"/>
    <mergeCell ref="A237:B237"/>
    <mergeCell ref="A230:B230"/>
    <mergeCell ref="A228:B228"/>
    <mergeCell ref="E129:F129"/>
    <mergeCell ref="E127:F127"/>
    <mergeCell ref="C126:D126"/>
    <mergeCell ref="E128:F128"/>
    <mergeCell ref="A225:B225"/>
    <mergeCell ref="C128:D128"/>
    <mergeCell ref="E130:F130"/>
    <mergeCell ref="A13:H13"/>
    <mergeCell ref="C26:D26"/>
    <mergeCell ref="G399:H399"/>
    <mergeCell ref="A260:H260"/>
    <mergeCell ref="D262:H262"/>
    <mergeCell ref="A390:H390"/>
    <mergeCell ref="A396:H396"/>
    <mergeCell ref="A397:H397"/>
    <mergeCell ref="A398:H398"/>
    <mergeCell ref="A391:H391"/>
    <mergeCell ref="A392:H392"/>
    <mergeCell ref="A393:H393"/>
    <mergeCell ref="A394:H394"/>
    <mergeCell ref="A262:C262"/>
    <mergeCell ref="A389:H389"/>
    <mergeCell ref="A395:H395"/>
    <mergeCell ref="A358:H358"/>
    <mergeCell ref="D261:H261"/>
    <mergeCell ref="A263:C263"/>
    <mergeCell ref="G115:H115"/>
    <mergeCell ref="G119:H119"/>
    <mergeCell ref="D263:H263"/>
    <mergeCell ref="A308:H308"/>
    <mergeCell ref="E399:F399"/>
    <mergeCell ref="A1:H1"/>
    <mergeCell ref="A261:C261"/>
    <mergeCell ref="G27:H27"/>
    <mergeCell ref="G28:H28"/>
    <mergeCell ref="A37:H37"/>
    <mergeCell ref="A44:H44"/>
    <mergeCell ref="A49:H49"/>
    <mergeCell ref="A120:H120"/>
    <mergeCell ref="G118:H118"/>
    <mergeCell ref="G7:H7"/>
    <mergeCell ref="G47:H47"/>
    <mergeCell ref="G45:H45"/>
    <mergeCell ref="A25:H25"/>
    <mergeCell ref="G26:H26"/>
    <mergeCell ref="G20:H20"/>
    <mergeCell ref="G21:H21"/>
    <mergeCell ref="A9:A11"/>
    <mergeCell ref="A235:B235"/>
    <mergeCell ref="A236:B236"/>
    <mergeCell ref="G117:H117"/>
    <mergeCell ref="A215:H215"/>
    <mergeCell ref="A130:B130"/>
    <mergeCell ref="G130:H130"/>
    <mergeCell ref="A241:B241"/>
    <mergeCell ref="A221:B221"/>
    <mergeCell ref="A222:B222"/>
    <mergeCell ref="A223:B223"/>
    <mergeCell ref="A216:B216"/>
    <mergeCell ref="C127:D127"/>
    <mergeCell ref="C130:D130"/>
    <mergeCell ref="A229:B229"/>
    <mergeCell ref="A231:B231"/>
    <mergeCell ref="A149:B149"/>
    <mergeCell ref="A150:B150"/>
    <mergeCell ref="A151:B151"/>
    <mergeCell ref="A152:B152"/>
    <mergeCell ref="A153:B153"/>
    <mergeCell ref="A154:B154"/>
    <mergeCell ref="A155:B155"/>
    <mergeCell ref="A156:H156"/>
    <mergeCell ref="A157:B157"/>
    <mergeCell ref="A158:B158"/>
    <mergeCell ref="A159:B159"/>
    <mergeCell ref="A160:B160"/>
    <mergeCell ref="A161:B161"/>
    <mergeCell ref="A162:B162"/>
    <mergeCell ref="A163:B163"/>
    <mergeCell ref="C129:D129"/>
    <mergeCell ref="A30:B30"/>
    <mergeCell ref="A26:B26"/>
    <mergeCell ref="A27:B27"/>
    <mergeCell ref="A232:B232"/>
    <mergeCell ref="A227:B227"/>
    <mergeCell ref="A233:H233"/>
    <mergeCell ref="A234:B234"/>
    <mergeCell ref="A226:B226"/>
    <mergeCell ref="A224:H224"/>
    <mergeCell ref="A62:B62"/>
    <mergeCell ref="C59:F59"/>
    <mergeCell ref="C61:F61"/>
    <mergeCell ref="C62:F62"/>
    <mergeCell ref="A217:B217"/>
    <mergeCell ref="A218:B218"/>
    <mergeCell ref="A219:B219"/>
    <mergeCell ref="A220:B220"/>
    <mergeCell ref="A79:H79"/>
    <mergeCell ref="A80:C81"/>
    <mergeCell ref="E80:F80"/>
    <mergeCell ref="G111:H111"/>
    <mergeCell ref="G67:H78"/>
    <mergeCell ref="A63:H63"/>
    <mergeCell ref="A66:B66"/>
    <mergeCell ref="C18:D18"/>
    <mergeCell ref="C19:D19"/>
    <mergeCell ref="C20:D20"/>
    <mergeCell ref="C21:D21"/>
    <mergeCell ref="C22:D22"/>
    <mergeCell ref="C24:H24"/>
    <mergeCell ref="C23:H23"/>
    <mergeCell ref="A71:B71"/>
    <mergeCell ref="A33:H33"/>
    <mergeCell ref="G30:H30"/>
    <mergeCell ref="G29:H29"/>
    <mergeCell ref="A32:B32"/>
    <mergeCell ref="E26:F26"/>
    <mergeCell ref="E27:F27"/>
    <mergeCell ref="E28:F28"/>
    <mergeCell ref="E29:F29"/>
    <mergeCell ref="E30:F30"/>
    <mergeCell ref="C31:D31"/>
    <mergeCell ref="C32:H32"/>
    <mergeCell ref="A28:B28"/>
    <mergeCell ref="A29:B29"/>
    <mergeCell ref="A45:B45"/>
    <mergeCell ref="A46:B46"/>
    <mergeCell ref="A47:B47"/>
    <mergeCell ref="D46:F46"/>
    <mergeCell ref="E65:F65"/>
    <mergeCell ref="A64:C65"/>
    <mergeCell ref="A73:B73"/>
    <mergeCell ref="G48:H48"/>
    <mergeCell ref="A50:B50"/>
    <mergeCell ref="A52:B52"/>
    <mergeCell ref="A59:B59"/>
    <mergeCell ref="A51:B51"/>
    <mergeCell ref="C50:H50"/>
    <mergeCell ref="C51:F51"/>
    <mergeCell ref="C52:F52"/>
    <mergeCell ref="C53:F53"/>
    <mergeCell ref="A53:B54"/>
    <mergeCell ref="C54:H54"/>
    <mergeCell ref="C55:F55"/>
    <mergeCell ref="A67:B67"/>
    <mergeCell ref="E66:F66"/>
    <mergeCell ref="E64:F64"/>
    <mergeCell ref="A55:B56"/>
    <mergeCell ref="C56:H56"/>
    <mergeCell ref="A57:B58"/>
    <mergeCell ref="C57:F57"/>
    <mergeCell ref="C58:H58"/>
    <mergeCell ref="A180:B180"/>
    <mergeCell ref="C28:D28"/>
    <mergeCell ref="C29:D29"/>
    <mergeCell ref="C30:D30"/>
    <mergeCell ref="D45:F45"/>
    <mergeCell ref="D47:F47"/>
    <mergeCell ref="A48:B48"/>
    <mergeCell ref="D48:F48"/>
    <mergeCell ref="A111:F111"/>
    <mergeCell ref="A131:H131"/>
    <mergeCell ref="E121:F121"/>
    <mergeCell ref="E122:F122"/>
    <mergeCell ref="E123:F123"/>
    <mergeCell ref="E124:F124"/>
    <mergeCell ref="A121:B121"/>
    <mergeCell ref="A122:B122"/>
    <mergeCell ref="A123:B123"/>
    <mergeCell ref="C121:D121"/>
    <mergeCell ref="A124:B124"/>
    <mergeCell ref="C122:D122"/>
    <mergeCell ref="G124:H124"/>
    <mergeCell ref="A169:H169"/>
    <mergeCell ref="E126:F126"/>
    <mergeCell ref="A112:H112"/>
    <mergeCell ref="A181:B181"/>
    <mergeCell ref="A182:B182"/>
    <mergeCell ref="A183:B183"/>
    <mergeCell ref="A184:B184"/>
    <mergeCell ref="A185:B185"/>
    <mergeCell ref="A186:H186"/>
    <mergeCell ref="A187:B187"/>
    <mergeCell ref="A197:H197"/>
    <mergeCell ref="A198:H198"/>
    <mergeCell ref="A199:H199"/>
    <mergeCell ref="A200:H200"/>
    <mergeCell ref="A201:H201"/>
    <mergeCell ref="A202:H202"/>
    <mergeCell ref="A203:H203"/>
    <mergeCell ref="A204:H204"/>
    <mergeCell ref="A188:B188"/>
    <mergeCell ref="A189:B189"/>
    <mergeCell ref="A190:B190"/>
    <mergeCell ref="A191:B191"/>
    <mergeCell ref="A192:B192"/>
    <mergeCell ref="A193:B193"/>
    <mergeCell ref="A194:B194"/>
    <mergeCell ref="A195:B195"/>
    <mergeCell ref="A196:B196"/>
    <mergeCell ref="G113:H113"/>
    <mergeCell ref="C113:D113"/>
    <mergeCell ref="C114:D114"/>
    <mergeCell ref="C115:D115"/>
    <mergeCell ref="E115:F115"/>
    <mergeCell ref="A117:F117"/>
    <mergeCell ref="A114:B114"/>
    <mergeCell ref="A145:H145"/>
    <mergeCell ref="A146:B146"/>
    <mergeCell ref="A113:B113"/>
    <mergeCell ref="A147:B147"/>
    <mergeCell ref="A148:B148"/>
    <mergeCell ref="A133:H133"/>
    <mergeCell ref="C124:D124"/>
    <mergeCell ref="C123:D123"/>
    <mergeCell ref="G121:H121"/>
    <mergeCell ref="G122:H122"/>
    <mergeCell ref="G123:H123"/>
    <mergeCell ref="A168:H168"/>
  </mergeCells>
  <dataValidations count="6">
    <dataValidation type="list" allowBlank="1" showInputMessage="1" showErrorMessage="1" sqref="G26:H26" xr:uid="{00000000-0002-0000-0000-000001000000}">
      <formula1>"Middle,Upper"</formula1>
    </dataValidation>
    <dataValidation type="list" allowBlank="1" showInputMessage="1" showErrorMessage="1" sqref="C115" xr:uid="{00000000-0002-0000-0000-000002000000}">
      <formula1>"300000,350000,400000,500000,600000,700000,800000,900000,1000000,1200000,1400000,1500000,1600000"</formula1>
    </dataValidation>
    <dataValidation type="list" allowBlank="1" showInputMessage="1" showErrorMessage="1" sqref="F132"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0:H50 G35:H35" xr:uid="{00000000-0002-0000-0000-000005000000}">
      <formula1>"Yes,No"</formula1>
    </dataValidation>
    <dataValidation type="list" allowBlank="1" showInputMessage="1" showErrorMessage="1" sqref="C132"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250" max="16383" man="1"/>
    <brk id="259" max="8" man="1"/>
    <brk id="307" max="16383" man="1"/>
    <brk id="35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6"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50" t="s">
        <v>66</v>
      </c>
      <c r="B3" s="150"/>
      <c r="C3" s="150"/>
      <c r="D3" s="150"/>
      <c r="E3" s="150"/>
      <c r="F3" s="150"/>
      <c r="G3" s="150"/>
      <c r="H3" s="150"/>
      <c r="I3" s="150"/>
    </row>
    <row r="4" spans="1:11" s="1" customFormat="1" ht="20.25" customHeight="1" x14ac:dyDescent="0.3">
      <c r="A4" s="212">
        <v>1</v>
      </c>
      <c r="B4" s="212"/>
      <c r="C4" s="212"/>
      <c r="D4" s="213" t="s">
        <v>4</v>
      </c>
      <c r="E4" s="36" t="s">
        <v>117</v>
      </c>
      <c r="F4" s="132" t="s">
        <v>103</v>
      </c>
      <c r="G4" s="132"/>
      <c r="H4" s="36" t="s">
        <v>118</v>
      </c>
      <c r="I4" s="36"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12"/>
      <c r="B5" s="212"/>
      <c r="C5" s="212"/>
      <c r="D5" s="213"/>
      <c r="E5" s="36">
        <v>3</v>
      </c>
      <c r="F5" s="132">
        <v>1</v>
      </c>
      <c r="G5" s="132"/>
      <c r="H5" s="36">
        <v>0</v>
      </c>
      <c r="I5" s="36">
        <f ca="1">--TRIM(RIGHT(SUBSTITUTE(LEFT(A4,_xlfn.AGGREGATE(16,6,FIND({0,1,2,3,4,5,6,7,8,9},A4,ROW(INDIRECT("1:"&amp;LEN(A4)))),1))," ",REPT(" ",LEN(A4))),LEN(A4)))</f>
        <v>1</v>
      </c>
      <c r="J5" s="17" t="s">
        <v>123</v>
      </c>
      <c r="K5" s="18"/>
    </row>
    <row r="6" spans="1:11" s="1" customFormat="1" ht="20.25" customHeight="1" x14ac:dyDescent="0.3">
      <c r="A6" s="139" t="s">
        <v>121</v>
      </c>
      <c r="B6" s="139"/>
      <c r="C6" s="139" t="s">
        <v>135</v>
      </c>
      <c r="D6" s="139"/>
      <c r="E6" s="37" t="s">
        <v>136</v>
      </c>
      <c r="F6" s="139" t="s">
        <v>122</v>
      </c>
      <c r="G6" s="139"/>
      <c r="H6" s="29" t="s">
        <v>120</v>
      </c>
      <c r="I6" s="29"/>
      <c r="J6" s="20" t="s">
        <v>137</v>
      </c>
      <c r="K6" s="19">
        <f ca="1">I5*25%</f>
        <v>0.25</v>
      </c>
    </row>
    <row r="7" spans="1:11" s="1" customFormat="1" ht="20.25" customHeight="1" x14ac:dyDescent="0.3">
      <c r="A7" s="138" t="s">
        <v>138</v>
      </c>
      <c r="B7" s="138"/>
      <c r="C7" s="132">
        <f ca="1">K8</f>
        <v>1</v>
      </c>
      <c r="D7" s="132"/>
      <c r="E7" s="35">
        <f ca="1">((100/I5)*C7)/100</f>
        <v>1</v>
      </c>
      <c r="F7" s="138">
        <f ca="1">(((C7/I5*5)+(C8/I5*20)+(25/(F5+H5+I5)*C9)+(5/(I5)*C10)+(2.5/(I5)*C11)+(2.5/(I5)*C12)+(5/I5*C13)+(10/I5*C14)+(2.5/I5*C15)+(2.5/I5*C16)+(10/I5*C17)+(10/I5*C18))/100)</f>
        <v>0.25</v>
      </c>
      <c r="G7" s="138"/>
      <c r="H7" s="138" t="str">
        <f ca="1">J4</f>
        <v>Excavation work Completed. Plinth work completed</v>
      </c>
      <c r="I7" s="138"/>
      <c r="J7" s="20" t="s">
        <v>124</v>
      </c>
      <c r="K7" s="24">
        <f ca="1">I5*50%</f>
        <v>0.5</v>
      </c>
    </row>
    <row r="8" spans="1:11" s="1" customFormat="1" ht="20.25" x14ac:dyDescent="0.3">
      <c r="A8" s="138" t="s">
        <v>104</v>
      </c>
      <c r="B8" s="138"/>
      <c r="C8" s="211">
        <f ca="1">K16</f>
        <v>1</v>
      </c>
      <c r="D8" s="132"/>
      <c r="E8" s="35">
        <f ca="1">((100/I5)*C8)/100</f>
        <v>1</v>
      </c>
      <c r="F8" s="138"/>
      <c r="G8" s="138"/>
      <c r="H8" s="138"/>
      <c r="I8" s="138"/>
      <c r="J8" s="20" t="s">
        <v>125</v>
      </c>
      <c r="K8" s="24">
        <f ca="1">I5</f>
        <v>1</v>
      </c>
    </row>
    <row r="9" spans="1:11" s="1" customFormat="1" ht="21" customHeight="1" x14ac:dyDescent="0.35">
      <c r="A9" s="138" t="s">
        <v>139</v>
      </c>
      <c r="B9" s="138"/>
      <c r="C9" s="132">
        <v>0</v>
      </c>
      <c r="D9" s="132"/>
      <c r="E9" s="35">
        <f ca="1">((100/(F5+H5+I5))*C9)/100</f>
        <v>0</v>
      </c>
      <c r="F9" s="138"/>
      <c r="G9" s="138"/>
      <c r="H9" s="138"/>
      <c r="I9" s="138"/>
      <c r="J9" s="20" t="s">
        <v>126</v>
      </c>
      <c r="K9" s="25">
        <f ca="1">(IF(E5&gt;1,(I5/(E5+2)),I5*0.2))</f>
        <v>0.2</v>
      </c>
    </row>
    <row r="10" spans="1:11" s="1" customFormat="1" ht="21" customHeight="1" x14ac:dyDescent="0.35">
      <c r="A10" s="138" t="s">
        <v>140</v>
      </c>
      <c r="B10" s="138"/>
      <c r="C10" s="132">
        <v>0</v>
      </c>
      <c r="D10" s="132"/>
      <c r="E10" s="35">
        <f ca="1">((100/I5)*C10)/100</f>
        <v>0</v>
      </c>
      <c r="F10" s="138"/>
      <c r="G10" s="138"/>
      <c r="H10" s="138"/>
      <c r="I10" s="138"/>
      <c r="J10" s="20" t="s">
        <v>127</v>
      </c>
      <c r="K10" s="25">
        <f ca="1">(IF(E5&gt;1,(I5/(E5+2)+K9),I5*0.2+K9))</f>
        <v>0.4</v>
      </c>
    </row>
    <row r="11" spans="1:11" s="1" customFormat="1" ht="21" customHeight="1" x14ac:dyDescent="0.35">
      <c r="A11" s="134" t="s">
        <v>141</v>
      </c>
      <c r="B11" s="135"/>
      <c r="C11" s="132">
        <v>0</v>
      </c>
      <c r="D11" s="132"/>
      <c r="E11" s="35">
        <f ca="1">((100/I5)*C11)/100</f>
        <v>0</v>
      </c>
      <c r="F11" s="138"/>
      <c r="G11" s="138"/>
      <c r="H11" s="138"/>
      <c r="I11" s="138"/>
      <c r="J11" s="20" t="s">
        <v>142</v>
      </c>
      <c r="K11" s="25">
        <f ca="1">(IF(E5&gt;1,(I5/(E5+2)+K10),0))</f>
        <v>0.60000000000000009</v>
      </c>
    </row>
    <row r="12" spans="1:11" s="1" customFormat="1" ht="21" customHeight="1" x14ac:dyDescent="0.35">
      <c r="A12" s="134" t="s">
        <v>173</v>
      </c>
      <c r="B12" s="135"/>
      <c r="C12" s="132">
        <v>0</v>
      </c>
      <c r="D12" s="132"/>
      <c r="E12" s="35">
        <f ca="1">((100/I5)*C12)/100</f>
        <v>0</v>
      </c>
      <c r="F12" s="138"/>
      <c r="G12" s="138"/>
      <c r="H12" s="138"/>
      <c r="I12" s="138"/>
      <c r="J12" s="20" t="s">
        <v>143</v>
      </c>
      <c r="K12" s="25">
        <f ca="1">(IF(E5&gt;2,(I5/(E5+2)+K11),0))</f>
        <v>0.8</v>
      </c>
    </row>
    <row r="13" spans="1:11" s="1" customFormat="1" ht="57.75" customHeight="1" x14ac:dyDescent="0.35">
      <c r="A13" s="134" t="s">
        <v>170</v>
      </c>
      <c r="B13" s="135"/>
      <c r="C13" s="132">
        <v>0</v>
      </c>
      <c r="D13" s="132"/>
      <c r="E13" s="35">
        <f ca="1">((100/(I5))*C13)/100</f>
        <v>0</v>
      </c>
      <c r="F13" s="138"/>
      <c r="G13" s="138"/>
      <c r="H13" s="138"/>
      <c r="I13" s="138"/>
      <c r="J13" s="20" t="s">
        <v>145</v>
      </c>
      <c r="K13" s="26">
        <f>(IF(E5&gt;3,(I5/(E5+2)+K12),0))</f>
        <v>0</v>
      </c>
    </row>
    <row r="14" spans="1:11" s="1" customFormat="1" ht="21" x14ac:dyDescent="0.35">
      <c r="A14" s="138" t="s">
        <v>144</v>
      </c>
      <c r="B14" s="138"/>
      <c r="C14" s="132">
        <v>0</v>
      </c>
      <c r="D14" s="132"/>
      <c r="E14" s="35">
        <f ca="1">((100/(I5))*C14)/100</f>
        <v>0</v>
      </c>
      <c r="F14" s="138"/>
      <c r="G14" s="138"/>
      <c r="H14" s="138"/>
      <c r="I14" s="138"/>
      <c r="J14" s="20" t="s">
        <v>146</v>
      </c>
      <c r="K14" s="25">
        <f>(IF(E5&gt;4,(I5/(E5+2)+K13),0))</f>
        <v>0</v>
      </c>
    </row>
    <row r="15" spans="1:11" s="1" customFormat="1" ht="21" customHeight="1" x14ac:dyDescent="0.35">
      <c r="A15" s="138" t="s">
        <v>172</v>
      </c>
      <c r="B15" s="138"/>
      <c r="C15" s="132">
        <v>0</v>
      </c>
      <c r="D15" s="132"/>
      <c r="E15" s="35">
        <f ca="1">((100/I5)*C15)/100</f>
        <v>0</v>
      </c>
      <c r="F15" s="138"/>
      <c r="G15" s="138"/>
      <c r="H15" s="138"/>
      <c r="I15" s="138"/>
      <c r="J15" s="20" t="s">
        <v>128</v>
      </c>
      <c r="K15" s="25">
        <f>(IF(E5=1,(I5/(E5+3)+K10),IF(E5=0,(I5*0.3+K10),IF(E5&gt;1,0))))</f>
        <v>0</v>
      </c>
    </row>
    <row r="16" spans="1:11" s="1" customFormat="1" ht="21.75" thickBot="1" x14ac:dyDescent="0.4">
      <c r="A16" s="138" t="s">
        <v>171</v>
      </c>
      <c r="B16" s="138"/>
      <c r="C16" s="132">
        <v>0</v>
      </c>
      <c r="D16" s="132"/>
      <c r="E16" s="35">
        <f ca="1">((100/I5)*C16)/100</f>
        <v>0</v>
      </c>
      <c r="F16" s="138"/>
      <c r="G16" s="138"/>
      <c r="H16" s="138"/>
      <c r="I16" s="138"/>
      <c r="J16" s="22" t="s">
        <v>129</v>
      </c>
      <c r="K16" s="27">
        <f ca="1">(IF(E5&gt;1.5,(I5/(E5+2)+K10+MAX(0,K11-K10)+MAX(0,K12-K11)+MAX(0,K13-K12)+MAX(0,K14-K13)+MAX(0,K15-K14)),IF(E5=1,(I5/(E5+3)+K15),IF(E5=0,I5*0.3+K15))))</f>
        <v>1</v>
      </c>
    </row>
    <row r="17" spans="1:9" s="1" customFormat="1" ht="20.25" x14ac:dyDescent="0.25">
      <c r="A17" s="138" t="s">
        <v>147</v>
      </c>
      <c r="B17" s="138"/>
      <c r="C17" s="132">
        <v>0</v>
      </c>
      <c r="D17" s="132"/>
      <c r="E17" s="35">
        <f ca="1">((100/(I5))*C17)/100</f>
        <v>0</v>
      </c>
      <c r="F17" s="138"/>
      <c r="G17" s="138"/>
      <c r="H17" s="138"/>
      <c r="I17" s="138"/>
    </row>
    <row r="18" spans="1:9" s="1" customFormat="1" ht="20.25" x14ac:dyDescent="0.25">
      <c r="A18" s="138" t="s">
        <v>148</v>
      </c>
      <c r="B18" s="138"/>
      <c r="C18" s="132">
        <v>0</v>
      </c>
      <c r="D18" s="132"/>
      <c r="E18" s="35">
        <f ca="1">((100/(I5))*C18)/100</f>
        <v>0</v>
      </c>
      <c r="F18" s="138"/>
      <c r="G18" s="138"/>
      <c r="H18" s="138"/>
      <c r="I18" s="138"/>
    </row>
    <row r="23" spans="1:9" x14ac:dyDescent="0.25">
      <c r="B23" s="210" t="s">
        <v>174</v>
      </c>
      <c r="C23" s="210"/>
      <c r="D23" s="210"/>
      <c r="E23" s="210"/>
      <c r="F23" s="210"/>
      <c r="G23" s="210"/>
    </row>
    <row r="24" spans="1:9" ht="14.45" customHeight="1" x14ac:dyDescent="0.25">
      <c r="B24" s="205" t="s">
        <v>175</v>
      </c>
      <c r="C24" s="205" t="s">
        <v>176</v>
      </c>
      <c r="D24" s="208" t="s">
        <v>177</v>
      </c>
      <c r="E24" s="209" t="s">
        <v>178</v>
      </c>
      <c r="F24" s="206" t="s">
        <v>179</v>
      </c>
      <c r="G24" s="205" t="s">
        <v>180</v>
      </c>
    </row>
    <row r="25" spans="1:9" x14ac:dyDescent="0.25">
      <c r="B25" s="205"/>
      <c r="C25" s="205"/>
      <c r="D25" s="208"/>
      <c r="E25" s="209"/>
      <c r="F25" s="206"/>
      <c r="G25" s="205"/>
    </row>
    <row r="26" spans="1:9" x14ac:dyDescent="0.25">
      <c r="B26" s="50" t="s">
        <v>181</v>
      </c>
      <c r="C26" s="51">
        <v>10</v>
      </c>
      <c r="D26" s="51">
        <v>1</v>
      </c>
      <c r="E26" s="52"/>
      <c r="F26" s="53">
        <f>((E26/D26)*0.05)*100</f>
        <v>0</v>
      </c>
      <c r="G26" s="53">
        <f t="shared" ref="G26:G37" si="0">((E26/D26)*(C26/100))*100</f>
        <v>0</v>
      </c>
    </row>
    <row r="27" spans="1:9" x14ac:dyDescent="0.25">
      <c r="B27" s="50" t="s">
        <v>182</v>
      </c>
      <c r="C27" s="52">
        <v>10</v>
      </c>
      <c r="D27" s="52">
        <v>1</v>
      </c>
      <c r="E27" s="52"/>
      <c r="F27" s="53">
        <f>((E27/D27)*0.05)*100</f>
        <v>0</v>
      </c>
      <c r="G27" s="53">
        <f t="shared" si="0"/>
        <v>0</v>
      </c>
    </row>
    <row r="28" spans="1:9" x14ac:dyDescent="0.25">
      <c r="B28" s="50" t="s">
        <v>183</v>
      </c>
      <c r="C28" s="52">
        <v>15</v>
      </c>
      <c r="D28" s="52">
        <v>1</v>
      </c>
      <c r="E28" s="52"/>
      <c r="F28" s="53">
        <f>((E28/D28)*0.15)*100</f>
        <v>0</v>
      </c>
      <c r="G28" s="53">
        <f t="shared" si="0"/>
        <v>0</v>
      </c>
    </row>
    <row r="29" spans="1:9" x14ac:dyDescent="0.25">
      <c r="B29" s="54" t="s">
        <v>184</v>
      </c>
      <c r="C29" s="52">
        <v>25</v>
      </c>
      <c r="D29" s="52">
        <v>40</v>
      </c>
      <c r="E29" s="52"/>
      <c r="F29" s="53">
        <f>((E29/D29)*0.25)*100</f>
        <v>0</v>
      </c>
      <c r="G29" s="53">
        <f t="shared" si="0"/>
        <v>0</v>
      </c>
    </row>
    <row r="30" spans="1:9" x14ac:dyDescent="0.25">
      <c r="B30" s="54" t="s">
        <v>185</v>
      </c>
      <c r="C30" s="52">
        <v>5</v>
      </c>
      <c r="D30" s="52">
        <v>39</v>
      </c>
      <c r="E30" s="52"/>
      <c r="F30" s="53">
        <f>((E30/D30)*0.05)*100</f>
        <v>0</v>
      </c>
      <c r="G30" s="53">
        <f t="shared" si="0"/>
        <v>0</v>
      </c>
    </row>
    <row r="31" spans="1:9" ht="30" x14ac:dyDescent="0.25">
      <c r="B31" s="54" t="s">
        <v>186</v>
      </c>
      <c r="C31" s="52">
        <v>2.5</v>
      </c>
      <c r="D31" s="52">
        <v>39</v>
      </c>
      <c r="E31" s="52"/>
      <c r="F31" s="53">
        <f>((E31/D31)*0.025)*100</f>
        <v>0</v>
      </c>
      <c r="G31" s="53">
        <f t="shared" si="0"/>
        <v>0</v>
      </c>
    </row>
    <row r="32" spans="1:9" ht="30" x14ac:dyDescent="0.25">
      <c r="B32" s="54" t="s">
        <v>187</v>
      </c>
      <c r="C32" s="52">
        <v>2.5</v>
      </c>
      <c r="D32" s="52">
        <v>39</v>
      </c>
      <c r="E32" s="52"/>
      <c r="F32" s="53">
        <f>((E32/D32)*0.025)*100</f>
        <v>0</v>
      </c>
      <c r="G32" s="53">
        <f t="shared" si="0"/>
        <v>0</v>
      </c>
    </row>
    <row r="33" spans="1:7" ht="45" x14ac:dyDescent="0.25">
      <c r="B33" s="55" t="s">
        <v>188</v>
      </c>
      <c r="C33" s="52">
        <v>5</v>
      </c>
      <c r="D33" s="52">
        <v>39</v>
      </c>
      <c r="E33" s="52"/>
      <c r="F33" s="53">
        <f>((E33/D33)*0.05)*100</f>
        <v>0</v>
      </c>
      <c r="G33" s="53">
        <f t="shared" si="0"/>
        <v>0</v>
      </c>
    </row>
    <row r="34" spans="1:7" ht="30" x14ac:dyDescent="0.25">
      <c r="B34" s="55" t="s">
        <v>189</v>
      </c>
      <c r="C34" s="52">
        <v>5</v>
      </c>
      <c r="D34" s="52">
        <v>39</v>
      </c>
      <c r="E34" s="52"/>
      <c r="F34" s="53">
        <f>((E34/D34)*0.1)*100</f>
        <v>0</v>
      </c>
      <c r="G34" s="53">
        <f t="shared" si="0"/>
        <v>0</v>
      </c>
    </row>
    <row r="35" spans="1:7" ht="30" x14ac:dyDescent="0.25">
      <c r="B35" s="55" t="s">
        <v>190</v>
      </c>
      <c r="C35" s="52">
        <v>5</v>
      </c>
      <c r="D35" s="52">
        <v>39</v>
      </c>
      <c r="E35" s="52"/>
      <c r="F35" s="53">
        <f>((E35/D35)*0.05)*100</f>
        <v>0</v>
      </c>
      <c r="G35" s="53">
        <f t="shared" si="0"/>
        <v>0</v>
      </c>
    </row>
    <row r="36" spans="1:7" ht="60" x14ac:dyDescent="0.25">
      <c r="B36" s="55" t="s">
        <v>191</v>
      </c>
      <c r="C36" s="52">
        <v>10</v>
      </c>
      <c r="D36" s="52">
        <v>39</v>
      </c>
      <c r="E36" s="52"/>
      <c r="F36" s="53">
        <f>((E36/D36)*0.1)*100</f>
        <v>0</v>
      </c>
      <c r="G36" s="53">
        <f t="shared" si="0"/>
        <v>0</v>
      </c>
    </row>
    <row r="37" spans="1:7" ht="45" x14ac:dyDescent="0.25">
      <c r="B37" s="55" t="s">
        <v>192</v>
      </c>
      <c r="C37" s="52">
        <v>5</v>
      </c>
      <c r="D37" s="52">
        <v>39</v>
      </c>
      <c r="E37" s="52"/>
      <c r="F37" s="53">
        <f>((E37/D37)*0.1)*100</f>
        <v>0</v>
      </c>
      <c r="G37" s="53">
        <f t="shared" si="0"/>
        <v>0</v>
      </c>
    </row>
    <row r="38" spans="1:7" ht="15.75" x14ac:dyDescent="0.25">
      <c r="B38" s="56" t="s">
        <v>193</v>
      </c>
      <c r="C38" s="57">
        <f>SUM(C26:C37)</f>
        <v>100</v>
      </c>
      <c r="D38" s="56"/>
      <c r="E38" s="56"/>
      <c r="F38" s="57">
        <f>SUM(F26:F37)</f>
        <v>0</v>
      </c>
      <c r="G38" s="57">
        <f>SUM(G26:G37)</f>
        <v>0</v>
      </c>
    </row>
    <row r="39" spans="1:7" x14ac:dyDescent="0.25">
      <c r="B39" s="206" t="s">
        <v>194</v>
      </c>
      <c r="C39" s="206"/>
      <c r="D39" s="206"/>
      <c r="E39" s="206"/>
      <c r="F39" s="206"/>
      <c r="G39" s="206"/>
    </row>
    <row r="40" spans="1:7" x14ac:dyDescent="0.25">
      <c r="B40" s="207" t="s">
        <v>195</v>
      </c>
      <c r="C40" s="207"/>
      <c r="D40" s="207"/>
      <c r="E40" s="207" t="s">
        <v>196</v>
      </c>
      <c r="F40" s="207"/>
      <c r="G40" s="207"/>
    </row>
    <row r="41" spans="1:7" x14ac:dyDescent="0.25">
      <c r="B41" s="203" t="s">
        <v>197</v>
      </c>
      <c r="C41" s="203"/>
      <c r="D41" s="203"/>
      <c r="E41" s="203" t="s">
        <v>198</v>
      </c>
      <c r="F41" s="203"/>
      <c r="G41" s="203"/>
    </row>
    <row r="42" spans="1:7" x14ac:dyDescent="0.25">
      <c r="B42" s="203" t="s">
        <v>199</v>
      </c>
      <c r="C42" s="203"/>
      <c r="D42" s="203"/>
      <c r="E42" s="203" t="s">
        <v>200</v>
      </c>
      <c r="F42" s="203"/>
      <c r="G42" s="203"/>
    </row>
    <row r="43" spans="1:7" x14ac:dyDescent="0.25">
      <c r="B43" s="204" t="s">
        <v>201</v>
      </c>
      <c r="C43" s="204"/>
      <c r="D43" s="204"/>
      <c r="E43" s="204" t="s">
        <v>202</v>
      </c>
      <c r="F43" s="204"/>
      <c r="G43" s="204"/>
    </row>
    <row r="45" spans="1:7" ht="15.75" thickBot="1" x14ac:dyDescent="0.3"/>
    <row r="46" spans="1:7" ht="17.25" thickTop="1" thickBot="1" x14ac:dyDescent="0.3">
      <c r="A46" s="58" t="s">
        <v>203</v>
      </c>
      <c r="B46" s="58" t="s">
        <v>175</v>
      </c>
      <c r="C46" s="59" t="s">
        <v>204</v>
      </c>
      <c r="D46" s="59" t="s">
        <v>205</v>
      </c>
      <c r="E46" s="59" t="s">
        <v>206</v>
      </c>
    </row>
    <row r="47" spans="1:7" ht="31.5" thickTop="1" thickBot="1" x14ac:dyDescent="0.3">
      <c r="A47" s="60">
        <v>1</v>
      </c>
      <c r="B47" s="61" t="s">
        <v>207</v>
      </c>
      <c r="C47" s="62">
        <v>0</v>
      </c>
      <c r="D47" s="63">
        <v>0.1</v>
      </c>
      <c r="E47" s="62">
        <v>0.1</v>
      </c>
    </row>
    <row r="48" spans="1:7" ht="31.5" thickTop="1" thickBot="1" x14ac:dyDescent="0.3">
      <c r="A48" s="60">
        <v>2</v>
      </c>
      <c r="B48" s="61" t="s">
        <v>208</v>
      </c>
      <c r="C48" s="62" t="s">
        <v>209</v>
      </c>
      <c r="D48" s="63" t="s">
        <v>210</v>
      </c>
      <c r="E48" s="62">
        <v>0.3</v>
      </c>
    </row>
    <row r="49" spans="1:5" ht="61.5" thickTop="1" thickBot="1" x14ac:dyDescent="0.3">
      <c r="A49" s="60">
        <v>3</v>
      </c>
      <c r="B49" s="61" t="s">
        <v>211</v>
      </c>
      <c r="C49" s="62" t="s">
        <v>212</v>
      </c>
      <c r="D49" s="63" t="s">
        <v>213</v>
      </c>
      <c r="E49" s="62">
        <v>0.45</v>
      </c>
    </row>
    <row r="50" spans="1:5" ht="76.5" thickTop="1" thickBot="1" x14ac:dyDescent="0.3">
      <c r="A50" s="60">
        <v>4</v>
      </c>
      <c r="B50" s="61" t="s">
        <v>214</v>
      </c>
      <c r="C50" s="62" t="s">
        <v>215</v>
      </c>
      <c r="D50" s="63" t="s">
        <v>216</v>
      </c>
      <c r="E50" s="62">
        <v>0.7</v>
      </c>
    </row>
    <row r="51" spans="1:5" ht="76.5" thickTop="1" thickBot="1" x14ac:dyDescent="0.3">
      <c r="A51" s="60">
        <v>5</v>
      </c>
      <c r="B51" s="61" t="s">
        <v>217</v>
      </c>
      <c r="C51" s="62" t="s">
        <v>218</v>
      </c>
      <c r="D51" s="63" t="s">
        <v>219</v>
      </c>
      <c r="E51" s="62">
        <v>0.75</v>
      </c>
    </row>
    <row r="52" spans="1:5" ht="76.5" thickTop="1" thickBot="1" x14ac:dyDescent="0.3">
      <c r="A52" s="60">
        <v>6</v>
      </c>
      <c r="B52" s="61" t="s">
        <v>220</v>
      </c>
      <c r="C52" s="62" t="s">
        <v>221</v>
      </c>
      <c r="D52" s="63" t="s">
        <v>222</v>
      </c>
      <c r="E52" s="62">
        <v>0.8</v>
      </c>
    </row>
    <row r="53" spans="1:5" ht="121.5" thickTop="1" thickBot="1" x14ac:dyDescent="0.3">
      <c r="A53" s="60">
        <v>7</v>
      </c>
      <c r="B53" s="61" t="s">
        <v>223</v>
      </c>
      <c r="C53" s="62" t="s">
        <v>224</v>
      </c>
      <c r="D53" s="63" t="s">
        <v>225</v>
      </c>
      <c r="E53" s="62">
        <v>0.85</v>
      </c>
    </row>
    <row r="54" spans="1:5" ht="211.5" thickTop="1" thickBot="1" x14ac:dyDescent="0.3">
      <c r="A54" s="60">
        <v>8</v>
      </c>
      <c r="B54" s="61" t="s">
        <v>226</v>
      </c>
      <c r="C54" s="62" t="s">
        <v>227</v>
      </c>
      <c r="D54" s="63" t="s">
        <v>228</v>
      </c>
      <c r="E54" s="62">
        <v>0.95</v>
      </c>
    </row>
    <row r="55" spans="1:5" ht="91.5" thickTop="1" thickBot="1" x14ac:dyDescent="0.3">
      <c r="A55" s="60">
        <v>9</v>
      </c>
      <c r="B55" s="61" t="s">
        <v>229</v>
      </c>
      <c r="C55" s="62" t="s">
        <v>230</v>
      </c>
      <c r="D55" s="63" t="s">
        <v>231</v>
      </c>
      <c r="E55" s="62">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2">
        <v>1</v>
      </c>
      <c r="C2" s="70" t="s">
        <v>250</v>
      </c>
    </row>
    <row r="3" spans="2:3" x14ac:dyDescent="0.25">
      <c r="B3" s="52">
        <v>2</v>
      </c>
      <c r="C3" s="71" t="s">
        <v>251</v>
      </c>
    </row>
    <row r="4" spans="2:3" x14ac:dyDescent="0.25">
      <c r="B4" s="52">
        <v>3</v>
      </c>
      <c r="C4" s="72" t="s">
        <v>252</v>
      </c>
    </row>
    <row r="5" spans="2:3" x14ac:dyDescent="0.25">
      <c r="B5" s="52">
        <v>4</v>
      </c>
      <c r="C5" s="71" t="s">
        <v>253</v>
      </c>
    </row>
    <row r="6" spans="2:3" x14ac:dyDescent="0.25">
      <c r="B6" s="52">
        <v>5</v>
      </c>
      <c r="C6" s="72" t="s">
        <v>254</v>
      </c>
    </row>
    <row r="7" spans="2:3" ht="30" x14ac:dyDescent="0.25">
      <c r="B7" s="52">
        <v>6</v>
      </c>
      <c r="C7" s="71" t="s">
        <v>255</v>
      </c>
    </row>
    <row r="8" spans="2:3" ht="75" x14ac:dyDescent="0.25">
      <c r="B8" s="52">
        <v>7</v>
      </c>
      <c r="C8" s="71" t="s">
        <v>256</v>
      </c>
    </row>
    <row r="9" spans="2:3" x14ac:dyDescent="0.25">
      <c r="B9" s="52">
        <v>8</v>
      </c>
      <c r="C9" s="72" t="s">
        <v>257</v>
      </c>
    </row>
    <row r="10" spans="2:3" x14ac:dyDescent="0.25">
      <c r="B10" s="52">
        <v>9</v>
      </c>
      <c r="C10" s="72" t="s">
        <v>258</v>
      </c>
    </row>
    <row r="11" spans="2:3" x14ac:dyDescent="0.25">
      <c r="B11" s="52">
        <v>10</v>
      </c>
      <c r="C11" s="72" t="s">
        <v>259</v>
      </c>
    </row>
    <row r="12" spans="2:3" x14ac:dyDescent="0.25">
      <c r="B12" s="52">
        <v>11</v>
      </c>
      <c r="C12" s="72" t="s">
        <v>260</v>
      </c>
    </row>
    <row r="13" spans="2:3" x14ac:dyDescent="0.25">
      <c r="B13" s="52">
        <v>12</v>
      </c>
      <c r="C13" s="72" t="s">
        <v>261</v>
      </c>
    </row>
    <row r="14" spans="2:3" x14ac:dyDescent="0.25">
      <c r="B14" s="52">
        <v>13</v>
      </c>
      <c r="C14" s="72" t="s">
        <v>262</v>
      </c>
    </row>
    <row r="15" spans="2:3" x14ac:dyDescent="0.25">
      <c r="B15" s="52">
        <v>14</v>
      </c>
      <c r="C15" s="72" t="s">
        <v>252</v>
      </c>
    </row>
    <row r="16" spans="2:3" x14ac:dyDescent="0.25">
      <c r="B16" s="52">
        <v>15</v>
      </c>
      <c r="C16" s="72" t="s">
        <v>245</v>
      </c>
    </row>
    <row r="17" spans="2:3" x14ac:dyDescent="0.25">
      <c r="B17" s="73">
        <v>16</v>
      </c>
      <c r="C17" s="74" t="s">
        <v>263</v>
      </c>
    </row>
    <row r="18" spans="2:3" x14ac:dyDescent="0.25">
      <c r="B18" s="75">
        <v>17</v>
      </c>
      <c r="C18" s="74" t="s">
        <v>264</v>
      </c>
    </row>
    <row r="19" spans="2:3" x14ac:dyDescent="0.25">
      <c r="B19" s="76">
        <v>18</v>
      </c>
      <c r="C19" s="52" t="s">
        <v>265</v>
      </c>
    </row>
    <row r="20" spans="2:3" x14ac:dyDescent="0.25">
      <c r="B20" s="75">
        <v>19</v>
      </c>
      <c r="C20" s="52" t="s">
        <v>266</v>
      </c>
    </row>
    <row r="21" spans="2:3" x14ac:dyDescent="0.25">
      <c r="B21" s="77">
        <v>20</v>
      </c>
      <c r="C21" s="52" t="s">
        <v>267</v>
      </c>
    </row>
    <row r="22" spans="2:3" x14ac:dyDescent="0.25">
      <c r="B22" s="75">
        <v>21</v>
      </c>
      <c r="C22" s="52" t="s">
        <v>265</v>
      </c>
    </row>
    <row r="23" spans="2:3" s="79" customFormat="1" ht="30" x14ac:dyDescent="0.25">
      <c r="B23" s="78">
        <v>22</v>
      </c>
      <c r="C23" s="70" t="s">
        <v>268</v>
      </c>
    </row>
    <row r="24" spans="2:3" s="79" customFormat="1" ht="30" x14ac:dyDescent="0.25">
      <c r="B24" s="80">
        <v>23</v>
      </c>
      <c r="C24" s="70" t="s">
        <v>269</v>
      </c>
    </row>
    <row r="25" spans="2:3" x14ac:dyDescent="0.25">
      <c r="B25" s="77">
        <v>24</v>
      </c>
      <c r="C25" s="52" t="s">
        <v>270</v>
      </c>
    </row>
    <row r="26" spans="2:3" x14ac:dyDescent="0.25">
      <c r="B26" s="75">
        <v>25</v>
      </c>
      <c r="C26" s="52" t="s">
        <v>271</v>
      </c>
    </row>
    <row r="27" spans="2:3" x14ac:dyDescent="0.25">
      <c r="B27" s="80">
        <v>26</v>
      </c>
      <c r="C27" s="77" t="s">
        <v>272</v>
      </c>
    </row>
    <row r="28" spans="2:3" x14ac:dyDescent="0.25">
      <c r="B28" s="81">
        <v>27</v>
      </c>
      <c r="C28" s="52" t="s">
        <v>273</v>
      </c>
    </row>
    <row r="29" spans="2:3" ht="60" x14ac:dyDescent="0.25">
      <c r="B29" s="82">
        <v>28</v>
      </c>
      <c r="C29" s="71" t="s">
        <v>274</v>
      </c>
    </row>
    <row r="30" spans="2:3" x14ac:dyDescent="0.25">
      <c r="B30" s="80">
        <v>29</v>
      </c>
      <c r="C30" s="52" t="s">
        <v>275</v>
      </c>
    </row>
    <row r="31" spans="2:3" ht="30" x14ac:dyDescent="0.25">
      <c r="B31" s="83">
        <v>30</v>
      </c>
      <c r="C31" s="71" t="s">
        <v>303</v>
      </c>
    </row>
    <row r="32" spans="2:3" x14ac:dyDescent="0.25">
      <c r="B32" s="80">
        <v>31</v>
      </c>
      <c r="C32" s="52" t="s">
        <v>304</v>
      </c>
    </row>
    <row r="33" spans="2:3" x14ac:dyDescent="0.25">
      <c r="B33" s="80">
        <v>32</v>
      </c>
      <c r="C33" s="52" t="s">
        <v>305</v>
      </c>
    </row>
    <row r="34" spans="2:3" ht="30" x14ac:dyDescent="0.25">
      <c r="B34" s="83">
        <v>33</v>
      </c>
      <c r="C34" s="74" t="s">
        <v>306</v>
      </c>
    </row>
    <row r="35" spans="2:3" x14ac:dyDescent="0.25">
      <c r="B35" s="80">
        <v>34</v>
      </c>
      <c r="C35" s="52"/>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84"/>
    <col min="2" max="2" width="12.28515625" style="84" customWidth="1"/>
    <col min="3" max="16384" width="9.140625" style="84"/>
  </cols>
  <sheetData>
    <row r="2" spans="1:12" x14ac:dyDescent="0.25">
      <c r="B2" s="85" t="s">
        <v>276</v>
      </c>
      <c r="C2" s="214"/>
      <c r="D2" s="214"/>
    </row>
    <row r="3" spans="1:12" x14ac:dyDescent="0.25">
      <c r="D3" s="86"/>
      <c r="E3" s="86"/>
      <c r="F3" s="86"/>
      <c r="G3" s="86"/>
      <c r="H3" s="86"/>
      <c r="I3" s="86"/>
    </row>
    <row r="4" spans="1:12" x14ac:dyDescent="0.25">
      <c r="A4" s="85" t="s">
        <v>277</v>
      </c>
      <c r="B4" s="69" t="s">
        <v>278</v>
      </c>
      <c r="C4" s="215" t="s">
        <v>279</v>
      </c>
      <c r="D4" s="215"/>
      <c r="E4" s="215"/>
      <c r="F4" s="69"/>
      <c r="G4" s="216" t="s">
        <v>280</v>
      </c>
      <c r="H4" s="216"/>
      <c r="I4" s="216"/>
      <c r="J4" s="217" t="s">
        <v>281</v>
      </c>
      <c r="K4" s="217"/>
      <c r="L4" s="217"/>
    </row>
    <row r="5" spans="1:12" x14ac:dyDescent="0.25">
      <c r="A5" s="85"/>
      <c r="B5" s="69"/>
      <c r="C5" s="69" t="s">
        <v>282</v>
      </c>
      <c r="D5" s="69" t="s">
        <v>283</v>
      </c>
      <c r="E5" s="69" t="s">
        <v>284</v>
      </c>
      <c r="F5" s="69"/>
      <c r="G5" s="69" t="s">
        <v>282</v>
      </c>
      <c r="H5" s="69" t="s">
        <v>283</v>
      </c>
      <c r="I5" s="69" t="s">
        <v>284</v>
      </c>
      <c r="J5" s="69" t="s">
        <v>282</v>
      </c>
      <c r="K5" s="69" t="s">
        <v>283</v>
      </c>
      <c r="L5" s="69" t="s">
        <v>284</v>
      </c>
    </row>
    <row r="6" spans="1:12" x14ac:dyDescent="0.25">
      <c r="B6" s="68" t="s">
        <v>285</v>
      </c>
      <c r="C6" s="68"/>
      <c r="D6" s="68"/>
      <c r="E6" s="68">
        <f>C6*D6</f>
        <v>0</v>
      </c>
      <c r="F6" s="68" t="s">
        <v>286</v>
      </c>
      <c r="G6" s="68"/>
      <c r="H6" s="68"/>
      <c r="I6" s="68">
        <f>G6*H6</f>
        <v>0</v>
      </c>
      <c r="J6" s="68"/>
      <c r="K6" s="68"/>
      <c r="L6" s="68">
        <f>J6*K6</f>
        <v>0</v>
      </c>
    </row>
    <row r="7" spans="1:12" x14ac:dyDescent="0.25">
      <c r="B7" s="68"/>
      <c r="C7" s="68"/>
      <c r="D7" s="68"/>
      <c r="E7" s="68">
        <f t="shared" ref="E7:E41" si="0">C7*D7</f>
        <v>0</v>
      </c>
      <c r="F7" s="68" t="s">
        <v>286</v>
      </c>
      <c r="G7" s="68"/>
      <c r="H7" s="68"/>
      <c r="I7" s="68">
        <f t="shared" ref="I7:I35" si="1">G7*H7</f>
        <v>0</v>
      </c>
      <c r="J7" s="68"/>
      <c r="K7" s="68"/>
      <c r="L7" s="68">
        <f t="shared" ref="L7:L35" si="2">J7*K7</f>
        <v>0</v>
      </c>
    </row>
    <row r="8" spans="1:12" x14ac:dyDescent="0.25">
      <c r="B8" s="68"/>
      <c r="C8" s="68"/>
      <c r="D8" s="68"/>
      <c r="E8" s="68">
        <f t="shared" si="0"/>
        <v>0</v>
      </c>
      <c r="F8" s="68"/>
      <c r="G8" s="68"/>
      <c r="H8" s="68"/>
      <c r="I8" s="68">
        <f t="shared" si="1"/>
        <v>0</v>
      </c>
      <c r="J8" s="68"/>
      <c r="K8" s="68"/>
      <c r="L8" s="68">
        <f t="shared" si="2"/>
        <v>0</v>
      </c>
    </row>
    <row r="9" spans="1:12" x14ac:dyDescent="0.25">
      <c r="B9" s="68"/>
      <c r="C9" s="68"/>
      <c r="D9" s="68"/>
      <c r="E9" s="68">
        <f t="shared" si="0"/>
        <v>0</v>
      </c>
      <c r="F9" s="68" t="s">
        <v>287</v>
      </c>
      <c r="G9" s="68"/>
      <c r="H9" s="68"/>
      <c r="I9" s="68">
        <f t="shared" si="1"/>
        <v>0</v>
      </c>
      <c r="J9" s="68"/>
      <c r="K9" s="68"/>
      <c r="L9" s="68">
        <f t="shared" si="2"/>
        <v>0</v>
      </c>
    </row>
    <row r="10" spans="1:12" x14ac:dyDescent="0.25">
      <c r="B10" s="68" t="s">
        <v>288</v>
      </c>
      <c r="C10" s="68"/>
      <c r="D10" s="68"/>
      <c r="E10" s="68">
        <f t="shared" si="0"/>
        <v>0</v>
      </c>
      <c r="F10" s="68" t="s">
        <v>287</v>
      </c>
      <c r="G10" s="68"/>
      <c r="H10" s="68"/>
      <c r="I10" s="68">
        <f t="shared" si="1"/>
        <v>0</v>
      </c>
      <c r="J10" s="68"/>
      <c r="K10" s="68"/>
      <c r="L10" s="68">
        <f t="shared" si="2"/>
        <v>0</v>
      </c>
    </row>
    <row r="11" spans="1:12" x14ac:dyDescent="0.25">
      <c r="B11" s="68"/>
      <c r="C11" s="68"/>
      <c r="D11" s="68"/>
      <c r="E11" s="68">
        <f t="shared" si="0"/>
        <v>0</v>
      </c>
      <c r="F11" s="68" t="s">
        <v>289</v>
      </c>
      <c r="G11" s="68"/>
      <c r="H11" s="68"/>
      <c r="I11" s="68">
        <f t="shared" si="1"/>
        <v>0</v>
      </c>
      <c r="J11" s="68"/>
      <c r="K11" s="68"/>
      <c r="L11" s="68">
        <f t="shared" si="2"/>
        <v>0</v>
      </c>
    </row>
    <row r="12" spans="1:12" x14ac:dyDescent="0.25">
      <c r="B12" s="68"/>
      <c r="C12" s="68"/>
      <c r="D12" s="68"/>
      <c r="E12" s="68">
        <f t="shared" si="0"/>
        <v>0</v>
      </c>
      <c r="F12" s="68"/>
      <c r="G12" s="68"/>
      <c r="H12" s="68"/>
      <c r="I12" s="68">
        <f t="shared" si="1"/>
        <v>0</v>
      </c>
      <c r="J12" s="68"/>
      <c r="K12" s="68"/>
      <c r="L12" s="68">
        <f t="shared" si="2"/>
        <v>0</v>
      </c>
    </row>
    <row r="13" spans="1:12" x14ac:dyDescent="0.25">
      <c r="B13" s="68"/>
      <c r="C13" s="68"/>
      <c r="D13" s="68"/>
      <c r="E13" s="68">
        <f t="shared" si="0"/>
        <v>0</v>
      </c>
      <c r="F13" s="68"/>
      <c r="G13" s="68"/>
      <c r="H13" s="68"/>
      <c r="I13" s="68">
        <f t="shared" si="1"/>
        <v>0</v>
      </c>
      <c r="J13" s="68"/>
      <c r="K13" s="68"/>
      <c r="L13" s="68">
        <f t="shared" si="2"/>
        <v>0</v>
      </c>
    </row>
    <row r="14" spans="1:12" x14ac:dyDescent="0.25">
      <c r="B14" s="68" t="s">
        <v>290</v>
      </c>
      <c r="C14" s="68"/>
      <c r="D14" s="68"/>
      <c r="E14" s="68">
        <f t="shared" si="0"/>
        <v>0</v>
      </c>
      <c r="F14" s="68" t="s">
        <v>287</v>
      </c>
      <c r="G14" s="68"/>
      <c r="H14" s="68"/>
      <c r="I14" s="68">
        <f t="shared" si="1"/>
        <v>0</v>
      </c>
      <c r="J14" s="68"/>
      <c r="K14" s="68"/>
      <c r="L14" s="68">
        <f t="shared" si="2"/>
        <v>0</v>
      </c>
    </row>
    <row r="15" spans="1:12" x14ac:dyDescent="0.25">
      <c r="B15" s="68"/>
      <c r="C15" s="68"/>
      <c r="D15" s="68"/>
      <c r="E15" s="68">
        <f t="shared" si="0"/>
        <v>0</v>
      </c>
      <c r="F15" s="68" t="s">
        <v>289</v>
      </c>
      <c r="G15" s="68"/>
      <c r="H15" s="68"/>
      <c r="I15" s="68">
        <f t="shared" si="1"/>
        <v>0</v>
      </c>
      <c r="J15" s="68"/>
      <c r="K15" s="68"/>
      <c r="L15" s="68">
        <f t="shared" si="2"/>
        <v>0</v>
      </c>
    </row>
    <row r="16" spans="1:12" x14ac:dyDescent="0.25">
      <c r="B16" s="68"/>
      <c r="C16" s="68"/>
      <c r="D16" s="68"/>
      <c r="E16" s="68">
        <f t="shared" si="0"/>
        <v>0</v>
      </c>
      <c r="F16" s="68"/>
      <c r="G16" s="68"/>
      <c r="H16" s="68"/>
      <c r="I16" s="68">
        <f t="shared" si="1"/>
        <v>0</v>
      </c>
      <c r="J16" s="68"/>
      <c r="K16" s="68"/>
      <c r="L16" s="68">
        <f t="shared" si="2"/>
        <v>0</v>
      </c>
    </row>
    <row r="17" spans="2:12" x14ac:dyDescent="0.25">
      <c r="B17" s="68"/>
      <c r="C17" s="68"/>
      <c r="D17" s="68"/>
      <c r="E17" s="68">
        <f t="shared" si="0"/>
        <v>0</v>
      </c>
      <c r="F17" s="68"/>
      <c r="G17" s="68"/>
      <c r="H17" s="68"/>
      <c r="I17" s="68">
        <f t="shared" si="1"/>
        <v>0</v>
      </c>
      <c r="J17" s="68"/>
      <c r="K17" s="68"/>
      <c r="L17" s="68">
        <f t="shared" si="2"/>
        <v>0</v>
      </c>
    </row>
    <row r="18" spans="2:12" x14ac:dyDescent="0.25">
      <c r="B18" s="68" t="s">
        <v>291</v>
      </c>
      <c r="C18" s="68"/>
      <c r="D18" s="68"/>
      <c r="E18" s="68">
        <f t="shared" si="0"/>
        <v>0</v>
      </c>
      <c r="F18" s="68" t="s">
        <v>287</v>
      </c>
      <c r="G18" s="68"/>
      <c r="H18" s="68"/>
      <c r="I18" s="68">
        <f t="shared" si="1"/>
        <v>0</v>
      </c>
      <c r="J18" s="68"/>
      <c r="K18" s="68"/>
      <c r="L18" s="68">
        <f t="shared" si="2"/>
        <v>0</v>
      </c>
    </row>
    <row r="19" spans="2:12" x14ac:dyDescent="0.25">
      <c r="B19" s="68"/>
      <c r="C19" s="68"/>
      <c r="D19" s="68"/>
      <c r="E19" s="68">
        <f t="shared" si="0"/>
        <v>0</v>
      </c>
      <c r="F19" s="68" t="s">
        <v>289</v>
      </c>
      <c r="G19" s="68"/>
      <c r="H19" s="68"/>
      <c r="I19" s="68">
        <f t="shared" si="1"/>
        <v>0</v>
      </c>
      <c r="J19" s="68"/>
      <c r="K19" s="68"/>
      <c r="L19" s="68">
        <f t="shared" si="2"/>
        <v>0</v>
      </c>
    </row>
    <row r="20" spans="2:12" x14ac:dyDescent="0.25">
      <c r="B20" s="68"/>
      <c r="C20" s="68"/>
      <c r="D20" s="68"/>
      <c r="E20" s="68">
        <f t="shared" si="0"/>
        <v>0</v>
      </c>
      <c r="F20" s="68"/>
      <c r="G20" s="68"/>
      <c r="H20" s="68"/>
      <c r="I20" s="68">
        <f t="shared" si="1"/>
        <v>0</v>
      </c>
      <c r="J20" s="68"/>
      <c r="K20" s="68"/>
      <c r="L20" s="68">
        <f t="shared" si="2"/>
        <v>0</v>
      </c>
    </row>
    <row r="21" spans="2:12" x14ac:dyDescent="0.25">
      <c r="B21" s="68" t="s">
        <v>292</v>
      </c>
      <c r="C21" s="68"/>
      <c r="D21" s="68"/>
      <c r="E21" s="68">
        <f t="shared" si="0"/>
        <v>0</v>
      </c>
      <c r="F21" s="68" t="s">
        <v>287</v>
      </c>
      <c r="G21" s="68"/>
      <c r="H21" s="68"/>
      <c r="I21" s="68">
        <f t="shared" si="1"/>
        <v>0</v>
      </c>
      <c r="J21" s="68"/>
      <c r="K21" s="68"/>
      <c r="L21" s="68">
        <f t="shared" si="2"/>
        <v>0</v>
      </c>
    </row>
    <row r="22" spans="2:12" x14ac:dyDescent="0.25">
      <c r="B22" s="68"/>
      <c r="C22" s="68"/>
      <c r="D22" s="68"/>
      <c r="E22" s="68">
        <f t="shared" si="0"/>
        <v>0</v>
      </c>
      <c r="F22" s="68" t="s">
        <v>289</v>
      </c>
      <c r="G22" s="68"/>
      <c r="H22" s="68"/>
      <c r="I22" s="68">
        <f t="shared" si="1"/>
        <v>0</v>
      </c>
      <c r="J22" s="68"/>
      <c r="K22" s="68"/>
      <c r="L22" s="68">
        <f t="shared" si="2"/>
        <v>0</v>
      </c>
    </row>
    <row r="23" spans="2:12" x14ac:dyDescent="0.25">
      <c r="B23" s="68"/>
      <c r="C23" s="68"/>
      <c r="D23" s="68"/>
      <c r="E23" s="68">
        <f t="shared" si="0"/>
        <v>0</v>
      </c>
      <c r="F23" s="68"/>
      <c r="G23" s="68"/>
      <c r="H23" s="68"/>
      <c r="I23" s="68">
        <f t="shared" si="1"/>
        <v>0</v>
      </c>
      <c r="J23" s="68"/>
      <c r="K23" s="68"/>
      <c r="L23" s="68">
        <f t="shared" si="2"/>
        <v>0</v>
      </c>
    </row>
    <row r="24" spans="2:12" x14ac:dyDescent="0.25">
      <c r="B24" s="68" t="s">
        <v>293</v>
      </c>
      <c r="C24" s="68"/>
      <c r="D24" s="68"/>
      <c r="E24" s="68">
        <f t="shared" si="0"/>
        <v>0</v>
      </c>
      <c r="F24" s="68" t="s">
        <v>294</v>
      </c>
      <c r="G24" s="68"/>
      <c r="H24" s="68"/>
      <c r="I24" s="68">
        <f t="shared" si="1"/>
        <v>0</v>
      </c>
      <c r="J24" s="68"/>
      <c r="K24" s="68"/>
      <c r="L24" s="68">
        <f t="shared" si="2"/>
        <v>0</v>
      </c>
    </row>
    <row r="25" spans="2:12" x14ac:dyDescent="0.25">
      <c r="B25" s="68"/>
      <c r="C25" s="68"/>
      <c r="D25" s="68"/>
      <c r="E25" s="68">
        <f t="shared" si="0"/>
        <v>0</v>
      </c>
      <c r="F25" s="68" t="s">
        <v>294</v>
      </c>
      <c r="G25" s="68"/>
      <c r="H25" s="68"/>
      <c r="I25" s="68">
        <f t="shared" si="1"/>
        <v>0</v>
      </c>
      <c r="J25" s="68"/>
      <c r="K25" s="68"/>
      <c r="L25" s="68">
        <f t="shared" si="2"/>
        <v>0</v>
      </c>
    </row>
    <row r="26" spans="2:12" x14ac:dyDescent="0.25">
      <c r="B26" s="68"/>
      <c r="C26" s="68"/>
      <c r="D26" s="68"/>
      <c r="E26" s="68">
        <f t="shared" si="0"/>
        <v>0</v>
      </c>
      <c r="F26" s="68" t="s">
        <v>294</v>
      </c>
      <c r="G26" s="68"/>
      <c r="H26" s="68"/>
      <c r="I26" s="68">
        <f t="shared" si="1"/>
        <v>0</v>
      </c>
      <c r="J26" s="68"/>
      <c r="K26" s="68"/>
      <c r="L26" s="68">
        <f t="shared" si="2"/>
        <v>0</v>
      </c>
    </row>
    <row r="27" spans="2:12" x14ac:dyDescent="0.25">
      <c r="B27" s="68"/>
      <c r="C27" s="68"/>
      <c r="D27" s="68"/>
      <c r="E27" s="68">
        <f t="shared" si="0"/>
        <v>0</v>
      </c>
      <c r="F27" s="68" t="s">
        <v>294</v>
      </c>
      <c r="G27" s="68"/>
      <c r="H27" s="68"/>
      <c r="I27" s="68">
        <f t="shared" si="1"/>
        <v>0</v>
      </c>
      <c r="J27" s="68"/>
      <c r="K27" s="68"/>
      <c r="L27" s="68">
        <f t="shared" si="2"/>
        <v>0</v>
      </c>
    </row>
    <row r="28" spans="2:12" x14ac:dyDescent="0.25">
      <c r="B28" s="68" t="s">
        <v>295</v>
      </c>
      <c r="C28" s="68"/>
      <c r="D28" s="68"/>
      <c r="E28" s="68">
        <f t="shared" si="0"/>
        <v>0</v>
      </c>
      <c r="F28" s="68" t="s">
        <v>294</v>
      </c>
      <c r="G28" s="68"/>
      <c r="H28" s="68"/>
      <c r="I28" s="68">
        <f t="shared" si="1"/>
        <v>0</v>
      </c>
      <c r="J28" s="68"/>
      <c r="K28" s="68"/>
      <c r="L28" s="68">
        <f t="shared" si="2"/>
        <v>0</v>
      </c>
    </row>
    <row r="29" spans="2:12" x14ac:dyDescent="0.25">
      <c r="B29" s="68" t="s">
        <v>296</v>
      </c>
      <c r="C29" s="68"/>
      <c r="D29" s="68"/>
      <c r="E29" s="68">
        <f t="shared" si="0"/>
        <v>0</v>
      </c>
      <c r="F29" s="68" t="s">
        <v>294</v>
      </c>
      <c r="G29" s="68"/>
      <c r="H29" s="68"/>
      <c r="I29" s="68">
        <f t="shared" si="1"/>
        <v>0</v>
      </c>
      <c r="J29" s="68"/>
      <c r="K29" s="68"/>
      <c r="L29" s="68">
        <f t="shared" si="2"/>
        <v>0</v>
      </c>
    </row>
    <row r="30" spans="2:12" x14ac:dyDescent="0.25">
      <c r="B30" s="68" t="s">
        <v>297</v>
      </c>
      <c r="C30" s="68"/>
      <c r="D30" s="68"/>
      <c r="E30" s="68">
        <f t="shared" si="0"/>
        <v>0</v>
      </c>
      <c r="F30" s="68"/>
      <c r="G30" s="68"/>
      <c r="H30" s="68"/>
      <c r="I30" s="68">
        <f t="shared" si="1"/>
        <v>0</v>
      </c>
      <c r="J30" s="68"/>
      <c r="K30" s="68"/>
      <c r="L30" s="68">
        <f t="shared" si="2"/>
        <v>0</v>
      </c>
    </row>
    <row r="31" spans="2:12" x14ac:dyDescent="0.25">
      <c r="B31" s="68"/>
      <c r="C31" s="68"/>
      <c r="D31" s="68"/>
      <c r="E31" s="68">
        <f t="shared" si="0"/>
        <v>0</v>
      </c>
      <c r="F31" s="68"/>
      <c r="G31" s="68"/>
      <c r="H31" s="68"/>
      <c r="I31" s="68">
        <f t="shared" si="1"/>
        <v>0</v>
      </c>
      <c r="J31" s="68"/>
      <c r="K31" s="68"/>
      <c r="L31" s="68">
        <f t="shared" si="2"/>
        <v>0</v>
      </c>
    </row>
    <row r="32" spans="2:12" x14ac:dyDescent="0.25">
      <c r="B32" s="68"/>
      <c r="C32" s="68"/>
      <c r="D32" s="68"/>
      <c r="E32" s="68">
        <f t="shared" si="0"/>
        <v>0</v>
      </c>
      <c r="F32" s="68"/>
      <c r="G32" s="68"/>
      <c r="H32" s="68"/>
      <c r="I32" s="68">
        <f t="shared" si="1"/>
        <v>0</v>
      </c>
      <c r="J32" s="68"/>
      <c r="K32" s="68"/>
      <c r="L32" s="68">
        <f t="shared" si="2"/>
        <v>0</v>
      </c>
    </row>
    <row r="33" spans="2:12" x14ac:dyDescent="0.25">
      <c r="B33" s="68" t="s">
        <v>298</v>
      </c>
      <c r="C33" s="68"/>
      <c r="D33" s="68"/>
      <c r="E33" s="68">
        <f t="shared" si="0"/>
        <v>0</v>
      </c>
      <c r="F33" s="68"/>
      <c r="G33" s="68"/>
      <c r="H33" s="68"/>
      <c r="I33" s="68">
        <f t="shared" si="1"/>
        <v>0</v>
      </c>
      <c r="J33" s="68"/>
      <c r="K33" s="68"/>
      <c r="L33" s="68">
        <f t="shared" si="2"/>
        <v>0</v>
      </c>
    </row>
    <row r="34" spans="2:12" x14ac:dyDescent="0.25">
      <c r="B34" s="68" t="s">
        <v>299</v>
      </c>
      <c r="C34" s="68"/>
      <c r="D34" s="68"/>
      <c r="E34" s="68">
        <f t="shared" si="0"/>
        <v>0</v>
      </c>
      <c r="F34" s="68"/>
      <c r="G34" s="68"/>
      <c r="H34" s="68"/>
      <c r="I34" s="68">
        <f t="shared" si="1"/>
        <v>0</v>
      </c>
      <c r="J34" s="68"/>
      <c r="K34" s="68"/>
      <c r="L34" s="68">
        <f t="shared" si="2"/>
        <v>0</v>
      </c>
    </row>
    <row r="35" spans="2:12" x14ac:dyDescent="0.25">
      <c r="B35" s="68" t="s">
        <v>300</v>
      </c>
      <c r="C35" s="68"/>
      <c r="D35" s="68"/>
      <c r="E35" s="68">
        <f t="shared" si="0"/>
        <v>0</v>
      </c>
      <c r="F35" s="68"/>
      <c r="G35" s="68"/>
      <c r="H35" s="68"/>
      <c r="I35" s="68">
        <f t="shared" si="1"/>
        <v>0</v>
      </c>
      <c r="J35" s="68"/>
      <c r="K35" s="68"/>
      <c r="L35" s="68">
        <f t="shared" si="2"/>
        <v>0</v>
      </c>
    </row>
    <row r="36" spans="2:12" x14ac:dyDescent="0.25">
      <c r="B36" s="68" t="s">
        <v>301</v>
      </c>
      <c r="C36" s="68"/>
      <c r="D36" s="68"/>
      <c r="E36" s="68">
        <f t="shared" si="0"/>
        <v>0</v>
      </c>
      <c r="F36" s="68"/>
      <c r="G36" s="68"/>
      <c r="H36" s="68"/>
      <c r="I36" s="68">
        <f>G36*H36</f>
        <v>0</v>
      </c>
      <c r="J36" s="68"/>
      <c r="K36" s="68"/>
      <c r="L36" s="68">
        <f>J36*K36</f>
        <v>0</v>
      </c>
    </row>
    <row r="37" spans="2:12" x14ac:dyDescent="0.25">
      <c r="B37" s="68"/>
      <c r="C37" s="68"/>
      <c r="D37" s="68"/>
      <c r="E37" s="68">
        <f t="shared" si="0"/>
        <v>0</v>
      </c>
      <c r="F37" s="68"/>
      <c r="G37" s="68"/>
      <c r="H37" s="68"/>
      <c r="I37" s="68">
        <f t="shared" ref="I37:I38" si="3">G37*H37</f>
        <v>0</v>
      </c>
      <c r="J37" s="68"/>
      <c r="K37" s="68"/>
      <c r="L37" s="68">
        <f t="shared" ref="L37:L38" si="4">J37*K37</f>
        <v>0</v>
      </c>
    </row>
    <row r="38" spans="2:12" x14ac:dyDescent="0.25">
      <c r="B38" s="68" t="s">
        <v>302</v>
      </c>
      <c r="C38" s="68"/>
      <c r="D38" s="68"/>
      <c r="E38" s="68">
        <f t="shared" si="0"/>
        <v>0</v>
      </c>
      <c r="F38" s="68"/>
      <c r="G38" s="68"/>
      <c r="H38" s="68"/>
      <c r="I38" s="68">
        <f t="shared" si="3"/>
        <v>0</v>
      </c>
      <c r="J38" s="68"/>
      <c r="K38" s="68"/>
      <c r="L38" s="68">
        <f t="shared" si="4"/>
        <v>0</v>
      </c>
    </row>
    <row r="39" spans="2:12" x14ac:dyDescent="0.25">
      <c r="B39" s="68"/>
      <c r="C39" s="68"/>
      <c r="D39" s="68"/>
      <c r="E39" s="68">
        <f t="shared" si="0"/>
        <v>0</v>
      </c>
      <c r="F39" s="68"/>
      <c r="G39" s="68"/>
      <c r="H39" s="68"/>
      <c r="I39" s="68">
        <f>G39*H39</f>
        <v>0</v>
      </c>
      <c r="J39" s="68"/>
      <c r="K39" s="68"/>
      <c r="L39" s="68">
        <f>J39*K39</f>
        <v>0</v>
      </c>
    </row>
    <row r="40" spans="2:12" x14ac:dyDescent="0.25">
      <c r="B40" s="68"/>
      <c r="C40" s="68"/>
      <c r="D40" s="68"/>
      <c r="E40" s="68">
        <f t="shared" si="0"/>
        <v>0</v>
      </c>
      <c r="F40" s="68"/>
      <c r="G40" s="68"/>
      <c r="H40" s="68"/>
      <c r="I40" s="68">
        <f>G40*H40</f>
        <v>0</v>
      </c>
      <c r="J40" s="68"/>
      <c r="K40" s="68"/>
      <c r="L40" s="68">
        <f>J40*K40</f>
        <v>0</v>
      </c>
    </row>
    <row r="41" spans="2:12" x14ac:dyDescent="0.25">
      <c r="B41" s="68"/>
      <c r="C41" s="68"/>
      <c r="D41" s="68"/>
      <c r="E41" s="68">
        <f t="shared" si="0"/>
        <v>0</v>
      </c>
      <c r="F41" s="68"/>
      <c r="G41" s="68"/>
      <c r="H41" s="68"/>
      <c r="I41" s="68">
        <f>G41*H41</f>
        <v>0</v>
      </c>
      <c r="J41" s="68"/>
      <c r="K41" s="68"/>
      <c r="L41" s="68">
        <f>J41*K41</f>
        <v>0</v>
      </c>
    </row>
    <row r="42" spans="2:12" x14ac:dyDescent="0.25">
      <c r="B42" s="68" t="s">
        <v>158</v>
      </c>
      <c r="C42" s="68"/>
      <c r="D42" s="68">
        <f>E42*10.764</f>
        <v>0</v>
      </c>
      <c r="E42" s="87">
        <f>SUM(E6:E41)</f>
        <v>0</v>
      </c>
      <c r="F42" s="68"/>
      <c r="G42" s="68"/>
      <c r="H42" s="68">
        <f>I42*10.764</f>
        <v>0</v>
      </c>
      <c r="I42" s="88">
        <f>SUM(I6:I41)</f>
        <v>0</v>
      </c>
      <c r="J42" s="68"/>
      <c r="K42" s="68">
        <f>L42*10.764</f>
        <v>0</v>
      </c>
      <c r="L42" s="89">
        <f>SUM(L6:L41)</f>
        <v>0</v>
      </c>
    </row>
    <row r="44" spans="2:12" x14ac:dyDescent="0.25">
      <c r="D44" s="84">
        <f>D42+H42</f>
        <v>0</v>
      </c>
      <c r="E44" s="8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2025-08-08T08:03:13Z</cp:lastPrinted>
  <dcterms:created xsi:type="dcterms:W3CDTF">2010-11-23T11:42:48Z</dcterms:created>
  <dcterms:modified xsi:type="dcterms:W3CDTF">2025-08-08T08:03:49Z</dcterms:modified>
</cp:coreProperties>
</file>