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defaultThemeVersion="124226"/>
  <mc:AlternateContent xmlns:mc="http://schemas.openxmlformats.org/markup-compatibility/2006">
    <mc:Choice Requires="x15">
      <x15ac:absPath xmlns:x15ac="http://schemas.microsoft.com/office/spreadsheetml/2010/11/ac" url="D:\aug 25\GHF\OLD\"/>
    </mc:Choice>
  </mc:AlternateContent>
  <xr:revisionPtr revIDLastSave="0" documentId="13_ncr:1_{5B09C883-8682-44CE-B748-01941D1E9B2B}" xr6:coauthVersionLast="47" xr6:coauthVersionMax="47" xr10:uidLastSave="{00000000-0000-0000-0000-000000000000}"/>
  <bookViews>
    <workbookView xWindow="-120" yWindow="-120" windowWidth="20730" windowHeight="11160" xr2:uid="{00000000-000D-0000-FFFF-FFFF00000000}"/>
  </bookViews>
  <sheets>
    <sheet name="Report" sheetId="3" r:id="rId1"/>
    <sheet name="Construction table" sheetId="4" r:id="rId2"/>
  </sheets>
  <definedNames>
    <definedName name="_xlnm.Print_Area" localSheetId="0">Report!$A$1:$H$319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 i="3" l="1"/>
  <c r="C65" i="3" l="1"/>
  <c r="C66" i="3" s="1"/>
  <c r="C67" i="3" s="1"/>
  <c r="A59" i="3" l="1"/>
  <c r="H60" i="3"/>
  <c r="J63" i="3" l="1"/>
  <c r="C62" i="3" s="1"/>
  <c r="D62" i="3" s="1"/>
  <c r="J61" i="3"/>
  <c r="D71" i="3"/>
  <c r="D67" i="3"/>
  <c r="D69" i="3"/>
  <c r="D65" i="3"/>
  <c r="D73" i="3"/>
  <c r="D72" i="3"/>
  <c r="D68" i="3"/>
  <c r="D64" i="3"/>
  <c r="D70" i="3"/>
  <c r="D66" i="3"/>
  <c r="J62" i="3"/>
  <c r="J64" i="3"/>
  <c r="J65" i="3" s="1"/>
  <c r="J70" i="3" s="1"/>
  <c r="J68" i="3"/>
  <c r="J69" i="3"/>
  <c r="J66" i="3"/>
  <c r="J67" i="3"/>
  <c r="J71" i="3" l="1"/>
  <c r="C63" i="3" s="1"/>
  <c r="D63" i="3" s="1"/>
  <c r="E62" i="3" l="1"/>
  <c r="I59" i="3" l="1"/>
  <c r="G62" i="3" s="1"/>
  <c r="G90" i="3"/>
  <c r="D186" i="3" l="1"/>
  <c r="I129" i="3" l="1"/>
  <c r="D184" i="3" l="1"/>
  <c r="G97" i="3"/>
  <c r="G96" i="3"/>
  <c r="A132" i="3"/>
  <c r="A133" i="3" s="1"/>
  <c r="A134" i="3" s="1"/>
  <c r="A135" i="3" s="1"/>
  <c r="A136" i="3" s="1"/>
  <c r="A125" i="3"/>
  <c r="A126" i="3" s="1"/>
  <c r="A127" i="3" s="1"/>
  <c r="A128" i="3" s="1"/>
  <c r="A129" i="3" s="1"/>
  <c r="F136" i="3"/>
  <c r="E136" i="3"/>
  <c r="F135" i="3"/>
  <c r="E135" i="3"/>
  <c r="F133" i="3"/>
  <c r="E133" i="3"/>
  <c r="F132" i="3"/>
  <c r="E132" i="3"/>
  <c r="F131" i="3"/>
  <c r="E131" i="3"/>
  <c r="F129" i="3"/>
  <c r="F128" i="3"/>
  <c r="F127" i="3"/>
  <c r="F126" i="3"/>
  <c r="F125" i="3"/>
  <c r="F124" i="3"/>
  <c r="E129" i="3"/>
  <c r="E128" i="3"/>
  <c r="E127" i="3"/>
  <c r="E126" i="3"/>
  <c r="E125" i="3"/>
  <c r="E124" i="3"/>
  <c r="E121" i="3"/>
  <c r="E120" i="3"/>
  <c r="E119" i="3"/>
  <c r="E118" i="3"/>
  <c r="E117" i="3"/>
  <c r="E101" i="3" s="1"/>
  <c r="E102" i="3" s="1"/>
  <c r="E116" i="3"/>
  <c r="E115" i="3"/>
  <c r="F121" i="3"/>
  <c r="F120" i="3"/>
  <c r="F119" i="3"/>
  <c r="F118" i="3"/>
  <c r="F117" i="3"/>
  <c r="F116" i="3"/>
  <c r="F115" i="3"/>
  <c r="A116" i="3"/>
  <c r="A117" i="3" s="1"/>
  <c r="A118" i="3" s="1"/>
  <c r="A119" i="3" s="1"/>
  <c r="A120" i="3" s="1"/>
  <c r="A121" i="3" s="1"/>
  <c r="H121" i="3" l="1"/>
  <c r="E105" i="3"/>
  <c r="E106" i="3" s="1"/>
  <c r="E107" i="3" s="1"/>
  <c r="H120" i="3"/>
  <c r="H117" i="3"/>
  <c r="H119" i="3"/>
  <c r="H118" i="3"/>
  <c r="H116" i="3"/>
  <c r="H115" i="3"/>
  <c r="G101" i="3" l="1"/>
  <c r="G102" i="3" s="1"/>
  <c r="H136" i="3"/>
  <c r="H135" i="3"/>
  <c r="H133" i="3"/>
  <c r="H132" i="3"/>
  <c r="H131" i="3"/>
  <c r="H129" i="3"/>
  <c r="H128" i="3"/>
  <c r="H127" i="3"/>
  <c r="I127" i="3" s="1"/>
  <c r="H126" i="3"/>
  <c r="H125" i="3"/>
  <c r="H124" i="3"/>
  <c r="A75" i="3"/>
  <c r="D76" i="3" s="1"/>
  <c r="V124" i="3"/>
  <c r="U131" i="3"/>
  <c r="U124" i="3"/>
  <c r="V131" i="3"/>
  <c r="G105" i="3" l="1"/>
  <c r="G106" i="3" s="1"/>
  <c r="G107" i="3" s="1"/>
  <c r="T131" i="3"/>
  <c r="U132" i="3"/>
  <c r="V132" i="3"/>
  <c r="V133" i="3" s="1"/>
  <c r="V134" i="3" s="1"/>
  <c r="V135" i="3" s="1"/>
  <c r="V136" i="3" s="1"/>
  <c r="T124" i="3"/>
  <c r="U125" i="3"/>
  <c r="V125" i="3"/>
  <c r="V126" i="3" s="1"/>
  <c r="V127" i="3" s="1"/>
  <c r="V128" i="3" s="1"/>
  <c r="V129" i="3" s="1"/>
  <c r="J82" i="3"/>
  <c r="J83" i="3"/>
  <c r="J84" i="3"/>
  <c r="J85" i="3"/>
  <c r="H76" i="3"/>
  <c r="J80" i="3" l="1"/>
  <c r="J81" i="3" s="1"/>
  <c r="J86" i="3" s="1"/>
  <c r="J87" i="3" s="1"/>
  <c r="C79" i="3" s="1"/>
  <c r="D79" i="3" s="1"/>
  <c r="D88" i="3"/>
  <c r="D84" i="3"/>
  <c r="J79" i="3"/>
  <c r="C78" i="3" s="1"/>
  <c r="D78" i="3" s="1"/>
  <c r="D80" i="3"/>
  <c r="D87" i="3"/>
  <c r="J77" i="3"/>
  <c r="D83" i="3"/>
  <c r="D85" i="3"/>
  <c r="J78" i="3"/>
  <c r="D81" i="3"/>
  <c r="D89" i="3"/>
  <c r="D82" i="3"/>
  <c r="D86" i="3"/>
  <c r="U133" i="3"/>
  <c r="T132" i="3"/>
  <c r="U126" i="3"/>
  <c r="T125" i="3"/>
  <c r="C26" i="3"/>
  <c r="C18" i="3"/>
  <c r="H172" i="3"/>
  <c r="H171" i="3"/>
  <c r="H170" i="3"/>
  <c r="H169" i="3"/>
  <c r="H168" i="3"/>
  <c r="H167" i="3"/>
  <c r="H166" i="3"/>
  <c r="H165" i="3"/>
  <c r="H163" i="3"/>
  <c r="H162" i="3"/>
  <c r="H161" i="3"/>
  <c r="H160" i="3"/>
  <c r="H159" i="3"/>
  <c r="H158" i="3"/>
  <c r="H157" i="3"/>
  <c r="H156" i="3"/>
  <c r="H154" i="3"/>
  <c r="H153" i="3"/>
  <c r="H152" i="3"/>
  <c r="H151" i="3"/>
  <c r="H150" i="3"/>
  <c r="H149" i="3"/>
  <c r="H148" i="3"/>
  <c r="H147" i="3"/>
  <c r="H139" i="3"/>
  <c r="H140" i="3"/>
  <c r="H141" i="3"/>
  <c r="H142" i="3"/>
  <c r="H143" i="3"/>
  <c r="H144" i="3"/>
  <c r="H145" i="3"/>
  <c r="H138" i="3"/>
  <c r="E78" i="3" l="1"/>
  <c r="I75" i="3" s="1"/>
  <c r="G78" i="3" s="1"/>
  <c r="T133" i="3"/>
  <c r="U134" i="3"/>
  <c r="U127" i="3"/>
  <c r="T126" i="3"/>
  <c r="T134" i="3" l="1"/>
  <c r="U135" i="3"/>
  <c r="U128" i="3"/>
  <c r="T127"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F38" i="4" l="1"/>
  <c r="G38" i="4"/>
  <c r="U136" i="3"/>
  <c r="T136" i="3" s="1"/>
  <c r="T135" i="3"/>
  <c r="U129" i="3"/>
  <c r="T129" i="3" s="1"/>
  <c r="T128" i="3"/>
  <c r="E18" i="4"/>
  <c r="E15" i="4"/>
  <c r="E17" i="4"/>
  <c r="E11" i="4"/>
  <c r="K6" i="4"/>
  <c r="E9" i="4"/>
  <c r="K8" i="4"/>
  <c r="C7" i="4" s="1"/>
  <c r="E14" i="4"/>
  <c r="E12" i="4"/>
  <c r="E16" i="4"/>
  <c r="E10" i="4"/>
  <c r="K9" i="4"/>
  <c r="K10" i="4" s="1"/>
  <c r="K11" i="4" s="1"/>
  <c r="E13" i="4"/>
  <c r="K7" i="4"/>
  <c r="K12" i="4" l="1"/>
  <c r="K16" i="4" s="1"/>
  <c r="C8" i="4" s="1"/>
  <c r="E8" i="4" s="1"/>
  <c r="E7" i="4"/>
  <c r="A138" i="3"/>
  <c r="A139" i="3" s="1"/>
  <c r="A140" i="3" s="1"/>
  <c r="A141" i="3" s="1"/>
  <c r="A142" i="3" s="1"/>
  <c r="A143" i="3" s="1"/>
  <c r="A144" i="3" s="1"/>
  <c r="A145" i="3" s="1"/>
  <c r="F7" i="4" l="1"/>
  <c r="J4" i="4" s="1"/>
  <c r="H7" i="4" s="1"/>
  <c r="G4" i="3" l="1"/>
  <c r="D185" i="3" l="1"/>
  <c r="G98" i="3"/>
  <c r="U156" i="3"/>
  <c r="V165" i="3"/>
  <c r="V156" i="3"/>
  <c r="U147" i="3"/>
  <c r="U165" i="3"/>
  <c r="V147" i="3"/>
  <c r="T165" i="3" l="1"/>
  <c r="U166" i="3"/>
  <c r="V166" i="3"/>
  <c r="V167" i="3" s="1"/>
  <c r="V168" i="3" s="1"/>
  <c r="V169" i="3" s="1"/>
  <c r="V170" i="3" s="1"/>
  <c r="V171" i="3" s="1"/>
  <c r="V172" i="3" s="1"/>
  <c r="T156" i="3"/>
  <c r="U157" i="3"/>
  <c r="V157" i="3"/>
  <c r="V158" i="3" s="1"/>
  <c r="V159" i="3" s="1"/>
  <c r="V160" i="3" s="1"/>
  <c r="V161" i="3" s="1"/>
  <c r="V162" i="3" s="1"/>
  <c r="V163" i="3" s="1"/>
  <c r="V148" i="3"/>
  <c r="V149" i="3" s="1"/>
  <c r="V150" i="3" s="1"/>
  <c r="V151" i="3" s="1"/>
  <c r="V152" i="3" s="1"/>
  <c r="V153" i="3" s="1"/>
  <c r="V154" i="3" s="1"/>
  <c r="U148" i="3"/>
  <c r="T147" i="3"/>
  <c r="A165" i="3" l="1"/>
  <c r="A156" i="3"/>
  <c r="A147" i="3"/>
  <c r="T166" i="3"/>
  <c r="A166" i="3" s="1"/>
  <c r="U167" i="3"/>
  <c r="T167" i="3" s="1"/>
  <c r="T157" i="3"/>
  <c r="A157" i="3" s="1"/>
  <c r="U158" i="3"/>
  <c r="T158" i="3" s="1"/>
  <c r="U149" i="3"/>
  <c r="T148" i="3"/>
  <c r="A148" i="3" s="1"/>
  <c r="A167" i="3" l="1"/>
  <c r="A158" i="3"/>
  <c r="U168" i="3"/>
  <c r="T168" i="3" s="1"/>
  <c r="U159" i="3"/>
  <c r="T159" i="3" s="1"/>
  <c r="U150" i="3"/>
  <c r="T149" i="3"/>
  <c r="A149" i="3" s="1"/>
  <c r="A168" i="3" l="1"/>
  <c r="A159" i="3"/>
  <c r="U169" i="3"/>
  <c r="T169" i="3" s="1"/>
  <c r="U160" i="3"/>
  <c r="T160" i="3" s="1"/>
  <c r="U151" i="3"/>
  <c r="T150" i="3"/>
  <c r="A150" i="3" s="1"/>
  <c r="A169" i="3" l="1"/>
  <c r="A160" i="3"/>
  <c r="U170" i="3"/>
  <c r="T170" i="3" s="1"/>
  <c r="U161" i="3"/>
  <c r="T161" i="3" s="1"/>
  <c r="U152" i="3"/>
  <c r="T151" i="3"/>
  <c r="A151" i="3" s="1"/>
  <c r="A170" i="3" l="1"/>
  <c r="A161" i="3"/>
  <c r="U171" i="3"/>
  <c r="T171" i="3" s="1"/>
  <c r="U162" i="3"/>
  <c r="T162" i="3" s="1"/>
  <c r="U153" i="3"/>
  <c r="T152" i="3"/>
  <c r="A152" i="3" s="1"/>
  <c r="A171" i="3" l="1"/>
  <c r="A162" i="3"/>
  <c r="U172" i="3"/>
  <c r="T172" i="3" s="1"/>
  <c r="U163" i="3"/>
  <c r="T163" i="3" s="1"/>
  <c r="U154" i="3"/>
  <c r="T153" i="3"/>
  <c r="A153" i="3" s="1"/>
  <c r="A172" i="3" l="1"/>
  <c r="A163" i="3"/>
  <c r="T154" i="3"/>
  <c r="A15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G17" authorId="0" shapeId="0" xr:uid="{00000000-0006-0000-0000-000002000000}">
      <text>
        <r>
          <rPr>
            <b/>
            <sz val="18"/>
            <color indexed="81"/>
            <rFont val="Tahoma"/>
            <family val="2"/>
          </rPr>
          <t>From Rera</t>
        </r>
      </text>
    </comment>
    <comment ref="G20" authorId="0" shapeId="0" xr:uid="{00000000-0006-0000-0000-000003000000}">
      <text>
        <r>
          <rPr>
            <b/>
            <sz val="16"/>
            <color indexed="81"/>
            <rFont val="Tahoma"/>
            <family val="2"/>
          </rPr>
          <t>From RERA</t>
        </r>
      </text>
    </comment>
    <comment ref="G21" authorId="0" shapeId="0" xr:uid="{00000000-0006-0000-0000-000004000000}">
      <text>
        <r>
          <rPr>
            <b/>
            <sz val="16"/>
            <color indexed="81"/>
            <rFont val="Tahoma"/>
            <family val="2"/>
          </rPr>
          <t>From RERA</t>
        </r>
      </text>
    </comment>
    <comment ref="G27" authorId="0" shapeId="0" xr:uid="{00000000-0006-0000-0000-000005000000}">
      <text>
        <r>
          <rPr>
            <b/>
            <sz val="12"/>
            <color indexed="81"/>
            <rFont val="Tahoma"/>
            <family val="2"/>
          </rPr>
          <t>SACHIN:</t>
        </r>
        <r>
          <rPr>
            <sz val="12"/>
            <color indexed="81"/>
            <rFont val="Tahoma"/>
            <family val="2"/>
          </rPr>
          <t xml:space="preserve">
Road size should be in metre</t>
        </r>
      </text>
    </comment>
    <comment ref="G96" authorId="0" shapeId="0" xr:uid="{00000000-0006-0000-0000-000006000000}">
      <text>
        <r>
          <rPr>
            <b/>
            <sz val="16"/>
            <color indexed="81"/>
            <rFont val="Tahoma"/>
            <family val="2"/>
          </rPr>
          <t>Ready Recknor</t>
        </r>
      </text>
    </comment>
  </commentList>
</comments>
</file>

<file path=xl/sharedStrings.xml><?xml version="1.0" encoding="utf-8"?>
<sst xmlns="http://schemas.openxmlformats.org/spreadsheetml/2006/main" count="506" uniqueCount="316">
  <si>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</si>
  <si>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</si>
  <si>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</si>
  <si>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</si>
  <si>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</si>
  <si>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</si>
  <si>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</si>
  <si>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</si>
  <si>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</si>
  <si>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</si>
  <si>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</si>
  <si>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</si>
  <si>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</si>
  <si>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</si>
  <si>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</si>
  <si>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</si>
  <si>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</si>
  <si>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</si>
  <si>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</si>
  <si>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</si>
  <si>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</si>
  <si>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</si>
  <si>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</si>
  <si>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</si>
  <si>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</si>
  <si>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</si>
  <si>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</si>
  <si>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</si>
  <si>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</si>
  <si>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</si>
  <si>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</si>
  <si>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</si>
  <si>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</si>
  <si>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</si>
  <si>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</si>
  <si>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</si>
  <si>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</si>
  <si>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</si>
  <si>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</si>
  <si>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</si>
  <si>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</si>
  <si>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</si>
  <si>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</si>
  <si>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</si>
  <si>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</si>
  <si>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</si>
  <si>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</si>
  <si>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</si>
  <si>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</si>
  <si>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</si>
  <si>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</si>
  <si>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</si>
  <si>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</si>
  <si>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</si>
  <si>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</si>
  <si>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</si>
  <si>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</si>
  <si>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</si>
  <si>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</si>
  <si>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</si>
  <si>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</si>
  <si>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</si>
  <si>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</si>
  <si>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</si>
  <si>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</si>
  <si>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</si>
  <si>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</si>
  <si>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</si>
  <si>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</si>
  <si>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</si>
  <si>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</si>
  <si>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</si>
  <si>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</si>
  <si>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</si>
  <si>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</si>
  <si>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</si>
  <si>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</si>
  <si>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</si>
  <si>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</si>
  <si>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</si>
  <si>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</si>
  <si>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</si>
  <si>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</si>
  <si>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</si>
  <si>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</si>
  <si>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</si>
  <si>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</si>
  <si>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</si>
  <si>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</si>
  <si>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</si>
  <si>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</si>
  <si>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</si>
  <si>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</si>
  <si>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</si>
  <si>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</si>
  <si>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</si>
  <si>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</si>
  <si>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</si>
  <si>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</si>
  <si>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</si>
  <si>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</si>
  <si>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</si>
  <si>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</si>
  <si>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</si>
  <si>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</si>
  <si>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</si>
  <si>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</si>
  <si>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</si>
  <si>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</si>
  <si>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</si>
  <si>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</si>
  <si>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</si>
  <si>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</si>
  <si>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</si>
  <si>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</si>
  <si>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</si>
  <si>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</si>
  <si>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</si>
  <si>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</si>
  <si>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</si>
  <si>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</si>
  <si>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</si>
  <si>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</si>
  <si>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</si>
  <si>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</si>
  <si>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</si>
  <si>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</si>
  <si>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</si>
  <si>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</si>
  <si>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</si>
  <si>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</si>
  <si>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</si>
  <si>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</si>
  <si>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</si>
  <si>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</si>
  <si>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</si>
  <si>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</si>
  <si>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</si>
  <si>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</si>
  <si>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</si>
  <si>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</si>
  <si>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</si>
  <si>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</si>
  <si>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</si>
  <si>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</si>
  <si>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</si>
  <si>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</si>
  <si>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</si>
  <si>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</si>
  <si>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</si>
  <si>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</si>
  <si>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</si>
  <si>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</si>
  <si>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</si>
  <si>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</si>
  <si>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</si>
  <si>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</si>
  <si>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</si>
  <si>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</si>
  <si>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</si>
  <si>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</si>
  <si>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</si>
  <si>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</si>
  <si>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Approved Layout &amp; Floor Plans, CC, RERA certificate, NOC</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</si>
  <si>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</si>
  <si>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</si>
  <si>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</si>
  <si>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</si>
  <si>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</si>
  <si>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</si>
  <si>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</si>
  <si>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</si>
  <si>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</si>
  <si>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</si>
  <si>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</si>
  <si>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</si>
  <si>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</si>
  <si>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</si>
  <si>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</si>
  <si>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</si>
  <si>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</si>
  <si>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</si>
  <si>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</si>
  <si>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</si>
  <si>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</si>
  <si>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</si>
  <si>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</si>
  <si>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</si>
  <si>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</si>
  <si>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</si>
  <si>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</si>
  <si>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</si>
  <si>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</si>
  <si>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</si>
  <si>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</si>
  <si>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</si>
  <si>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</si>
  <si>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</si>
  <si>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</si>
  <si>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</si>
  <si>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</si>
  <si>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</si>
  <si>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</si>
  <si>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</si>
  <si>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</si>
  <si>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</si>
  <si>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</si>
  <si>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</si>
  <si>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</si>
  <si>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</si>
  <si>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</si>
  <si>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</si>
  <si>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</si>
  <si>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</si>
  <si>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</si>
  <si>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</si>
  <si>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</si>
  <si>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</si>
  <si>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</si>
  <si>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</si>
  <si>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</si>
  <si>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</si>
  <si>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</si>
  <si>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</si>
  <si>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</si>
  <si>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</si>
  <si>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</si>
  <si>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</si>
  <si>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</si>
  <si>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</si>
  <si>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</si>
  <si>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</si>
  <si>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</si>
  <si>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</si>
  <si>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</si>
  <si>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</si>
  <si>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</si>
  <si>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</si>
  <si>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</si>
  <si>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</si>
  <si>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</si>
  <si>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</si>
  <si>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</si>
  <si>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</si>
  <si>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</si>
  <si>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</si>
  <si>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</si>
  <si>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</si>
  <si>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</si>
  <si>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 xml:space="preserve">CC Details
Valid Up to: </t>
  </si>
  <si>
    <t>Grand Total</t>
  </si>
  <si>
    <t xml:space="preserve">Dosti West County - Phase 5 - Dosti Olive - Wing B
</t>
  </si>
  <si>
    <t xml:space="preserve">Dosti Enterprises
</t>
  </si>
  <si>
    <t>Dosti Realty LTD</t>
  </si>
  <si>
    <t xml:space="preserve">Lawrency &amp; Mayo House 1st Floor,276 Dr.D.N.Road, Fort Mumbai Mh 400001
</t>
  </si>
  <si>
    <t>Dosti West County Phase 5 Dosti Olive Wing B, Survey No.16/10/A/1(Pt),
16/11/A(Pt), 16/12/1/A(Pt) &amp; 17/13(Pt), near Dosti Oak, Dosti West County Road,
Kolshet, Balkum, Thane West, Thane, Thane - 400608</t>
  </si>
  <si>
    <t>Dosti West County Phase 5 Dosti Olive Wing B, Bhiwandi - Wadpa Road, Old, Mumbai - Agra National Hwy, Balkum Pada, Thane West, Thane, Maharashtra 400608</t>
  </si>
  <si>
    <t xml:space="preserve">Thane Muncipal Cooperation (TMC)
</t>
  </si>
  <si>
    <t xml:space="preserve">P51700054037
</t>
  </si>
  <si>
    <t>Kotak Mahindra Bank Ltd
IFSC Code KKBK0000957</t>
  </si>
  <si>
    <t xml:space="preserve">251296.32
</t>
  </si>
  <si>
    <t>As per RERA Site Flats = 192 &amp; Shop = 7</t>
  </si>
  <si>
    <t xml:space="preserve">19.226164,72.993572
</t>
  </si>
  <si>
    <t xml:space="preserve">https://maps.app.goo.gl/nryoa7zgYBER7DTS9
</t>
  </si>
  <si>
    <t xml:space="preserve">Dosti Oak </t>
  </si>
  <si>
    <t xml:space="preserve">Building No. 11
</t>
  </si>
  <si>
    <t xml:space="preserve">Building No. 09
</t>
  </si>
  <si>
    <t>Building No. 17,18, 19</t>
  </si>
  <si>
    <t>30.00M. Wide Road</t>
  </si>
  <si>
    <t>Open Plot</t>
  </si>
  <si>
    <t>Dosti Realty Regional Office</t>
  </si>
  <si>
    <t xml:space="preserve">Dosti Pine &amp; Oak
</t>
  </si>
  <si>
    <t xml:space="preserve">Dosti West County Road 
</t>
  </si>
  <si>
    <t>B + Gr -Mezz. (Pt)/Stilt (Pt) + Podium + 1st to 33rd Floor</t>
  </si>
  <si>
    <t>B + Gr -Mezz.(Pt)/Stilt (Pt) + Podium + 1st to 33rd Floor</t>
  </si>
  <si>
    <t>S05/0006/08 TMC/TD-DP/TPS/4472/23</t>
  </si>
  <si>
    <t xml:space="preserve">26/09/2023
</t>
  </si>
  <si>
    <t xml:space="preserve">S05/0006/08/ TMC/TDD/4472/23
</t>
  </si>
  <si>
    <t xml:space="preserve">Building No. 10 = Basement + Gr -Mezz. (Pt) (Commercial)/Stilt (Pt) + Podium +
1st to 5th Floor
</t>
  </si>
  <si>
    <t xml:space="preserve">14/01/2019
</t>
  </si>
  <si>
    <t xml:space="preserve">Ministry of Environment, Forest and
Climate Change
IA/MH/MIS/67197/2017
Valid Up for: Survey No.16/10/A/1(Pt), 16/11/A(Pt), 16/12/1/A(Pt) &amp; 17/13(Pt)
</t>
  </si>
  <si>
    <t>Fire NOC Details</t>
  </si>
  <si>
    <t xml:space="preserve">TMC/CFO/M/HR/162/161
Valid Up to: B + Gr/Stilt + Mezzanine + Podium + 1st to 10th Floor (Height 39.40Mtrs)
</t>
  </si>
  <si>
    <t>Open Party Lawn, Jogging Track, Senior Citizen's Area, Reflexology pathway, Outdoor Activity Lawn, Swimming Pool, Kids Play Area, Seating Promenade, Basketball Court, Cricket pitch, Spa, Reading Room, Yoga/Aerobics Room, Indoor games, etc.</t>
  </si>
  <si>
    <t>Plot A1</t>
  </si>
  <si>
    <t>Dosti Olive Wing B</t>
  </si>
  <si>
    <t>Phase 5 (Buidling No. 10)</t>
  </si>
  <si>
    <t>Podium Floor For Parking</t>
  </si>
  <si>
    <t xml:space="preserve">1st to 5th, 7th to 10th, 12th to 15th, 17th to 20th, 22nd to 25th, 27th to 30th, 32nd &amp; 33rd Floor For
Residential
</t>
  </si>
  <si>
    <t>3BHK</t>
  </si>
  <si>
    <t>2BHK</t>
  </si>
  <si>
    <t>1.5BHK</t>
  </si>
  <si>
    <t xml:space="preserve">6th, 11th, 16th, 21st, 26th &amp; 31st Floor for Residential (Part Refuge Area)
</t>
  </si>
  <si>
    <t xml:space="preserve">Refuge Area
</t>
  </si>
  <si>
    <t>Basement Floor For Parking</t>
  </si>
  <si>
    <t>Ground Floor For Commercial, Entrance Lobby, Drivers Room, L.V. Room, 
Panel Room, Fire Control Room, Society office, Meter Room &amp; Parking</t>
  </si>
  <si>
    <t>Shop</t>
  </si>
  <si>
    <t>Unit Details, Nomenclature and Area Details (Commercial) Building No.10</t>
  </si>
  <si>
    <t>Unit Details, Nomenclature and Area Details (Flats) Building No.10</t>
  </si>
  <si>
    <t>Shops (Olive Wing B)</t>
  </si>
  <si>
    <t>Flats (Olive Wing B)</t>
  </si>
  <si>
    <t xml:space="preserve">We considered Gross carpet area = Net carpet + Balcony Area
</t>
  </si>
  <si>
    <t>Flats =  192    &amp; 
Shop = 7</t>
  </si>
  <si>
    <t>30 m</t>
  </si>
  <si>
    <t>900 M from Balkum Bus Stop</t>
  </si>
  <si>
    <t>About 1.3 KM from Narayana e -Techno School</t>
  </si>
  <si>
    <t xml:space="preserve">5.9 KM from Thane Railway Station
</t>
  </si>
  <si>
    <t>1. Approx. 3KM from Low Price Super Mart.
2. Approx. 3.5KM from R Mall.</t>
  </si>
  <si>
    <t>About 1.2 KM form Ashtavinayak Multispeciality Hospital</t>
  </si>
  <si>
    <t>Mr.Ajay Songare</t>
  </si>
  <si>
    <t>16000 to 16500</t>
  </si>
  <si>
    <t xml:space="preserve">Building No. 10 </t>
  </si>
  <si>
    <t>Mr. Suraj Khare</t>
  </si>
  <si>
    <t xml:space="preserve">Construction goes beyond approved CC permission. Please provide revised approved CC.
</t>
  </si>
  <si>
    <t>06/08/2025 at 12:05PM</t>
  </si>
  <si>
    <t xml:space="preserve">Construction work is in process at the time of Visit. (Internal Visit not allowed)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</si>
</sst>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u/>
      <sz val="11"/>
      <color theme="10"/>
      <name val="Calibri"/>
      <family val="2"/>
    </font>
    <font>
      <u/>
      <sz val="16"/>
      <color theme="10"/>
      <name val="Calibri"/>
      <family val="2"/>
    </font>
    <font>
      <b/>
      <sz val="16"/>
      <color rgb="FFFF0000"/>
      <name val="Times New Roman"/>
      <family val="1"/>
    </font>
  </fonts>
  <fills count="12">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 fillId="0" borderId="0"/>
    <xf numFmtId="0" fontId="22" fillId="0" borderId="0" applyNumberFormat="0" applyFill="0" applyBorder="0" applyAlignment="0" applyProtection="0"/>
  </cellStyleXfs>
  <cellXfs count="196">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0" fontId="2" fillId="0" borderId="1" xfId="0" applyFont="1" applyFill="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center" vertical="center" wrapText="1"/>
    </xf>
    <xf numFmtId="0" fontId="3" fillId="0" borderId="0" xfId="0" applyFont="1" applyAlignment="1">
      <alignment vertical="center"/>
    </xf>
    <xf numFmtId="0" fontId="2" fillId="0" borderId="1" xfId="0" applyFont="1" applyBorder="1" applyAlignment="1">
      <alignment horizontal="center" vertical="top" wrapText="1"/>
    </xf>
    <xf numFmtId="14" fontId="3" fillId="0" borderId="0" xfId="0" applyNumberFormat="1" applyFont="1" applyAlignment="1">
      <alignment vertical="top"/>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2" fillId="2" borderId="9"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9" fontId="2" fillId="4" borderId="7" xfId="1" applyNumberFormat="1" applyFont="1" applyFill="1" applyBorder="1" applyAlignment="1" applyProtection="1">
      <alignment horizontal="left" vertical="top" wrapText="1"/>
      <protection hidden="1"/>
    </xf>
    <xf numFmtId="9" fontId="2" fillId="4" borderId="4" xfId="1" applyNumberFormat="1" applyFont="1" applyFill="1" applyBorder="1" applyAlignment="1" applyProtection="1">
      <alignment horizontal="left" vertical="top" wrapText="1"/>
      <protection hidden="1"/>
    </xf>
    <xf numFmtId="9" fontId="2" fillId="4" borderId="9" xfId="1" applyNumberFormat="1" applyFont="1" applyFill="1" applyBorder="1" applyAlignment="1" applyProtection="1">
      <alignment horizontal="left" vertical="top" wrapText="1"/>
      <protection hidden="1"/>
    </xf>
    <xf numFmtId="9" fontId="2" fillId="4" borderId="12" xfId="1" applyNumberFormat="1" applyFont="1" applyFill="1" applyBorder="1" applyAlignment="1" applyProtection="1">
      <alignment horizontal="left" vertical="top" wrapText="1"/>
      <protection hidden="1"/>
    </xf>
    <xf numFmtId="9" fontId="2" fillId="4" borderId="8" xfId="1" applyNumberFormat="1" applyFont="1" applyFill="1" applyBorder="1" applyAlignment="1" applyProtection="1">
      <alignment horizontal="left" vertical="top" wrapText="1"/>
      <protection hidden="1"/>
    </xf>
    <xf numFmtId="9" fontId="2" fillId="4" borderId="13" xfId="1" applyNumberFormat="1" applyFont="1" applyFill="1" applyBorder="1" applyAlignment="1" applyProtection="1">
      <alignment horizontal="left" vertical="top" wrapText="1"/>
      <protection hidden="1"/>
    </xf>
    <xf numFmtId="9" fontId="2" fillId="4" borderId="2" xfId="1" applyNumberFormat="1" applyFont="1" applyFill="1" applyBorder="1" applyAlignment="1" applyProtection="1">
      <alignment horizontal="center" vertical="center" wrapText="1"/>
      <protection hidden="1"/>
    </xf>
    <xf numFmtId="9" fontId="2" fillId="4" borderId="5"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4" fillId="4" borderId="1" xfId="0" applyFont="1" applyFill="1" applyBorder="1" applyAlignment="1">
      <alignment horizontal="left" vertical="top" wrapText="1"/>
    </xf>
    <xf numFmtId="1" fontId="5" fillId="4" borderId="12" xfId="1" applyNumberFormat="1" applyFont="1" applyFill="1" applyBorder="1" applyAlignment="1">
      <alignment horizontal="center" vertical="top" wrapText="1"/>
    </xf>
    <xf numFmtId="1" fontId="5" fillId="4" borderId="8" xfId="1" applyNumberFormat="1" applyFont="1" applyFill="1" applyBorder="1" applyAlignment="1">
      <alignment horizontal="center" vertical="top" wrapText="1"/>
    </xf>
    <xf numFmtId="1" fontId="5" fillId="4" borderId="13" xfId="1" applyNumberFormat="1" applyFont="1" applyFill="1" applyBorder="1" applyAlignment="1">
      <alignment horizontal="center" vertical="top" wrapText="1"/>
    </xf>
    <xf numFmtId="1" fontId="5" fillId="4" borderId="3" xfId="1" applyNumberFormat="1" applyFont="1" applyFill="1" applyBorder="1" applyAlignment="1">
      <alignment horizontal="center"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4" fillId="0" borderId="1" xfId="0" applyFont="1" applyBorder="1" applyAlignment="1">
      <alignment horizontal="left" vertical="top" wrapText="1"/>
    </xf>
    <xf numFmtId="0" fontId="2" fillId="2" borderId="1" xfId="0" applyFont="1" applyFill="1" applyBorder="1" applyAlignment="1">
      <alignment horizontal="center" vertical="top"/>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left" vertical="top" wrapText="1"/>
    </xf>
    <xf numFmtId="0" fontId="2" fillId="0" borderId="5" xfId="0" applyFont="1" applyBorder="1" applyAlignment="1">
      <alignment horizontal="left" vertical="top"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23" fillId="4" borderId="1" xfId="2" applyFont="1" applyFill="1" applyBorder="1" applyAlignment="1">
      <alignment horizontal="left" vertical="top" wrapText="1"/>
    </xf>
    <xf numFmtId="0" fontId="9" fillId="4" borderId="2"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4" borderId="1" xfId="0" applyFont="1" applyFill="1" applyBorder="1" applyAlignment="1">
      <alignment horizontal="left" vertical="center" wrapText="1"/>
    </xf>
    <xf numFmtId="14" fontId="3" fillId="4" borderId="1" xfId="0" applyNumberFormat="1" applyFont="1" applyFill="1" applyBorder="1" applyAlignment="1">
      <alignment horizontal="left" vertical="top" wrapText="1"/>
    </xf>
    <xf numFmtId="0" fontId="3" fillId="4" borderId="1" xfId="0" applyFont="1" applyFill="1" applyBorder="1" applyAlignment="1">
      <alignment horizontal="left" vertical="top" wrapText="1"/>
    </xf>
    <xf numFmtId="0" fontId="4" fillId="4" borderId="0" xfId="0" applyFont="1" applyFill="1" applyBorder="1" applyAlignment="1">
      <alignment horizontal="center" vertical="top" wrapText="1"/>
    </xf>
    <xf numFmtId="0" fontId="2" fillId="4" borderId="1"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2" xfId="1" applyFont="1" applyFill="1" applyBorder="1" applyAlignment="1" applyProtection="1">
      <alignment horizontal="center" vertical="center" wrapText="1"/>
      <protection hidden="1"/>
    </xf>
    <xf numFmtId="0" fontId="4" fillId="4" borderId="5" xfId="1" applyFont="1" applyFill="1" applyBorder="1" applyAlignment="1" applyProtection="1">
      <alignment horizontal="center" vertical="center" wrapText="1"/>
      <protection hidden="1"/>
    </xf>
    <xf numFmtId="0" fontId="4" fillId="2" borderId="2" xfId="0" applyFont="1" applyFill="1" applyBorder="1" applyAlignment="1">
      <alignment horizontal="center" vertical="top"/>
    </xf>
    <xf numFmtId="0" fontId="4" fillId="2" borderId="5" xfId="0" applyFont="1" applyFill="1" applyBorder="1" applyAlignment="1">
      <alignment horizontal="center" vertical="top"/>
    </xf>
    <xf numFmtId="0" fontId="4" fillId="4" borderId="1" xfId="0" applyFont="1" applyFill="1" applyBorder="1" applyAlignment="1">
      <alignment horizontal="left" vertical="top"/>
    </xf>
    <xf numFmtId="14" fontId="9" fillId="4" borderId="1" xfId="0" applyNumberFormat="1" applyFont="1" applyFill="1" applyBorder="1" applyAlignment="1">
      <alignment horizontal="left" vertical="top" wrapText="1"/>
    </xf>
    <xf numFmtId="0" fontId="9" fillId="4" borderId="1" xfId="0" applyFont="1" applyFill="1" applyBorder="1" applyAlignment="1">
      <alignment horizontal="left" vertical="top" wrapText="1"/>
    </xf>
    <xf numFmtId="0" fontId="6" fillId="4" borderId="2" xfId="1" applyNumberFormat="1" applyFont="1" applyFill="1" applyBorder="1" applyAlignment="1">
      <alignment horizontal="center" vertical="top" wrapText="1"/>
    </xf>
    <xf numFmtId="0" fontId="6" fillId="4" borderId="3" xfId="1" applyNumberFormat="1" applyFont="1" applyFill="1" applyBorder="1" applyAlignment="1">
      <alignment horizontal="center" vertical="top" wrapText="1"/>
    </xf>
    <xf numFmtId="0" fontId="6" fillId="4" borderId="5" xfId="1" applyNumberFormat="1" applyFont="1" applyFill="1" applyBorder="1" applyAlignment="1">
      <alignment horizontal="center" vertical="top" wrapText="1"/>
    </xf>
    <xf numFmtId="0" fontId="4" fillId="0" borderId="3" xfId="0" applyFont="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24" fillId="0" borderId="0" xfId="0" applyFont="1" applyAlignment="1">
      <alignment vertical="top"/>
    </xf>
    <xf numFmtId="1" fontId="24" fillId="0" borderId="0" xfId="0" applyNumberFormat="1" applyFont="1" applyAlignment="1">
      <alignment horizontal="center" vertical="top"/>
    </xf>
    <xf numFmtId="1" fontId="5" fillId="4" borderId="7" xfId="1" applyNumberFormat="1" applyFont="1" applyFill="1" applyBorder="1" applyAlignment="1">
      <alignment horizontal="center" vertical="top" wrapText="1"/>
    </xf>
    <xf numFmtId="1" fontId="5" fillId="4" borderId="9" xfId="1" applyNumberFormat="1" applyFont="1" applyFill="1" applyBorder="1" applyAlignment="1">
      <alignment horizontal="center" vertical="top" wrapText="1"/>
    </xf>
    <xf numFmtId="0" fontId="2" fillId="2" borderId="12"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20" xfId="1" applyNumberFormat="1" applyFont="1" applyFill="1" applyBorder="1" applyAlignment="1">
      <alignment horizontal="center" vertical="top" wrapText="1"/>
    </xf>
    <xf numFmtId="1" fontId="5" fillId="4" borderId="21" xfId="1" applyNumberFormat="1" applyFont="1" applyFill="1" applyBorder="1" applyAlignment="1">
      <alignment horizontal="center" vertical="top" wrapText="1"/>
    </xf>
    <xf numFmtId="1" fontId="5" fillId="4" borderId="22" xfId="1" applyNumberFormat="1" applyFont="1" applyFill="1" applyBorder="1" applyAlignment="1">
      <alignment horizontal="center" vertical="top" wrapText="1"/>
    </xf>
    <xf numFmtId="1" fontId="5" fillId="4" borderId="23" xfId="1" applyNumberFormat="1" applyFont="1" applyFill="1" applyBorder="1" applyAlignment="1">
      <alignment horizontal="center" vertical="top" wrapText="1"/>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8</xdr:col>
      <xdr:colOff>639536</xdr:colOff>
      <xdr:row>89</xdr:row>
      <xdr:rowOff>394607</xdr:rowOff>
    </xdr:from>
    <xdr:to>
      <xdr:col>23</xdr:col>
      <xdr:colOff>121381</xdr:colOff>
      <xdr:row>100</xdr:row>
      <xdr:rowOff>78489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10142124" y="32521872"/>
          <a:ext cx="8581022" cy="3471470"/>
          <a:chOff x="10096500" y="31228393"/>
          <a:chExt cx="8666667" cy="3466667"/>
        </a:xfrm>
      </xdr:grpSpPr>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096500" y="31228393"/>
            <a:ext cx="8666667" cy="3466667"/>
          </a:xfrm>
          <a:prstGeom prst="rect">
            <a:avLst/>
          </a:prstGeom>
        </xdr:spPr>
      </xdr:pic>
      <xdr:sp macro="" textlink="">
        <xdr:nvSpPr>
          <xdr:cNvPr id="3" name="Rectangle 2">
            <a:extLst>
              <a:ext uri="{FF2B5EF4-FFF2-40B4-BE49-F238E27FC236}">
                <a16:creationId xmlns:a16="http://schemas.microsoft.com/office/drawing/2014/main" id="{00000000-0008-0000-0000-000003000000}"/>
              </a:ext>
            </a:extLst>
          </xdr:cNvPr>
          <xdr:cNvSpPr/>
        </xdr:nvSpPr>
        <xdr:spPr>
          <a:xfrm>
            <a:off x="12015108" y="33623250"/>
            <a:ext cx="353786" cy="20410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0</xdr:col>
      <xdr:colOff>190500</xdr:colOff>
      <xdr:row>230</xdr:row>
      <xdr:rowOff>-1</xdr:rowOff>
    </xdr:from>
    <xdr:to>
      <xdr:col>4</xdr:col>
      <xdr:colOff>909643</xdr:colOff>
      <xdr:row>250</xdr:row>
      <xdr:rowOff>229285</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190500" y="60791911"/>
          <a:ext cx="5425614" cy="5383992"/>
          <a:chOff x="589429" y="46164874"/>
          <a:chExt cx="5340555" cy="4355906"/>
        </a:xfrm>
      </xdr:grpSpPr>
      <xdr:grpSp>
        <xdr:nvGrpSpPr>
          <xdr:cNvPr id="13" name="Group 12">
            <a:extLst>
              <a:ext uri="{FF2B5EF4-FFF2-40B4-BE49-F238E27FC236}">
                <a16:creationId xmlns:a16="http://schemas.microsoft.com/office/drawing/2014/main" id="{00000000-0008-0000-0000-00000D000000}"/>
              </a:ext>
            </a:extLst>
          </xdr:cNvPr>
          <xdr:cNvGrpSpPr/>
        </xdr:nvGrpSpPr>
        <xdr:grpSpPr>
          <a:xfrm>
            <a:off x="589429" y="46164874"/>
            <a:ext cx="5340555" cy="4355906"/>
            <a:chOff x="714375" y="223837"/>
            <a:chExt cx="5341676" cy="4320000"/>
          </a:xfrm>
        </xdr:grpSpPr>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a:stretch>
              <a:fillRect/>
            </a:stretch>
          </xdr:blipFill>
          <xdr:spPr>
            <a:xfrm>
              <a:off x="714375" y="223837"/>
              <a:ext cx="5341676" cy="4320000"/>
            </a:xfrm>
            <a:prstGeom prst="rect">
              <a:avLst/>
            </a:prstGeom>
            <a:ln>
              <a:solidFill>
                <a:schemeClr val="tx1"/>
              </a:solidFill>
            </a:ln>
          </xdr:spPr>
        </xdr:pic>
        <xdr:sp macro="" textlink="">
          <xdr:nvSpPr>
            <xdr:cNvPr id="16" name="Rectangle 15">
              <a:extLst>
                <a:ext uri="{FF2B5EF4-FFF2-40B4-BE49-F238E27FC236}">
                  <a16:creationId xmlns:a16="http://schemas.microsoft.com/office/drawing/2014/main" id="{00000000-0008-0000-0000-000010000000}"/>
                </a:ext>
              </a:extLst>
            </xdr:cNvPr>
            <xdr:cNvSpPr/>
          </xdr:nvSpPr>
          <xdr:spPr>
            <a:xfrm>
              <a:off x="1898650" y="1831387"/>
              <a:ext cx="660400" cy="98325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2447365" y="48204344"/>
            <a:ext cx="126983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1">
                <a:solidFill>
                  <a:srgbClr val="FF0000"/>
                </a:solidFill>
              </a:rPr>
              <a:t>Building No 10</a:t>
            </a:r>
          </a:p>
        </xdr:txBody>
      </xdr:sp>
    </xdr:grpSp>
    <xdr:clientData/>
  </xdr:twoCellAnchor>
  <xdr:twoCellAnchor>
    <xdr:from>
      <xdr:col>1</xdr:col>
      <xdr:colOff>721178</xdr:colOff>
      <xdr:row>278</xdr:row>
      <xdr:rowOff>190500</xdr:rowOff>
    </xdr:from>
    <xdr:to>
      <xdr:col>6</xdr:col>
      <xdr:colOff>246529</xdr:colOff>
      <xdr:row>307</xdr:row>
      <xdr:rowOff>112059</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1897796" y="73353706"/>
          <a:ext cx="5408439" cy="7395882"/>
          <a:chOff x="1897796" y="71762471"/>
          <a:chExt cx="5556516" cy="8516150"/>
        </a:xfrm>
      </xdr:grpSpPr>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675274" y="71762471"/>
            <a:ext cx="4263127" cy="3947192"/>
          </a:xfrm>
          <a:prstGeom prst="rect">
            <a:avLst/>
          </a:prstGeom>
          <a:ln>
            <a:solidFill>
              <a:schemeClr val="tx1"/>
            </a:solidFill>
          </a:ln>
        </xdr:spPr>
      </xdr:pic>
      <xdr:grpSp>
        <xdr:nvGrpSpPr>
          <xdr:cNvPr id="23" name="Group 22">
            <a:extLst>
              <a:ext uri="{FF2B5EF4-FFF2-40B4-BE49-F238E27FC236}">
                <a16:creationId xmlns:a16="http://schemas.microsoft.com/office/drawing/2014/main" id="{00000000-0008-0000-0000-000017000000}"/>
              </a:ext>
            </a:extLst>
          </xdr:cNvPr>
          <xdr:cNvGrpSpPr/>
        </xdr:nvGrpSpPr>
        <xdr:grpSpPr>
          <a:xfrm>
            <a:off x="1897796" y="75872628"/>
            <a:ext cx="5556516" cy="4405993"/>
            <a:chOff x="1904999" y="80472643"/>
            <a:chExt cx="5524500" cy="4419600"/>
          </a:xfrm>
        </xdr:grpSpPr>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4"/>
            <a:stretch>
              <a:fillRect/>
            </a:stretch>
          </xdr:blipFill>
          <xdr:spPr>
            <a:xfrm>
              <a:off x="1904999" y="80472643"/>
              <a:ext cx="5524500" cy="4419600"/>
            </a:xfrm>
            <a:prstGeom prst="rect">
              <a:avLst/>
            </a:prstGeom>
            <a:ln>
              <a:solidFill>
                <a:schemeClr val="tx1"/>
              </a:solidFill>
            </a:ln>
          </xdr:spPr>
        </xdr:pic>
        <xdr:sp macro="" textlink="">
          <xdr:nvSpPr>
            <xdr:cNvPr id="22" name="Rectangle 21">
              <a:extLst>
                <a:ext uri="{FF2B5EF4-FFF2-40B4-BE49-F238E27FC236}">
                  <a16:creationId xmlns:a16="http://schemas.microsoft.com/office/drawing/2014/main" id="{00000000-0008-0000-0000-000016000000}"/>
                </a:ext>
              </a:extLst>
            </xdr:cNvPr>
            <xdr:cNvSpPr/>
          </xdr:nvSpPr>
          <xdr:spPr>
            <a:xfrm rot="2284290">
              <a:off x="3000714" y="82729325"/>
              <a:ext cx="849697" cy="658783"/>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grpSp>
    <xdr:clientData/>
  </xdr:twoCellAnchor>
  <xdr:twoCellAnchor editAs="oneCell">
    <xdr:from>
      <xdr:col>4</xdr:col>
      <xdr:colOff>1125852</xdr:colOff>
      <xdr:row>230</xdr:row>
      <xdr:rowOff>2045</xdr:rowOff>
    </xdr:from>
    <xdr:to>
      <xdr:col>7</xdr:col>
      <xdr:colOff>855209</xdr:colOff>
      <xdr:row>251</xdr:row>
      <xdr:rowOff>151671</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5"/>
        <a:stretch>
          <a:fillRect/>
        </a:stretch>
      </xdr:blipFill>
      <xdr:spPr>
        <a:xfrm rot="5400000">
          <a:off x="4637271" y="63342519"/>
          <a:ext cx="5578875" cy="3240000"/>
        </a:xfrm>
        <a:prstGeom prst="rect">
          <a:avLst/>
        </a:prstGeom>
        <a:ln>
          <a:solidFill>
            <a:schemeClr val="tx1"/>
          </a:solidFill>
        </a:ln>
      </xdr:spPr>
    </xdr:pic>
    <xdr:clientData/>
  </xdr:twoCellAnchor>
  <xdr:twoCellAnchor>
    <xdr:from>
      <xdr:col>8</xdr:col>
      <xdr:colOff>862853</xdr:colOff>
      <xdr:row>185</xdr:row>
      <xdr:rowOff>190500</xdr:rowOff>
    </xdr:from>
    <xdr:to>
      <xdr:col>23</xdr:col>
      <xdr:colOff>425824</xdr:colOff>
      <xdr:row>214</xdr:row>
      <xdr:rowOff>67235</xdr:rowOff>
    </xdr:to>
    <xdr:grpSp>
      <xdr:nvGrpSpPr>
        <xdr:cNvPr id="20" name="Group 19">
          <a:extLst>
            <a:ext uri="{FF2B5EF4-FFF2-40B4-BE49-F238E27FC236}">
              <a16:creationId xmlns:a16="http://schemas.microsoft.com/office/drawing/2014/main" id="{00000000-0008-0000-0000-000014000000}"/>
            </a:ext>
          </a:extLst>
        </xdr:cNvPr>
        <xdr:cNvGrpSpPr/>
      </xdr:nvGrpSpPr>
      <xdr:grpSpPr>
        <a:xfrm>
          <a:off x="10365441" y="49384324"/>
          <a:ext cx="8662148" cy="7351058"/>
          <a:chOff x="354867" y="448572"/>
          <a:chExt cx="5451925" cy="4813475"/>
        </a:xfrm>
      </xdr:grpSpPr>
      <xdr:grpSp>
        <xdr:nvGrpSpPr>
          <xdr:cNvPr id="28" name="Group 27">
            <a:extLst>
              <a:ext uri="{FF2B5EF4-FFF2-40B4-BE49-F238E27FC236}">
                <a16:creationId xmlns:a16="http://schemas.microsoft.com/office/drawing/2014/main" id="{00000000-0008-0000-0000-00001C000000}"/>
              </a:ext>
            </a:extLst>
          </xdr:cNvPr>
          <xdr:cNvGrpSpPr/>
        </xdr:nvGrpSpPr>
        <xdr:grpSpPr>
          <a:xfrm>
            <a:off x="354867" y="448572"/>
            <a:ext cx="5451925" cy="2520000"/>
            <a:chOff x="354867" y="448572"/>
            <a:chExt cx="5451925" cy="2520000"/>
          </a:xfrm>
        </xdr:grpSpPr>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54867" y="448572"/>
              <a:ext cx="1888031" cy="2520000"/>
            </a:xfrm>
            <a:prstGeom prst="rect">
              <a:avLst/>
            </a:prstGeom>
            <a:ln>
              <a:solidFill>
                <a:schemeClr val="tx1"/>
              </a:solidFill>
            </a:ln>
          </xdr:spPr>
        </xdr:pic>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449903" y="448572"/>
              <a:ext cx="3356889" cy="2520000"/>
            </a:xfrm>
            <a:prstGeom prst="rect">
              <a:avLst/>
            </a:prstGeom>
            <a:ln>
              <a:solidFill>
                <a:schemeClr val="tx1"/>
              </a:solidFill>
            </a:ln>
          </xdr:spPr>
        </xdr:pic>
      </xdr:grpSp>
      <xdr:grpSp>
        <xdr:nvGrpSpPr>
          <xdr:cNvPr id="29" name="Group 28">
            <a:extLst>
              <a:ext uri="{FF2B5EF4-FFF2-40B4-BE49-F238E27FC236}">
                <a16:creationId xmlns:a16="http://schemas.microsoft.com/office/drawing/2014/main" id="{00000000-0008-0000-0000-00001D000000}"/>
              </a:ext>
            </a:extLst>
          </xdr:cNvPr>
          <xdr:cNvGrpSpPr/>
        </xdr:nvGrpSpPr>
        <xdr:grpSpPr>
          <a:xfrm>
            <a:off x="729504" y="3102047"/>
            <a:ext cx="4702650" cy="2160000"/>
            <a:chOff x="659527" y="3205564"/>
            <a:chExt cx="4702650" cy="2160000"/>
          </a:xfrm>
        </xdr:grpSpPr>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659527" y="3205564"/>
              <a:ext cx="2877333" cy="2160000"/>
            </a:xfrm>
            <a:prstGeom prst="rect">
              <a:avLst/>
            </a:prstGeom>
            <a:ln>
              <a:solidFill>
                <a:schemeClr val="tx1"/>
              </a:solidFill>
            </a:ln>
          </xdr:spPr>
        </xdr:pic>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743865" y="3205564"/>
              <a:ext cx="1618312" cy="2160000"/>
            </a:xfrm>
            <a:prstGeom prst="rect">
              <a:avLst/>
            </a:prstGeom>
            <a:ln>
              <a:solidFill>
                <a:schemeClr val="tx1"/>
              </a:solidFill>
            </a:ln>
          </xdr:spPr>
        </xdr:pic>
      </xdr:grpSp>
    </xdr:grpSp>
    <xdr:clientData/>
  </xdr:twoCellAnchor>
  <xdr:twoCellAnchor>
    <xdr:from>
      <xdr:col>8</xdr:col>
      <xdr:colOff>459444</xdr:colOff>
      <xdr:row>186</xdr:row>
      <xdr:rowOff>11204</xdr:rowOff>
    </xdr:from>
    <xdr:to>
      <xdr:col>22</xdr:col>
      <xdr:colOff>302561</xdr:colOff>
      <xdr:row>222</xdr:row>
      <xdr:rowOff>190497</xdr:rowOff>
    </xdr:to>
    <xdr:grpSp>
      <xdr:nvGrpSpPr>
        <xdr:cNvPr id="35" name="Group 34">
          <a:extLst>
            <a:ext uri="{FF2B5EF4-FFF2-40B4-BE49-F238E27FC236}">
              <a16:creationId xmlns:a16="http://schemas.microsoft.com/office/drawing/2014/main" id="{F8221F9D-6262-4750-B84C-2DA6840FB1C4}"/>
            </a:ext>
          </a:extLst>
        </xdr:cNvPr>
        <xdr:cNvGrpSpPr/>
      </xdr:nvGrpSpPr>
      <xdr:grpSpPr>
        <a:xfrm>
          <a:off x="9962032" y="49462763"/>
          <a:ext cx="8337176" cy="9457763"/>
          <a:chOff x="1031717" y="233082"/>
          <a:chExt cx="4661053" cy="7743748"/>
        </a:xfrm>
      </xdr:grpSpPr>
      <xdr:pic>
        <xdr:nvPicPr>
          <xdr:cNvPr id="36" name="Picture 35">
            <a:extLst>
              <a:ext uri="{FF2B5EF4-FFF2-40B4-BE49-F238E27FC236}">
                <a16:creationId xmlns:a16="http://schemas.microsoft.com/office/drawing/2014/main" id="{7723B0A9-1775-43CB-91A0-1B02E21E17BB}"/>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240702" y="233082"/>
            <a:ext cx="4045781" cy="5400000"/>
          </a:xfrm>
          <a:prstGeom prst="rect">
            <a:avLst/>
          </a:prstGeom>
          <a:ln>
            <a:solidFill>
              <a:schemeClr val="tx1"/>
            </a:solidFill>
          </a:ln>
        </xdr:spPr>
      </xdr:pic>
      <xdr:pic>
        <xdr:nvPicPr>
          <xdr:cNvPr id="37" name="Picture 36">
            <a:extLst>
              <a:ext uri="{FF2B5EF4-FFF2-40B4-BE49-F238E27FC236}">
                <a16:creationId xmlns:a16="http://schemas.microsoft.com/office/drawing/2014/main" id="{0D8198E5-E6E5-4E20-A180-C851887F2D8E}"/>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31717" y="5816830"/>
            <a:ext cx="2877333" cy="2160000"/>
          </a:xfrm>
          <a:prstGeom prst="rect">
            <a:avLst/>
          </a:prstGeom>
          <a:ln>
            <a:solidFill>
              <a:schemeClr val="tx1"/>
            </a:solidFill>
          </a:ln>
        </xdr:spPr>
      </xdr:pic>
      <xdr:pic>
        <xdr:nvPicPr>
          <xdr:cNvPr id="38" name="Picture 37">
            <a:extLst>
              <a:ext uri="{FF2B5EF4-FFF2-40B4-BE49-F238E27FC236}">
                <a16:creationId xmlns:a16="http://schemas.microsoft.com/office/drawing/2014/main" id="{64E17356-7557-4AD0-9293-EA1CDDF1CA6A}"/>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074458" y="5798901"/>
            <a:ext cx="1618312" cy="2160000"/>
          </a:xfrm>
          <a:prstGeom prst="rect">
            <a:avLst/>
          </a:prstGeom>
          <a:ln>
            <a:solidFill>
              <a:schemeClr val="tx1"/>
            </a:solidFill>
          </a:ln>
        </xdr:spPr>
      </xdr:pic>
    </xdr:grpSp>
    <xdr:clientData/>
  </xdr:twoCellAnchor>
  <xdr:twoCellAnchor>
    <xdr:from>
      <xdr:col>0</xdr:col>
      <xdr:colOff>212912</xdr:colOff>
      <xdr:row>187</xdr:row>
      <xdr:rowOff>11204</xdr:rowOff>
    </xdr:from>
    <xdr:to>
      <xdr:col>7</xdr:col>
      <xdr:colOff>672352</xdr:colOff>
      <xdr:row>224</xdr:row>
      <xdr:rowOff>112059</xdr:rowOff>
    </xdr:to>
    <xdr:grpSp>
      <xdr:nvGrpSpPr>
        <xdr:cNvPr id="27" name="Group 26">
          <a:extLst>
            <a:ext uri="{FF2B5EF4-FFF2-40B4-BE49-F238E27FC236}">
              <a16:creationId xmlns:a16="http://schemas.microsoft.com/office/drawing/2014/main" id="{3ECAFD83-2D81-4947-8977-43499D6E5723}"/>
            </a:ext>
          </a:extLst>
        </xdr:cNvPr>
        <xdr:cNvGrpSpPr/>
      </xdr:nvGrpSpPr>
      <xdr:grpSpPr>
        <a:xfrm>
          <a:off x="212912" y="49720498"/>
          <a:ext cx="8695764" cy="9637061"/>
          <a:chOff x="380089" y="347381"/>
          <a:chExt cx="5928911" cy="6159238"/>
        </a:xfrm>
      </xdr:grpSpPr>
      <xdr:grpSp>
        <xdr:nvGrpSpPr>
          <xdr:cNvPr id="32" name="Group 31">
            <a:extLst>
              <a:ext uri="{FF2B5EF4-FFF2-40B4-BE49-F238E27FC236}">
                <a16:creationId xmlns:a16="http://schemas.microsoft.com/office/drawing/2014/main" id="{8B88958A-FF40-4ADE-A0BE-DDC85E70EB21}"/>
              </a:ext>
            </a:extLst>
          </xdr:cNvPr>
          <xdr:cNvGrpSpPr/>
        </xdr:nvGrpSpPr>
        <xdr:grpSpPr>
          <a:xfrm>
            <a:off x="380089" y="347381"/>
            <a:ext cx="5928911" cy="6159238"/>
            <a:chOff x="380089" y="347381"/>
            <a:chExt cx="5928911" cy="6159238"/>
          </a:xfrm>
        </xdr:grpSpPr>
        <xdr:pic>
          <xdr:nvPicPr>
            <xdr:cNvPr id="41" name="Picture 40">
              <a:extLst>
                <a:ext uri="{FF2B5EF4-FFF2-40B4-BE49-F238E27FC236}">
                  <a16:creationId xmlns:a16="http://schemas.microsoft.com/office/drawing/2014/main" id="{E6101267-1366-40AF-AB17-9E07D233BB8F}"/>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429000" y="347381"/>
              <a:ext cx="2880000" cy="3844005"/>
            </a:xfrm>
            <a:prstGeom prst="rect">
              <a:avLst/>
            </a:prstGeom>
            <a:ln>
              <a:solidFill>
                <a:schemeClr val="tx1"/>
              </a:solidFill>
            </a:ln>
          </xdr:spPr>
        </xdr:pic>
        <xdr:pic>
          <xdr:nvPicPr>
            <xdr:cNvPr id="42" name="Picture 41">
              <a:extLst>
                <a:ext uri="{FF2B5EF4-FFF2-40B4-BE49-F238E27FC236}">
                  <a16:creationId xmlns:a16="http://schemas.microsoft.com/office/drawing/2014/main" id="{E89CF03C-C26B-4A29-9B05-F83CD88EDC7A}"/>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80089" y="347381"/>
              <a:ext cx="2880000" cy="3844004"/>
            </a:xfrm>
            <a:prstGeom prst="rect">
              <a:avLst/>
            </a:prstGeom>
            <a:ln>
              <a:solidFill>
                <a:schemeClr val="tx1"/>
              </a:solidFill>
            </a:ln>
          </xdr:spPr>
        </xdr:pic>
        <xdr:pic>
          <xdr:nvPicPr>
            <xdr:cNvPr id="43" name="Picture 42">
              <a:extLst>
                <a:ext uri="{FF2B5EF4-FFF2-40B4-BE49-F238E27FC236}">
                  <a16:creationId xmlns:a16="http://schemas.microsoft.com/office/drawing/2014/main" id="{B8F32DCD-196C-47D2-B13F-16F184B59985}"/>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866851" y="4346619"/>
              <a:ext cx="2877333" cy="2160000"/>
            </a:xfrm>
            <a:prstGeom prst="rect">
              <a:avLst/>
            </a:prstGeom>
            <a:ln>
              <a:solidFill>
                <a:schemeClr val="tx1"/>
              </a:solidFill>
            </a:ln>
          </xdr:spPr>
        </xdr:pic>
        <xdr:pic>
          <xdr:nvPicPr>
            <xdr:cNvPr id="44" name="Picture 43">
              <a:extLst>
                <a:ext uri="{FF2B5EF4-FFF2-40B4-BE49-F238E27FC236}">
                  <a16:creationId xmlns:a16="http://schemas.microsoft.com/office/drawing/2014/main" id="{314DA48A-4A4C-49B5-8FE9-3CA9157BED41}"/>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913095" y="4346619"/>
              <a:ext cx="1618312" cy="2160000"/>
            </a:xfrm>
            <a:prstGeom prst="rect">
              <a:avLst/>
            </a:prstGeom>
            <a:ln>
              <a:solidFill>
                <a:schemeClr val="tx1"/>
              </a:solidFill>
            </a:ln>
          </xdr:spPr>
        </xdr:pic>
      </xdr:grpSp>
      <xdr:sp macro="" textlink="">
        <xdr:nvSpPr>
          <xdr:cNvPr id="39" name="TextBox 127">
            <a:extLst>
              <a:ext uri="{FF2B5EF4-FFF2-40B4-BE49-F238E27FC236}">
                <a16:creationId xmlns:a16="http://schemas.microsoft.com/office/drawing/2014/main" id="{FB4A8D2D-10D7-471A-807F-D576F27DFA08}"/>
              </a:ext>
            </a:extLst>
          </xdr:cNvPr>
          <xdr:cNvSpPr txBox="1"/>
        </xdr:nvSpPr>
        <xdr:spPr>
          <a:xfrm rot="20474039">
            <a:off x="953115" y="347381"/>
            <a:ext cx="1641796"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Bldg No. 10</a:t>
            </a:r>
            <a:endParaRPr lang="en-IN" sz="2400" b="1">
              <a:solidFill>
                <a:srgbClr val="FF0000"/>
              </a:solidFill>
            </a:endParaRPr>
          </a:p>
        </xdr:txBody>
      </xdr:sp>
      <xdr:sp macro="" textlink="">
        <xdr:nvSpPr>
          <xdr:cNvPr id="40" name="TextBox 129">
            <a:extLst>
              <a:ext uri="{FF2B5EF4-FFF2-40B4-BE49-F238E27FC236}">
                <a16:creationId xmlns:a16="http://schemas.microsoft.com/office/drawing/2014/main" id="{7F870DC0-7D66-40AF-97E3-991D0D8A4148}"/>
              </a:ext>
            </a:extLst>
          </xdr:cNvPr>
          <xdr:cNvSpPr txBox="1"/>
        </xdr:nvSpPr>
        <xdr:spPr>
          <a:xfrm rot="20263928">
            <a:off x="4088824" y="457976"/>
            <a:ext cx="1486304"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Bldg No. 9</a:t>
            </a:r>
            <a:endParaRPr lang="en-IN" sz="2400" b="1">
              <a:solidFill>
                <a:srgbClr val="FF0000"/>
              </a:solidFill>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nryoa7zgYBER7DTS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19"/>
  <sheetViews>
    <sheetView tabSelected="1" view="pageBreakPreview" topLeftCell="A173" zoomScale="85" zoomScaleNormal="85" zoomScaleSheetLayoutView="85" zoomScalePageLayoutView="70" workbookViewId="0">
      <selection activeCell="I179" sqref="I179"/>
    </sheetView>
  </sheetViews>
  <sheetFormatPr defaultColWidth="9.140625" defaultRowHeight="17.100000000000001" customHeight="1" x14ac:dyDescent="0.25"/>
  <cols>
    <col min="1" max="7" width="17.5703125" style="1" customWidth="1"/>
    <col min="8" max="8" width="19"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2" ht="20.25" x14ac:dyDescent="0.25">
      <c r="A1" s="85" t="s">
        <v>38</v>
      </c>
      <c r="B1" s="86"/>
      <c r="C1" s="86"/>
      <c r="D1" s="86"/>
      <c r="E1" s="86"/>
      <c r="F1" s="86"/>
      <c r="G1" s="86"/>
      <c r="H1" s="87"/>
    </row>
    <row r="2" spans="1:12" ht="42" customHeight="1" x14ac:dyDescent="0.25">
      <c r="A2" s="109" t="s">
        <v>10</v>
      </c>
      <c r="B2" s="109"/>
      <c r="C2" s="99" t="s">
        <v>87</v>
      </c>
      <c r="D2" s="99"/>
      <c r="E2" s="109" t="s">
        <v>12</v>
      </c>
      <c r="F2" s="109"/>
      <c r="G2" s="136">
        <v>45874</v>
      </c>
      <c r="H2" s="99"/>
      <c r="J2" s="144"/>
      <c r="K2" s="144"/>
    </row>
    <row r="3" spans="1:12" ht="66" customHeight="1" x14ac:dyDescent="0.25">
      <c r="A3" s="109" t="s">
        <v>39</v>
      </c>
      <c r="B3" s="109"/>
      <c r="C3" s="145" t="s">
        <v>251</v>
      </c>
      <c r="D3" s="145"/>
      <c r="E3" s="140" t="s">
        <v>162</v>
      </c>
      <c r="F3" s="140"/>
      <c r="G3" s="142" t="s">
        <v>314</v>
      </c>
      <c r="H3" s="143"/>
      <c r="I3" s="70">
        <v>45875</v>
      </c>
    </row>
    <row r="4" spans="1:12" ht="43.5" customHeight="1" x14ac:dyDescent="0.25">
      <c r="A4" s="140" t="s">
        <v>36</v>
      </c>
      <c r="B4" s="140"/>
      <c r="C4" s="99" t="s">
        <v>151</v>
      </c>
      <c r="D4" s="99"/>
      <c r="E4" s="109" t="s">
        <v>33</v>
      </c>
      <c r="F4" s="109"/>
      <c r="G4" s="99" t="str">
        <f ca="1">TEXT(TODAY(),"DD/MM/YYYY")</f>
        <v>07/08/2025</v>
      </c>
      <c r="H4" s="99"/>
      <c r="I4" s="1">
        <f>I3-K4</f>
        <v>84</v>
      </c>
      <c r="K4" s="166">
        <v>45791</v>
      </c>
      <c r="L4" s="167"/>
    </row>
    <row r="5" spans="1:12" ht="20.25" x14ac:dyDescent="0.25">
      <c r="A5" s="110" t="s">
        <v>40</v>
      </c>
      <c r="B5" s="110"/>
      <c r="C5" s="110"/>
      <c r="D5" s="110"/>
      <c r="E5" s="110"/>
      <c r="F5" s="110"/>
      <c r="G5" s="110"/>
      <c r="H5" s="110"/>
    </row>
    <row r="6" spans="1:12" ht="43.5" customHeight="1" x14ac:dyDescent="0.25">
      <c r="A6" s="109" t="s">
        <v>29</v>
      </c>
      <c r="B6" s="109"/>
      <c r="C6" s="99" t="s">
        <v>93</v>
      </c>
      <c r="D6" s="99"/>
      <c r="E6" s="109" t="s">
        <v>35</v>
      </c>
      <c r="F6" s="109"/>
      <c r="G6" s="99" t="s">
        <v>312</v>
      </c>
      <c r="H6" s="99"/>
    </row>
    <row r="7" spans="1:12" ht="23.25" customHeight="1" x14ac:dyDescent="0.25">
      <c r="A7" s="109" t="s">
        <v>42</v>
      </c>
      <c r="B7" s="109"/>
      <c r="C7" s="99" t="s">
        <v>252</v>
      </c>
      <c r="D7" s="99"/>
      <c r="E7" s="109" t="s">
        <v>43</v>
      </c>
      <c r="F7" s="109"/>
      <c r="G7" s="99" t="s">
        <v>253</v>
      </c>
      <c r="H7" s="99"/>
    </row>
    <row r="8" spans="1:12" ht="20.25" x14ac:dyDescent="0.25">
      <c r="A8" s="109" t="s">
        <v>44</v>
      </c>
      <c r="B8" s="109"/>
      <c r="C8" s="99" t="s">
        <v>254</v>
      </c>
      <c r="D8" s="99"/>
      <c r="E8" s="99"/>
      <c r="F8" s="99"/>
      <c r="G8" s="99"/>
      <c r="H8" s="99"/>
    </row>
    <row r="9" spans="1:12" ht="46.5" customHeight="1" x14ac:dyDescent="0.25">
      <c r="A9" s="114" t="s">
        <v>153</v>
      </c>
      <c r="B9" s="37" t="s">
        <v>41</v>
      </c>
      <c r="C9" s="99" t="s">
        <v>256</v>
      </c>
      <c r="D9" s="99"/>
      <c r="E9" s="99"/>
      <c r="F9" s="99"/>
      <c r="G9" s="99"/>
      <c r="H9" s="99"/>
    </row>
    <row r="10" spans="1:12" ht="61.5" customHeight="1" x14ac:dyDescent="0.25">
      <c r="A10" s="114"/>
      <c r="B10" s="37" t="s">
        <v>11</v>
      </c>
      <c r="C10" s="99" t="s">
        <v>255</v>
      </c>
      <c r="D10" s="99"/>
      <c r="E10" s="99"/>
      <c r="F10" s="99"/>
      <c r="G10" s="99"/>
      <c r="H10" s="99"/>
    </row>
    <row r="11" spans="1:12" ht="60.75" customHeight="1" x14ac:dyDescent="0.25">
      <c r="A11" s="114"/>
      <c r="B11" s="37" t="s">
        <v>5</v>
      </c>
      <c r="C11" s="99" t="s">
        <v>255</v>
      </c>
      <c r="D11" s="99"/>
      <c r="E11" s="99"/>
      <c r="F11" s="99"/>
      <c r="G11" s="99"/>
      <c r="H11" s="99"/>
    </row>
    <row r="12" spans="1:12" ht="40.5" customHeight="1" x14ac:dyDescent="0.25">
      <c r="A12" s="140" t="s">
        <v>34</v>
      </c>
      <c r="B12" s="140"/>
      <c r="C12" s="99" t="s">
        <v>163</v>
      </c>
      <c r="D12" s="99"/>
      <c r="E12" s="99"/>
      <c r="F12" s="99"/>
      <c r="G12" s="99"/>
      <c r="H12" s="99"/>
    </row>
    <row r="13" spans="1:12" ht="20.100000000000001" customHeight="1" x14ac:dyDescent="0.25">
      <c r="A13" s="110" t="s">
        <v>45</v>
      </c>
      <c r="B13" s="110"/>
      <c r="C13" s="110"/>
      <c r="D13" s="110"/>
      <c r="E13" s="110"/>
      <c r="F13" s="110"/>
      <c r="G13" s="110"/>
      <c r="H13" s="110"/>
    </row>
    <row r="14" spans="1:12" ht="41.25" customHeight="1" x14ac:dyDescent="0.25">
      <c r="A14" s="109" t="s">
        <v>27</v>
      </c>
      <c r="B14" s="109" t="s">
        <v>4</v>
      </c>
      <c r="C14" s="99" t="s">
        <v>88</v>
      </c>
      <c r="D14" s="99"/>
      <c r="E14" s="109" t="s">
        <v>46</v>
      </c>
      <c r="F14" s="109" t="s">
        <v>4</v>
      </c>
      <c r="G14" s="99" t="s">
        <v>257</v>
      </c>
      <c r="H14" s="99"/>
    </row>
    <row r="15" spans="1:12" ht="41.25" customHeight="1" x14ac:dyDescent="0.25">
      <c r="A15" s="109" t="s">
        <v>47</v>
      </c>
      <c r="B15" s="109" t="s">
        <v>4</v>
      </c>
      <c r="C15" s="99" t="s">
        <v>258</v>
      </c>
      <c r="D15" s="99"/>
      <c r="E15" s="109" t="s">
        <v>48</v>
      </c>
      <c r="F15" s="109" t="s">
        <v>4</v>
      </c>
      <c r="G15" s="136">
        <v>47026</v>
      </c>
      <c r="H15" s="99"/>
    </row>
    <row r="16" spans="1:12" ht="41.25" customHeight="1" x14ac:dyDescent="0.25">
      <c r="A16" s="109" t="s">
        <v>49</v>
      </c>
      <c r="B16" s="109" t="s">
        <v>4</v>
      </c>
      <c r="C16" s="136">
        <v>45287</v>
      </c>
      <c r="D16" s="99"/>
      <c r="E16" s="109" t="s">
        <v>50</v>
      </c>
      <c r="F16" s="109" t="s">
        <v>4</v>
      </c>
      <c r="G16" s="135">
        <v>45287</v>
      </c>
      <c r="H16" s="99"/>
    </row>
    <row r="17" spans="1:8" ht="41.25" customHeight="1" x14ac:dyDescent="0.25">
      <c r="A17" s="109" t="s">
        <v>51</v>
      </c>
      <c r="B17" s="109" t="s">
        <v>4</v>
      </c>
      <c r="C17" s="136">
        <v>47026</v>
      </c>
      <c r="D17" s="99"/>
      <c r="E17" s="109" t="s">
        <v>52</v>
      </c>
      <c r="F17" s="109" t="s">
        <v>4</v>
      </c>
      <c r="G17" s="99" t="s">
        <v>259</v>
      </c>
      <c r="H17" s="99"/>
    </row>
    <row r="18" spans="1:8" ht="41.25" customHeight="1" x14ac:dyDescent="0.25">
      <c r="A18" s="109" t="s">
        <v>53</v>
      </c>
      <c r="B18" s="109" t="s">
        <v>4</v>
      </c>
      <c r="C18" s="99"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99"/>
      <c r="E18" s="109" t="s">
        <v>96</v>
      </c>
      <c r="F18" s="109" t="s">
        <v>4</v>
      </c>
      <c r="G18" s="99">
        <v>54750</v>
      </c>
      <c r="H18" s="99"/>
    </row>
    <row r="19" spans="1:8" ht="41.25" customHeight="1" x14ac:dyDescent="0.25">
      <c r="A19" s="109" t="s">
        <v>54</v>
      </c>
      <c r="B19" s="109" t="s">
        <v>4</v>
      </c>
      <c r="C19" s="99">
        <v>4</v>
      </c>
      <c r="D19" s="99"/>
      <c r="E19" s="109" t="s">
        <v>248</v>
      </c>
      <c r="F19" s="109" t="s">
        <v>4</v>
      </c>
      <c r="G19" s="99">
        <v>54750</v>
      </c>
      <c r="H19" s="99"/>
    </row>
    <row r="20" spans="1:8" ht="41.25" customHeight="1" x14ac:dyDescent="0.25">
      <c r="A20" s="109" t="s">
        <v>94</v>
      </c>
      <c r="B20" s="109" t="s">
        <v>4</v>
      </c>
      <c r="C20" s="99">
        <v>252452.1</v>
      </c>
      <c r="D20" s="99"/>
      <c r="E20" s="109" t="s">
        <v>95</v>
      </c>
      <c r="F20" s="109" t="s">
        <v>4</v>
      </c>
      <c r="G20" s="99" t="s">
        <v>260</v>
      </c>
      <c r="H20" s="99"/>
    </row>
    <row r="21" spans="1:8" ht="41.25" customHeight="1" x14ac:dyDescent="0.25">
      <c r="A21" s="140" t="s">
        <v>56</v>
      </c>
      <c r="B21" s="140" t="s">
        <v>4</v>
      </c>
      <c r="C21" s="99" t="s">
        <v>302</v>
      </c>
      <c r="D21" s="99"/>
      <c r="E21" s="109" t="s">
        <v>55</v>
      </c>
      <c r="F21" s="109" t="s">
        <v>4</v>
      </c>
      <c r="G21" s="99" t="s">
        <v>261</v>
      </c>
      <c r="H21" s="99"/>
    </row>
    <row r="22" spans="1:8" ht="41.25" customHeight="1" x14ac:dyDescent="0.25">
      <c r="A22" s="109" t="s">
        <v>167</v>
      </c>
      <c r="B22" s="109" t="s">
        <v>4</v>
      </c>
      <c r="C22" s="99" t="s">
        <v>262</v>
      </c>
      <c r="D22" s="99"/>
      <c r="E22" s="109" t="s">
        <v>168</v>
      </c>
      <c r="F22" s="109" t="s">
        <v>4</v>
      </c>
      <c r="G22" s="99" t="s">
        <v>264</v>
      </c>
      <c r="H22" s="99"/>
    </row>
    <row r="23" spans="1:8" ht="38.25" customHeight="1" x14ac:dyDescent="0.25">
      <c r="A23" s="109" t="s">
        <v>165</v>
      </c>
      <c r="B23" s="109" t="s">
        <v>4</v>
      </c>
      <c r="C23" s="138" t="s">
        <v>263</v>
      </c>
      <c r="D23" s="99"/>
      <c r="E23" s="99"/>
      <c r="F23" s="99"/>
      <c r="G23" s="99"/>
      <c r="H23" s="99"/>
    </row>
    <row r="24" spans="1:8" ht="69.75" customHeight="1" x14ac:dyDescent="0.25">
      <c r="A24" s="140" t="s">
        <v>25</v>
      </c>
      <c r="B24" s="140" t="s">
        <v>4</v>
      </c>
      <c r="C24" s="99" t="s">
        <v>283</v>
      </c>
      <c r="D24" s="99"/>
      <c r="E24" s="99"/>
      <c r="F24" s="99"/>
      <c r="G24" s="99"/>
      <c r="H24" s="99"/>
    </row>
    <row r="25" spans="1:8" ht="24" customHeight="1" x14ac:dyDescent="0.25">
      <c r="A25" s="110" t="s">
        <v>20</v>
      </c>
      <c r="B25" s="110"/>
      <c r="C25" s="110"/>
      <c r="D25" s="110"/>
      <c r="E25" s="110"/>
      <c r="F25" s="110"/>
      <c r="G25" s="110"/>
      <c r="H25" s="110"/>
    </row>
    <row r="26" spans="1:8" ht="43.5" customHeight="1" x14ac:dyDescent="0.25">
      <c r="A26" s="109" t="s">
        <v>26</v>
      </c>
      <c r="B26" s="109" t="s">
        <v>4</v>
      </c>
      <c r="C26" s="99" t="str">
        <f>IF(AND(G26="Upper"),"Developed","Developing")</f>
        <v>Developing</v>
      </c>
      <c r="D26" s="99"/>
      <c r="E26" s="109" t="s">
        <v>13</v>
      </c>
      <c r="F26" s="109" t="s">
        <v>4</v>
      </c>
      <c r="G26" s="99" t="s">
        <v>169</v>
      </c>
      <c r="H26" s="99"/>
    </row>
    <row r="27" spans="1:8" ht="43.5" customHeight="1" x14ac:dyDescent="0.25">
      <c r="A27" s="109" t="s">
        <v>14</v>
      </c>
      <c r="B27" s="109" t="s">
        <v>4</v>
      </c>
      <c r="C27" s="99" t="s">
        <v>99</v>
      </c>
      <c r="D27" s="99"/>
      <c r="E27" s="109" t="s">
        <v>154</v>
      </c>
      <c r="F27" s="109" t="s">
        <v>4</v>
      </c>
      <c r="G27" s="99" t="s">
        <v>303</v>
      </c>
      <c r="H27" s="99"/>
    </row>
    <row r="28" spans="1:8" ht="43.5" customHeight="1" x14ac:dyDescent="0.25">
      <c r="A28" s="109" t="s">
        <v>23</v>
      </c>
      <c r="B28" s="109" t="s">
        <v>4</v>
      </c>
      <c r="C28" s="99" t="s">
        <v>98</v>
      </c>
      <c r="D28" s="99"/>
      <c r="E28" s="109" t="s">
        <v>16</v>
      </c>
      <c r="F28" s="109" t="s">
        <v>4</v>
      </c>
      <c r="G28" s="99" t="s">
        <v>304</v>
      </c>
      <c r="H28" s="99"/>
    </row>
    <row r="29" spans="1:8" ht="66" customHeight="1" x14ac:dyDescent="0.25">
      <c r="A29" s="109" t="s">
        <v>108</v>
      </c>
      <c r="B29" s="109" t="s">
        <v>4</v>
      </c>
      <c r="C29" s="99" t="s">
        <v>305</v>
      </c>
      <c r="D29" s="99"/>
      <c r="E29" s="109" t="s">
        <v>109</v>
      </c>
      <c r="F29" s="109" t="s">
        <v>4</v>
      </c>
      <c r="G29" s="99" t="s">
        <v>308</v>
      </c>
      <c r="H29" s="99"/>
    </row>
    <row r="30" spans="1:8" ht="84" customHeight="1" x14ac:dyDescent="0.25">
      <c r="A30" s="109" t="s">
        <v>17</v>
      </c>
      <c r="B30" s="109" t="s">
        <v>4</v>
      </c>
      <c r="C30" s="99" t="s">
        <v>307</v>
      </c>
      <c r="D30" s="99"/>
      <c r="E30" s="109" t="s">
        <v>15</v>
      </c>
      <c r="F30" s="109" t="s">
        <v>4</v>
      </c>
      <c r="G30" s="99" t="s">
        <v>306</v>
      </c>
      <c r="H30" s="99"/>
    </row>
    <row r="31" spans="1:8" ht="20.25" x14ac:dyDescent="0.25">
      <c r="A31" s="109" t="s">
        <v>114</v>
      </c>
      <c r="B31" s="109" t="s">
        <v>4</v>
      </c>
      <c r="C31" s="99" t="s">
        <v>115</v>
      </c>
      <c r="D31" s="99"/>
      <c r="E31" s="109" t="s">
        <v>116</v>
      </c>
      <c r="F31" s="109" t="s">
        <v>4</v>
      </c>
      <c r="G31" s="99" t="s">
        <v>115</v>
      </c>
      <c r="H31" s="99"/>
    </row>
    <row r="32" spans="1:8" ht="21.75" customHeight="1" x14ac:dyDescent="0.25">
      <c r="A32" s="109" t="s">
        <v>117</v>
      </c>
      <c r="B32" s="109" t="s">
        <v>4</v>
      </c>
      <c r="C32" s="99" t="s">
        <v>115</v>
      </c>
      <c r="D32" s="99"/>
      <c r="E32" s="99"/>
      <c r="F32" s="99"/>
      <c r="G32" s="99"/>
      <c r="H32" s="99"/>
    </row>
    <row r="33" spans="1:15" ht="20.25" x14ac:dyDescent="0.25">
      <c r="A33" s="115" t="s">
        <v>37</v>
      </c>
      <c r="B33" s="115"/>
      <c r="C33" s="115"/>
      <c r="D33" s="115"/>
      <c r="E33" s="115"/>
      <c r="F33" s="115"/>
      <c r="G33" s="115"/>
      <c r="H33" s="115"/>
    </row>
    <row r="34" spans="1:15" ht="43.5" customHeight="1" x14ac:dyDescent="0.25">
      <c r="A34" s="109" t="s">
        <v>18</v>
      </c>
      <c r="B34" s="109"/>
      <c r="C34" s="99" t="s">
        <v>100</v>
      </c>
      <c r="D34" s="99"/>
      <c r="E34" s="109" t="s">
        <v>19</v>
      </c>
      <c r="F34" s="109" t="s">
        <v>4</v>
      </c>
      <c r="G34" s="99" t="s">
        <v>101</v>
      </c>
      <c r="H34" s="99"/>
    </row>
    <row r="35" spans="1:15" ht="43.5" customHeight="1" x14ac:dyDescent="0.25">
      <c r="A35" s="109" t="s">
        <v>22</v>
      </c>
      <c r="B35" s="109"/>
      <c r="C35" s="99" t="s">
        <v>101</v>
      </c>
      <c r="D35" s="99"/>
      <c r="E35" s="109" t="s">
        <v>32</v>
      </c>
      <c r="F35" s="109" t="s">
        <v>4</v>
      </c>
      <c r="G35" s="99" t="s">
        <v>101</v>
      </c>
      <c r="H35" s="99"/>
    </row>
    <row r="36" spans="1:15" ht="20.25" x14ac:dyDescent="0.25">
      <c r="A36" s="109" t="s">
        <v>31</v>
      </c>
      <c r="B36" s="109"/>
      <c r="C36" s="99" t="s">
        <v>102</v>
      </c>
      <c r="D36" s="99"/>
      <c r="E36" s="109" t="s">
        <v>21</v>
      </c>
      <c r="F36" s="109" t="s">
        <v>4</v>
      </c>
      <c r="G36" s="99" t="s">
        <v>103</v>
      </c>
      <c r="H36" s="99"/>
    </row>
    <row r="37" spans="1:15" ht="20.25" x14ac:dyDescent="0.25">
      <c r="A37" s="110" t="s">
        <v>0</v>
      </c>
      <c r="B37" s="110"/>
      <c r="C37" s="110"/>
      <c r="D37" s="110"/>
      <c r="E37" s="110"/>
      <c r="F37" s="110"/>
      <c r="G37" s="110"/>
      <c r="H37" s="110"/>
    </row>
    <row r="38" spans="1:15" ht="20.25" x14ac:dyDescent="0.25">
      <c r="A38" s="113" t="s">
        <v>0</v>
      </c>
      <c r="B38" s="113"/>
      <c r="C38" s="113" t="s">
        <v>234</v>
      </c>
      <c r="D38" s="113"/>
      <c r="E38" s="113"/>
      <c r="F38" s="113" t="s">
        <v>7</v>
      </c>
      <c r="G38" s="113"/>
      <c r="H38" s="113"/>
      <c r="J38" s="146" t="s">
        <v>1</v>
      </c>
      <c r="K38" s="147"/>
      <c r="L38" s="39" t="s">
        <v>6</v>
      </c>
      <c r="M38" s="146" t="s">
        <v>2</v>
      </c>
      <c r="N38" s="147"/>
      <c r="O38" s="39" t="s">
        <v>3</v>
      </c>
    </row>
    <row r="39" spans="1:15" ht="20.25" x14ac:dyDescent="0.25">
      <c r="A39" s="114" t="s">
        <v>2</v>
      </c>
      <c r="B39" s="114"/>
      <c r="C39" s="116" t="s">
        <v>265</v>
      </c>
      <c r="D39" s="116"/>
      <c r="E39" s="116"/>
      <c r="F39" s="116" t="s">
        <v>269</v>
      </c>
      <c r="G39" s="116"/>
      <c r="H39" s="116"/>
    </row>
    <row r="40" spans="1:15" ht="20.25" x14ac:dyDescent="0.25">
      <c r="A40" s="114" t="s">
        <v>3</v>
      </c>
      <c r="B40" s="114"/>
      <c r="C40" s="116" t="s">
        <v>266</v>
      </c>
      <c r="D40" s="116"/>
      <c r="E40" s="116"/>
      <c r="F40" s="116" t="s">
        <v>270</v>
      </c>
      <c r="G40" s="116"/>
      <c r="H40" s="116"/>
    </row>
    <row r="41" spans="1:15" ht="20.25" x14ac:dyDescent="0.25">
      <c r="A41" s="114" t="s">
        <v>1</v>
      </c>
      <c r="B41" s="114"/>
      <c r="C41" s="116" t="s">
        <v>267</v>
      </c>
      <c r="D41" s="116"/>
      <c r="E41" s="116"/>
      <c r="F41" s="116" t="s">
        <v>271</v>
      </c>
      <c r="G41" s="116"/>
      <c r="H41" s="116"/>
    </row>
    <row r="42" spans="1:15" ht="20.25" x14ac:dyDescent="0.25">
      <c r="A42" s="114" t="s">
        <v>6</v>
      </c>
      <c r="B42" s="114"/>
      <c r="C42" s="116" t="s">
        <v>268</v>
      </c>
      <c r="D42" s="116"/>
      <c r="E42" s="116"/>
      <c r="F42" s="116" t="s">
        <v>272</v>
      </c>
      <c r="G42" s="116"/>
      <c r="H42" s="116"/>
    </row>
    <row r="43" spans="1:15" ht="20.25" x14ac:dyDescent="0.25">
      <c r="A43" s="109" t="s">
        <v>235</v>
      </c>
      <c r="B43" s="109"/>
      <c r="C43" s="99" t="s">
        <v>98</v>
      </c>
      <c r="D43" s="99"/>
      <c r="E43" s="99"/>
      <c r="F43" s="99"/>
      <c r="G43" s="99"/>
      <c r="H43" s="99"/>
    </row>
    <row r="44" spans="1:15" ht="20.25" x14ac:dyDescent="0.25">
      <c r="A44" s="110" t="s">
        <v>57</v>
      </c>
      <c r="B44" s="110"/>
      <c r="C44" s="110"/>
      <c r="D44" s="110"/>
      <c r="E44" s="110"/>
      <c r="F44" s="110"/>
      <c r="G44" s="110"/>
      <c r="H44" s="110"/>
    </row>
    <row r="45" spans="1:15" ht="21" customHeight="1" x14ac:dyDescent="0.25">
      <c r="A45" s="113" t="s">
        <v>58</v>
      </c>
      <c r="B45" s="113"/>
      <c r="C45" s="39" t="s">
        <v>59</v>
      </c>
      <c r="D45" s="113" t="s">
        <v>152</v>
      </c>
      <c r="E45" s="113"/>
      <c r="F45" s="113"/>
      <c r="G45" s="113" t="s">
        <v>60</v>
      </c>
      <c r="H45" s="113"/>
    </row>
    <row r="46" spans="1:15" ht="50.25" customHeight="1" x14ac:dyDescent="0.25">
      <c r="A46" s="114" t="s">
        <v>311</v>
      </c>
      <c r="B46" s="114"/>
      <c r="C46" s="67" t="s">
        <v>89</v>
      </c>
      <c r="D46" s="141" t="s">
        <v>273</v>
      </c>
      <c r="E46" s="141"/>
      <c r="F46" s="141"/>
      <c r="G46" s="137" t="s">
        <v>274</v>
      </c>
      <c r="H46" s="137"/>
      <c r="I46" s="68"/>
    </row>
    <row r="47" spans="1:15" ht="20.25" x14ac:dyDescent="0.25">
      <c r="A47" s="110" t="s">
        <v>61</v>
      </c>
      <c r="B47" s="110"/>
      <c r="C47" s="110"/>
      <c r="D47" s="110"/>
      <c r="E47" s="110"/>
      <c r="F47" s="110"/>
      <c r="G47" s="110"/>
      <c r="H47" s="110"/>
    </row>
    <row r="48" spans="1:15" ht="42.75" customHeight="1" x14ac:dyDescent="0.25">
      <c r="A48" s="109" t="s">
        <v>62</v>
      </c>
      <c r="B48" s="109" t="s">
        <v>4</v>
      </c>
      <c r="C48" s="99" t="s">
        <v>98</v>
      </c>
      <c r="D48" s="99"/>
      <c r="E48" s="99"/>
      <c r="F48" s="99"/>
      <c r="G48" s="99"/>
      <c r="H48" s="99"/>
    </row>
    <row r="49" spans="1:10" ht="44.25" customHeight="1" x14ac:dyDescent="0.25">
      <c r="A49" s="109" t="s">
        <v>63</v>
      </c>
      <c r="B49" s="109" t="s">
        <v>4</v>
      </c>
      <c r="C49" s="99" t="s">
        <v>275</v>
      </c>
      <c r="D49" s="99"/>
      <c r="E49" s="99"/>
      <c r="F49" s="99"/>
      <c r="G49" s="54" t="s">
        <v>236</v>
      </c>
      <c r="H49" s="38" t="s">
        <v>276</v>
      </c>
    </row>
    <row r="50" spans="1:10" ht="44.25" customHeight="1" x14ac:dyDescent="0.25">
      <c r="A50" s="109" t="s">
        <v>64</v>
      </c>
      <c r="B50" s="109" t="s">
        <v>4</v>
      </c>
      <c r="C50" s="99" t="s">
        <v>275</v>
      </c>
      <c r="D50" s="99"/>
      <c r="E50" s="99"/>
      <c r="F50" s="99"/>
      <c r="G50" s="54" t="s">
        <v>236</v>
      </c>
      <c r="H50" s="38" t="s">
        <v>276</v>
      </c>
    </row>
    <row r="51" spans="1:10" ht="44.25" customHeight="1" x14ac:dyDescent="0.25">
      <c r="A51" s="109" t="s">
        <v>249</v>
      </c>
      <c r="B51" s="109"/>
      <c r="C51" s="99" t="s">
        <v>277</v>
      </c>
      <c r="D51" s="99"/>
      <c r="E51" s="99"/>
      <c r="F51" s="99"/>
      <c r="G51" s="54" t="s">
        <v>236</v>
      </c>
      <c r="H51" s="38" t="s">
        <v>276</v>
      </c>
    </row>
    <row r="52" spans="1:10" ht="42" customHeight="1" x14ac:dyDescent="0.25">
      <c r="A52" s="109"/>
      <c r="B52" s="109"/>
      <c r="C52" s="118" t="s">
        <v>278</v>
      </c>
      <c r="D52" s="119"/>
      <c r="E52" s="119"/>
      <c r="F52" s="119"/>
      <c r="G52" s="119"/>
      <c r="H52" s="120"/>
    </row>
    <row r="53" spans="1:10" ht="105" customHeight="1" x14ac:dyDescent="0.25">
      <c r="A53" s="109" t="s">
        <v>65</v>
      </c>
      <c r="B53" s="109" t="s">
        <v>4</v>
      </c>
      <c r="C53" s="99" t="s">
        <v>280</v>
      </c>
      <c r="D53" s="99"/>
      <c r="E53" s="99"/>
      <c r="F53" s="99"/>
      <c r="G53" s="54" t="s">
        <v>237</v>
      </c>
      <c r="H53" s="38" t="s">
        <v>279</v>
      </c>
    </row>
    <row r="54" spans="1:10" ht="63" customHeight="1" x14ac:dyDescent="0.25">
      <c r="A54" s="109" t="s">
        <v>281</v>
      </c>
      <c r="B54" s="109" t="s">
        <v>4</v>
      </c>
      <c r="C54" s="99" t="s">
        <v>282</v>
      </c>
      <c r="D54" s="99"/>
      <c r="E54" s="99"/>
      <c r="F54" s="99"/>
      <c r="G54" s="54" t="s">
        <v>237</v>
      </c>
      <c r="H54" s="61">
        <v>45180</v>
      </c>
      <c r="I54" s="185"/>
    </row>
    <row r="55" spans="1:10" ht="45" hidden="1" customHeight="1" x14ac:dyDescent="0.25">
      <c r="A55" s="109" t="s">
        <v>67</v>
      </c>
      <c r="B55" s="109" t="s">
        <v>4</v>
      </c>
      <c r="C55" s="99"/>
      <c r="D55" s="99"/>
      <c r="E55" s="99"/>
      <c r="F55" s="99"/>
      <c r="G55" s="54" t="s">
        <v>237</v>
      </c>
      <c r="H55" s="38"/>
      <c r="I55" s="185"/>
    </row>
    <row r="56" spans="1:10" ht="46.5" hidden="1" customHeight="1" x14ac:dyDescent="0.25">
      <c r="A56" s="109" t="s">
        <v>66</v>
      </c>
      <c r="B56" s="109" t="s">
        <v>4</v>
      </c>
      <c r="C56" s="99"/>
      <c r="D56" s="99"/>
      <c r="E56" s="99"/>
      <c r="F56" s="99"/>
      <c r="G56" s="54" t="s">
        <v>237</v>
      </c>
      <c r="H56" s="38"/>
      <c r="I56" s="185"/>
    </row>
    <row r="57" spans="1:10" ht="45" hidden="1" customHeight="1" x14ac:dyDescent="0.25">
      <c r="A57" s="109" t="s">
        <v>68</v>
      </c>
      <c r="B57" s="109" t="s">
        <v>4</v>
      </c>
      <c r="C57" s="99"/>
      <c r="D57" s="99"/>
      <c r="E57" s="99"/>
      <c r="F57" s="99"/>
      <c r="G57" s="54" t="s">
        <v>237</v>
      </c>
      <c r="H57" s="38"/>
      <c r="I57" s="185"/>
    </row>
    <row r="58" spans="1:10" ht="21" thickBot="1" x14ac:dyDescent="0.3">
      <c r="A58" s="110" t="s">
        <v>69</v>
      </c>
      <c r="B58" s="110"/>
      <c r="C58" s="110"/>
      <c r="D58" s="110"/>
      <c r="E58" s="110"/>
      <c r="F58" s="110"/>
      <c r="G58" s="110"/>
      <c r="H58" s="110"/>
      <c r="I58" s="186"/>
    </row>
    <row r="59" spans="1:10" ht="20.25" customHeight="1" x14ac:dyDescent="0.3">
      <c r="A59" s="158" t="str">
        <f>CONCATENATE((IF(OR(A46="",A46="NA"),"",A46)),"= ",(IF(OR(D46="",D46="NA"),"",D46)),".")</f>
        <v>Building No. 10 = B + Gr -Mezz. (Pt)/Stilt (Pt) + Podium + 1st to 33rd Floor.</v>
      </c>
      <c r="B59" s="158"/>
      <c r="C59" s="158"/>
      <c r="D59" s="65" t="s">
        <v>118</v>
      </c>
      <c r="E59" s="159" t="s">
        <v>105</v>
      </c>
      <c r="F59" s="159"/>
      <c r="G59" s="65" t="s">
        <v>119</v>
      </c>
      <c r="H59" s="65" t="s">
        <v>120</v>
      </c>
      <c r="I59" s="12" t="str">
        <f ca="1">(IF(E62&gt;99%,"All work completed. Please provide OC.",IF(E62&gt;89.8%,"Plinth, RCC, Brick, Plaster, Flooring, Wooden, Plumbing, Electrification, etc., work Completed. Finishing work is in process.",IF(E62&lt;94%,(IF(C62=0,"Work not yet Started.",IF(D62=25%,"Piling work in process",IF(D62=50%,"Excavation work in process",IF(D62=100%,"Excavation work Completed. ","0")))&amp;(IF(C63=0%,"",IF(C63=J64,"Footing work is process",IF(C63=J65,"Footing work Completed",IF(C63=J66,"1st Basement Completed",IF(C63=J67,"1st &amp; 2nd Basement Completed",IF(C63=J68,"1st to 3rd Basement Completed",IF(C63=J69,"1st to 4th Basement Completed",IF(C63=J70,"Plinth work is process",IF(C63=J71,"Plinth work completed","0")))))))))))&amp;(IF(C64=(E60+G60+H60),", RCC Slab",IF(C64&gt;0,", RCC upto "&amp;C64&amp;" Slab",""))&amp;(IF(C65=H60,", Brickwork",IF(C65&gt;0,", Brickwork upto "&amp;C65&amp;" Floor",""))&amp;(IF(C66=H60,", Internal Plaster",IF(C66&gt;0,", Internal Plaster upto "&amp;C66&amp;" Floor",""))&amp;(IF(C67=H60,", External Plaster",IF(C67&gt;0,", External Plaster upto "&amp;C67&amp;" Floor",""))&amp;(IF(C68=H60,", External Plumbing, Elevation and Waterproofing",IF(C68&gt;0,", External Plumbing, Elevation and Waterproofing upto "&amp;C68&amp;" Floor",""))&amp;(IF(C69=H60,", Flooring &amp; Fitting",IF(C69&gt;0,", Flooring &amp; Fitting upto "&amp;C69&amp;" Floor",""))&amp;(IF(C70=H60,", Wooden Work",IF(C70&gt;0,", Wooden Work upto "&amp;C70&amp;" Floor",""))&amp;(IF(C71=H60,", Electrical &amp; Sanitary fittings",IF(C71&gt;0,", Electrical &amp; Sanitary fittings upto "&amp;C71&amp;" Floor",""))&amp;(IF(C72&gt;0,", Finishing upto "&amp;C72&amp;" Floor","")&amp;(IF(C64&gt;0.5," Completed",""))))))))))))))))</f>
        <v>Excavation work Completed. Plinth work completed, RCC upto 25 Slab, Brickwork upto 23 Floor, Internal Plaster upto 18.4 Floor, External Plaster upto 18.4 Floor Completed</v>
      </c>
      <c r="J59" s="14"/>
    </row>
    <row r="60" spans="1:10" ht="41.25" customHeight="1" x14ac:dyDescent="0.3">
      <c r="A60" s="158"/>
      <c r="B60" s="158"/>
      <c r="C60" s="158"/>
      <c r="D60" s="65">
        <v>0</v>
      </c>
      <c r="E60" s="159">
        <v>1</v>
      </c>
      <c r="F60" s="159"/>
      <c r="G60" s="65">
        <v>1</v>
      </c>
      <c r="H60" s="65">
        <f ca="1">--TRIM(RIGHT(SUBSTITUTE(LEFT(A59,_xlfn.AGGREGATE(16,6,FIND({0,1,2,3,4,5,6,7,8,9},A59,ROW(INDIRECT("1:"&amp;LEN(A59)))),1))," ",REPT(" ",LEN(A59))),LEN(A59)))</f>
        <v>33</v>
      </c>
      <c r="I60" s="13" t="s">
        <v>124</v>
      </c>
      <c r="J60" s="14"/>
    </row>
    <row r="61" spans="1:10" ht="20.25" customHeight="1" x14ac:dyDescent="0.3">
      <c r="A61" s="160" t="s">
        <v>122</v>
      </c>
      <c r="B61" s="160"/>
      <c r="C61" s="64" t="s">
        <v>136</v>
      </c>
      <c r="D61" s="64" t="s">
        <v>137</v>
      </c>
      <c r="E61" s="160" t="s">
        <v>123</v>
      </c>
      <c r="F61" s="160"/>
      <c r="G61" s="24" t="s">
        <v>121</v>
      </c>
      <c r="H61" s="24"/>
      <c r="I61" s="16" t="s">
        <v>138</v>
      </c>
      <c r="J61" s="15">
        <f ca="1">H60*25%</f>
        <v>8.25</v>
      </c>
    </row>
    <row r="62" spans="1:10" ht="20.25" customHeight="1" x14ac:dyDescent="0.3">
      <c r="A62" s="148" t="s">
        <v>139</v>
      </c>
      <c r="B62" s="148"/>
      <c r="C62" s="65">
        <f ca="1">J63</f>
        <v>33</v>
      </c>
      <c r="D62" s="63">
        <f ca="1">((100/H60)*C62)/100</f>
        <v>1</v>
      </c>
      <c r="E62" s="152">
        <f ca="1">(((C62/H60*10)+(C63/H60*15)+(25/(E60+G60+H60)*C64)+(5/(H60)*C65)+(2.5/(H60)*C66)+(2.5/(H60)*C67)+(5/H60*C68)+(10/H60*C69)+(2.5/H60*C70)+(2.5/H60*C71)+(10/H60*C72)+(10/H60*C73))/100)</f>
        <v>0.49129870129870129</v>
      </c>
      <c r="F62" s="153"/>
      <c r="G62" s="148" t="str">
        <f ca="1">I59</f>
        <v>Excavation work Completed. Plinth work completed, RCC upto 25 Slab, Brickwork upto 23 Floor, Internal Plaster upto 18.4 Floor, External Plaster upto 18.4 Floor Completed</v>
      </c>
      <c r="H62" s="148"/>
      <c r="I62" s="16" t="s">
        <v>125</v>
      </c>
      <c r="J62" s="20">
        <f ca="1">H60*50%</f>
        <v>16.5</v>
      </c>
    </row>
    <row r="63" spans="1:10" ht="20.25" x14ac:dyDescent="0.3">
      <c r="A63" s="148" t="s">
        <v>106</v>
      </c>
      <c r="B63" s="148"/>
      <c r="C63" s="66">
        <f ca="1">J71</f>
        <v>33</v>
      </c>
      <c r="D63" s="63">
        <f ca="1">((100/H60)*C63)/100</f>
        <v>1</v>
      </c>
      <c r="E63" s="154"/>
      <c r="F63" s="155"/>
      <c r="G63" s="148"/>
      <c r="H63" s="148"/>
      <c r="I63" s="16" t="s">
        <v>126</v>
      </c>
      <c r="J63" s="20">
        <f ca="1">H60</f>
        <v>33</v>
      </c>
    </row>
    <row r="64" spans="1:10" ht="21" customHeight="1" x14ac:dyDescent="0.35">
      <c r="A64" s="148" t="s">
        <v>140</v>
      </c>
      <c r="B64" s="148"/>
      <c r="C64" s="65">
        <v>25</v>
      </c>
      <c r="D64" s="63">
        <f ca="1">((100/(E60+G60+H60))*C64)/100</f>
        <v>0.7142857142857143</v>
      </c>
      <c r="E64" s="154"/>
      <c r="F64" s="155"/>
      <c r="G64" s="148"/>
      <c r="H64" s="148"/>
      <c r="I64" s="16" t="s">
        <v>127</v>
      </c>
      <c r="J64" s="21">
        <f ca="1">(IF(D60&gt;1,(H60/(D60+2)),H60*0.2))</f>
        <v>6.6000000000000005</v>
      </c>
    </row>
    <row r="65" spans="1:10" ht="21" customHeight="1" x14ac:dyDescent="0.35">
      <c r="A65" s="148" t="s">
        <v>141</v>
      </c>
      <c r="B65" s="148"/>
      <c r="C65" s="65">
        <f>C64-G60-E60</f>
        <v>23</v>
      </c>
      <c r="D65" s="63">
        <f ca="1">((100/H60)*C65)/100</f>
        <v>0.69696969696969702</v>
      </c>
      <c r="E65" s="154"/>
      <c r="F65" s="155"/>
      <c r="G65" s="148"/>
      <c r="H65" s="148"/>
      <c r="I65" s="16" t="s">
        <v>128</v>
      </c>
      <c r="J65" s="21">
        <f ca="1">(IF(D60&gt;1,(H60/(D60+2)+J64),H60*0.2+J64))</f>
        <v>13.200000000000001</v>
      </c>
    </row>
    <row r="66" spans="1:10" ht="21" customHeight="1" x14ac:dyDescent="0.35">
      <c r="A66" s="104" t="s">
        <v>142</v>
      </c>
      <c r="B66" s="105"/>
      <c r="C66" s="71">
        <f>C65*0.8</f>
        <v>18.400000000000002</v>
      </c>
      <c r="D66" s="63">
        <f ca="1">((100/H60)*C66)/100</f>
        <v>0.55757575757575761</v>
      </c>
      <c r="E66" s="154"/>
      <c r="F66" s="155"/>
      <c r="G66" s="148"/>
      <c r="H66" s="148"/>
      <c r="I66" s="16" t="s">
        <v>143</v>
      </c>
      <c r="J66" s="21">
        <f>(IF(D60&gt;1,(H60/(D60+2)+J65),0))</f>
        <v>0</v>
      </c>
    </row>
    <row r="67" spans="1:10" ht="21" customHeight="1" x14ac:dyDescent="0.35">
      <c r="A67" s="104" t="s">
        <v>175</v>
      </c>
      <c r="B67" s="105"/>
      <c r="C67" s="71">
        <f>C66</f>
        <v>18.400000000000002</v>
      </c>
      <c r="D67" s="63">
        <f ca="1">((100/H60)*C67)/100</f>
        <v>0.55757575757575761</v>
      </c>
      <c r="E67" s="154"/>
      <c r="F67" s="155"/>
      <c r="G67" s="148"/>
      <c r="H67" s="148"/>
      <c r="I67" s="16" t="s">
        <v>144</v>
      </c>
      <c r="J67" s="21">
        <f>(IF(D60&gt;2,(H60/(D60+2)+J66),0))</f>
        <v>0</v>
      </c>
    </row>
    <row r="68" spans="1:10" ht="65.25" customHeight="1" x14ac:dyDescent="0.35">
      <c r="A68" s="104" t="s">
        <v>172</v>
      </c>
      <c r="B68" s="105"/>
      <c r="C68" s="65">
        <v>0</v>
      </c>
      <c r="D68" s="63">
        <f ca="1">((100/(H60))*C68)/100</f>
        <v>0</v>
      </c>
      <c r="E68" s="154"/>
      <c r="F68" s="155"/>
      <c r="G68" s="148"/>
      <c r="H68" s="148"/>
      <c r="I68" s="16" t="s">
        <v>146</v>
      </c>
      <c r="J68" s="22">
        <f>(IF(D60&gt;3,(H60/(D60+2)+J67),0))</f>
        <v>0</v>
      </c>
    </row>
    <row r="69" spans="1:10" ht="21" x14ac:dyDescent="0.35">
      <c r="A69" s="148" t="s">
        <v>145</v>
      </c>
      <c r="B69" s="148"/>
      <c r="C69" s="65">
        <v>0</v>
      </c>
      <c r="D69" s="63">
        <f ca="1">((100/(H60))*C69)/100</f>
        <v>0</v>
      </c>
      <c r="E69" s="154"/>
      <c r="F69" s="155"/>
      <c r="G69" s="148"/>
      <c r="H69" s="148"/>
      <c r="I69" s="16" t="s">
        <v>147</v>
      </c>
      <c r="J69" s="21">
        <f>(IF(D60&gt;4,(H60/(D60+2)+J68),0))</f>
        <v>0</v>
      </c>
    </row>
    <row r="70" spans="1:10" ht="21" customHeight="1" x14ac:dyDescent="0.35">
      <c r="A70" s="148" t="s">
        <v>174</v>
      </c>
      <c r="B70" s="148"/>
      <c r="C70" s="65">
        <v>0</v>
      </c>
      <c r="D70" s="63">
        <f ca="1">((100/H60)*C70)/100</f>
        <v>0</v>
      </c>
      <c r="E70" s="154"/>
      <c r="F70" s="155"/>
      <c r="G70" s="148"/>
      <c r="H70" s="148"/>
      <c r="I70" s="16" t="s">
        <v>129</v>
      </c>
      <c r="J70" s="21">
        <f ca="1">(IF(D60=1,(H60/(D60+3)+J65),IF(D60=0,(H60*0.3+J65),IF(D60&gt;1,0))))</f>
        <v>23.1</v>
      </c>
    </row>
    <row r="71" spans="1:10" ht="51.75" customHeight="1" thickBot="1" x14ac:dyDescent="0.4">
      <c r="A71" s="148" t="s">
        <v>173</v>
      </c>
      <c r="B71" s="148"/>
      <c r="C71" s="65">
        <v>0</v>
      </c>
      <c r="D71" s="63">
        <f ca="1">((100/H60)*C71)/100</f>
        <v>0</v>
      </c>
      <c r="E71" s="154"/>
      <c r="F71" s="155"/>
      <c r="G71" s="148"/>
      <c r="H71" s="148"/>
      <c r="I71" s="18" t="s">
        <v>130</v>
      </c>
      <c r="J71" s="23">
        <f ca="1">(IF(D60&gt;1.5,(H60/(D60+2)+J65+MAX(0,J66-J65)+MAX(0,J67-J66)+MAX(0,J68-J67)+MAX(0,J69-J68)+MAX(0,J70-J69)),IF(D60=1,(H60/(D60+3)+J70),IF(D60=0,H60*0.3+J70))))</f>
        <v>33</v>
      </c>
    </row>
    <row r="72" spans="1:10" ht="20.25" x14ac:dyDescent="0.25">
      <c r="A72" s="148" t="s">
        <v>148</v>
      </c>
      <c r="B72" s="148"/>
      <c r="C72" s="65">
        <v>0</v>
      </c>
      <c r="D72" s="63">
        <f ca="1">((100/(H60))*C72)/100</f>
        <v>0</v>
      </c>
      <c r="E72" s="154"/>
      <c r="F72" s="155"/>
      <c r="G72" s="148"/>
      <c r="H72" s="148"/>
    </row>
    <row r="73" spans="1:10" ht="20.25" x14ac:dyDescent="0.25">
      <c r="A73" s="148" t="s">
        <v>149</v>
      </c>
      <c r="B73" s="148"/>
      <c r="C73" s="65">
        <v>0</v>
      </c>
      <c r="D73" s="63">
        <f ca="1">((100/(H60))*C73)/100</f>
        <v>0</v>
      </c>
      <c r="E73" s="156"/>
      <c r="F73" s="157"/>
      <c r="G73" s="148"/>
      <c r="H73" s="148"/>
    </row>
    <row r="74" spans="1:10" ht="21" hidden="1" thickBot="1" x14ac:dyDescent="0.3">
      <c r="A74" s="85" t="s">
        <v>69</v>
      </c>
      <c r="B74" s="86"/>
      <c r="C74" s="86"/>
      <c r="D74" s="86"/>
      <c r="E74" s="86"/>
      <c r="F74" s="86"/>
      <c r="G74" s="86"/>
      <c r="H74" s="87"/>
    </row>
    <row r="75" spans="1:10" ht="20.25" hidden="1" customHeight="1" x14ac:dyDescent="0.3">
      <c r="A75" s="88" t="e">
        <f>CONCATENATE((IF(OR(#REF!="",#REF!="NA"),"",#REF!)),"= ",(IF(OR(#REF!="",#REF!="NA"),"",#REF!)),".")</f>
        <v>#REF!</v>
      </c>
      <c r="B75" s="89"/>
      <c r="C75" s="90"/>
      <c r="D75" s="29" t="s">
        <v>118</v>
      </c>
      <c r="E75" s="161" t="s">
        <v>105</v>
      </c>
      <c r="F75" s="162"/>
      <c r="G75" s="29" t="s">
        <v>119</v>
      </c>
      <c r="H75" s="29" t="s">
        <v>120</v>
      </c>
      <c r="I75" s="12" t="e">
        <f ca="1">(IF(E78&gt;99%,"All work completed. Please provide OC.",IF(E78&gt;89.8%,"Plinth, RCC, Brick, Plaster, Flooring, Wooden, Plumbing, Electrification, etc., work Completed. Finishing work is in process.",IF(E78&lt;94%,(IF(C78=0,"Work not yet Started.",IF(D78=25%,"Piling work in process",IF(D78=50%,"Excavation work in process",IF(D78=100%,"Excavation work Completed. ","0")))&amp;(IF(C79=0%,"",IF(C79=J80,"Footing work is process",IF(C79=J81,"Footing work Completed",IF(C79=J82,"1st Basement Completed",IF(C79=J83,"1st &amp; 2nd Basement Completed",IF(C79=J84,"1st to 3rd Basement Completed",IF(C79=J85,"1st to 4th Basement Completed",IF(C79=J86,"Plinth work is process",IF(C79=J87,"Plinth work completed","0")))))))))))&amp;(IF(C80=(E76+G76+H76),", RCC Slab",IF(C80&gt;0,", RCC upto "&amp;C80&amp;" Slab",""))&amp;(IF(C81=H76,", Brickwork",IF(C81&gt;0,", Brickwork upto "&amp;C81&amp;" Floor",""))&amp;(IF(C82=H76,", Internal Plaster",IF(C82&gt;0,", Internal Plaster upto "&amp;C82&amp;" Floor",""))&amp;(IF(C83=H76,", External Plaster",IF(C83&gt;0,", External Plaster upto "&amp;C83&amp;" Floor",""))&amp;(IF(C84=H76,", External Plumbing, Elevation and Waterproofing",IF(C84&gt;0,", External Plumbing, Elevation and Waterproofing upto "&amp;C84&amp;" Floor",""))&amp;(IF(C85=H76,", Flooring &amp; Fitting",IF(C85&gt;0,", Flooring &amp; Fitting upto "&amp;C85&amp;" Floor",""))&amp;(IF(C86=H76,", Wooden Work",IF(C86&gt;0,", Wooden Work upto "&amp;C86&amp;" Floor",""))&amp;(IF(C87=H76,", Electrical &amp; Sanitary fittings",IF(C87&gt;0,", Electrical &amp; Sanitary fittings upto "&amp;C87&amp;" Floor",""))&amp;(IF(C88&gt;0,", Finishing upto "&amp;C88&amp;" Floor","")&amp;(IF(C80&gt;0.5," Completed",""))))))))))))))))</f>
        <v>#REF!</v>
      </c>
      <c r="J75" s="14"/>
    </row>
    <row r="76" spans="1:10" ht="20.25" hidden="1" x14ac:dyDescent="0.3">
      <c r="A76" s="91"/>
      <c r="B76" s="92"/>
      <c r="C76" s="93"/>
      <c r="D76" s="55">
        <f>IF(AND(ISNUMBER(SEARCH("1B",A75))),1,IF(AND(ISNUMBER(SEARCH("2B",A75))),2,IF(AND(ISNUMBER(SEARCH("3B",A75))),3,IF(AND(ISNUMBER(SEARCH("4B",A75))),4,IF(ISNUMBER(SEARCH("5B",A75)),5,0)))))</f>
        <v>0</v>
      </c>
      <c r="E76" s="161">
        <v>1</v>
      </c>
      <c r="F76" s="162"/>
      <c r="G76" s="55">
        <v>0</v>
      </c>
      <c r="H76" s="29" t="e">
        <f ca="1">--TRIM(RIGHT(SUBSTITUTE(LEFT(A75,_xlfn.AGGREGATE(16,6,FIND({0,1,2,3,4,5,6,7,8,9},A75,ROW(INDIRECT("1:"&amp;LEN(A75)))),1))," ",REPT(" ",LEN(A75))),LEN(A75)))</f>
        <v>#REF!</v>
      </c>
      <c r="I76" s="13" t="s">
        <v>124</v>
      </c>
      <c r="J76" s="14"/>
    </row>
    <row r="77" spans="1:10" ht="20.25" hidden="1" customHeight="1" x14ac:dyDescent="0.3">
      <c r="A77" s="163" t="s">
        <v>122</v>
      </c>
      <c r="B77" s="164"/>
      <c r="C77" s="36" t="s">
        <v>136</v>
      </c>
      <c r="D77" s="36" t="s">
        <v>137</v>
      </c>
      <c r="E77" s="163" t="s">
        <v>123</v>
      </c>
      <c r="F77" s="164"/>
      <c r="G77" s="24" t="s">
        <v>121</v>
      </c>
      <c r="H77" s="24"/>
      <c r="I77" s="16" t="s">
        <v>138</v>
      </c>
      <c r="J77" s="15" t="e">
        <f ca="1">H76*25%</f>
        <v>#REF!</v>
      </c>
    </row>
    <row r="78" spans="1:10" ht="20.25" hidden="1" customHeight="1" x14ac:dyDescent="0.3">
      <c r="A78" s="104" t="s">
        <v>139</v>
      </c>
      <c r="B78" s="105"/>
      <c r="C78" s="29" t="e">
        <f ca="1">J79</f>
        <v>#REF!</v>
      </c>
      <c r="D78" s="30" t="e">
        <f ca="1">((100/H76)*C78)/100</f>
        <v>#REF!</v>
      </c>
      <c r="E78" s="152" t="e">
        <f ca="1">(((C78/H76*10)+(C79/H76*25)+(25/(E76+G76+H76)*C80)+(5/(H76)*C81)+(2.5/(H76)*C82)+(2.5/(H76)*C83)+(5/H76*C84)+(2.5/H76*C85)+(2.5/H76*C86)+(5/H76*C87)+(10/H76*C88)+(5/H76*C89))/100)</f>
        <v>#REF!</v>
      </c>
      <c r="F78" s="153"/>
      <c r="G78" s="152" t="e">
        <f ca="1">I75</f>
        <v>#REF!</v>
      </c>
      <c r="H78" s="153"/>
      <c r="I78" s="16" t="s">
        <v>125</v>
      </c>
      <c r="J78" s="20" t="e">
        <f ca="1">H76*50%</f>
        <v>#REF!</v>
      </c>
    </row>
    <row r="79" spans="1:10" ht="20.25" hidden="1" x14ac:dyDescent="0.3">
      <c r="A79" s="104" t="s">
        <v>106</v>
      </c>
      <c r="B79" s="105"/>
      <c r="C79" s="31" t="e">
        <f ca="1">J87</f>
        <v>#REF!</v>
      </c>
      <c r="D79" s="30" t="e">
        <f ca="1">((100/H76)*C79)/100</f>
        <v>#REF!</v>
      </c>
      <c r="E79" s="154"/>
      <c r="F79" s="155"/>
      <c r="G79" s="154"/>
      <c r="H79" s="155"/>
      <c r="I79" s="16" t="s">
        <v>126</v>
      </c>
      <c r="J79" s="20" t="e">
        <f ca="1">H76</f>
        <v>#REF!</v>
      </c>
    </row>
    <row r="80" spans="1:10" ht="21" hidden="1" customHeight="1" x14ac:dyDescent="0.35">
      <c r="A80" s="104" t="s">
        <v>140</v>
      </c>
      <c r="B80" s="105"/>
      <c r="C80" s="29">
        <v>0</v>
      </c>
      <c r="D80" s="30" t="e">
        <f ca="1">((100/(E76+G76+H76))*C80)/100</f>
        <v>#REF!</v>
      </c>
      <c r="E80" s="154"/>
      <c r="F80" s="155"/>
      <c r="G80" s="154"/>
      <c r="H80" s="155"/>
      <c r="I80" s="16" t="s">
        <v>127</v>
      </c>
      <c r="J80" s="21" t="e">
        <f ca="1">(IF(D76&gt;1,(H76/(D76+2)),H76*0.2))</f>
        <v>#REF!</v>
      </c>
    </row>
    <row r="81" spans="1:11" ht="21" hidden="1" customHeight="1" x14ac:dyDescent="0.35">
      <c r="A81" s="104" t="s">
        <v>141</v>
      </c>
      <c r="B81" s="105"/>
      <c r="C81" s="29">
        <v>0</v>
      </c>
      <c r="D81" s="30" t="e">
        <f ca="1">((100/H76)*C81)/100</f>
        <v>#REF!</v>
      </c>
      <c r="E81" s="154"/>
      <c r="F81" s="155"/>
      <c r="G81" s="154"/>
      <c r="H81" s="155"/>
      <c r="I81" s="16" t="s">
        <v>128</v>
      </c>
      <c r="J81" s="21" t="e">
        <f ca="1">(IF(D76&gt;1,(H76/(D76+2)+J80),H76*0.2+J80))</f>
        <v>#REF!</v>
      </c>
    </row>
    <row r="82" spans="1:11" ht="21" hidden="1" customHeight="1" x14ac:dyDescent="0.35">
      <c r="A82" s="104" t="s">
        <v>142</v>
      </c>
      <c r="B82" s="105"/>
      <c r="C82" s="29">
        <v>0</v>
      </c>
      <c r="D82" s="30" t="e">
        <f ca="1">((100/H76)*C82)/100</f>
        <v>#REF!</v>
      </c>
      <c r="E82" s="154"/>
      <c r="F82" s="155"/>
      <c r="G82" s="154"/>
      <c r="H82" s="155"/>
      <c r="I82" s="16" t="s">
        <v>143</v>
      </c>
      <c r="J82" s="21">
        <f>(IF(D76&gt;1,(H76/(D76+2)+J81),0))</f>
        <v>0</v>
      </c>
    </row>
    <row r="83" spans="1:11" ht="21" hidden="1" customHeight="1" x14ac:dyDescent="0.35">
      <c r="A83" s="104" t="s">
        <v>175</v>
      </c>
      <c r="B83" s="105"/>
      <c r="C83" s="29">
        <v>0</v>
      </c>
      <c r="D83" s="30" t="e">
        <f ca="1">((100/H76)*C83)/100</f>
        <v>#REF!</v>
      </c>
      <c r="E83" s="154"/>
      <c r="F83" s="155"/>
      <c r="G83" s="154"/>
      <c r="H83" s="155"/>
      <c r="I83" s="16" t="s">
        <v>144</v>
      </c>
      <c r="J83" s="21">
        <f>(IF(D76&gt;2,(H76/(D76+2)+J82),0))</f>
        <v>0</v>
      </c>
    </row>
    <row r="84" spans="1:11" ht="57.75" hidden="1" customHeight="1" x14ac:dyDescent="0.35">
      <c r="A84" s="104" t="s">
        <v>172</v>
      </c>
      <c r="B84" s="105"/>
      <c r="C84" s="29">
        <v>0</v>
      </c>
      <c r="D84" s="30" t="e">
        <f ca="1">((100/(H76))*C84)/100</f>
        <v>#REF!</v>
      </c>
      <c r="E84" s="154"/>
      <c r="F84" s="155"/>
      <c r="G84" s="154"/>
      <c r="H84" s="155"/>
      <c r="I84" s="16" t="s">
        <v>146</v>
      </c>
      <c r="J84" s="22">
        <f>(IF(D76&gt;3,(H76/(D76+2)+J83),0))</f>
        <v>0</v>
      </c>
    </row>
    <row r="85" spans="1:11" ht="21" hidden="1" customHeight="1" x14ac:dyDescent="0.35">
      <c r="A85" s="104" t="s">
        <v>145</v>
      </c>
      <c r="B85" s="105"/>
      <c r="C85" s="29">
        <v>0</v>
      </c>
      <c r="D85" s="30" t="e">
        <f ca="1">((100/(H76))*C85)/100</f>
        <v>#REF!</v>
      </c>
      <c r="E85" s="154"/>
      <c r="F85" s="155"/>
      <c r="G85" s="154"/>
      <c r="H85" s="155"/>
      <c r="I85" s="16" t="s">
        <v>147</v>
      </c>
      <c r="J85" s="21">
        <f>(IF(D76&gt;4,(H76/(D76+2)+J84),0))</f>
        <v>0</v>
      </c>
    </row>
    <row r="86" spans="1:11" ht="21" hidden="1" customHeight="1" x14ac:dyDescent="0.35">
      <c r="A86" s="104" t="s">
        <v>174</v>
      </c>
      <c r="B86" s="105"/>
      <c r="C86" s="29">
        <v>0</v>
      </c>
      <c r="D86" s="30" t="e">
        <f ca="1">((100/H76)*C86)/100</f>
        <v>#REF!</v>
      </c>
      <c r="E86" s="154"/>
      <c r="F86" s="155"/>
      <c r="G86" s="154"/>
      <c r="H86" s="155"/>
      <c r="I86" s="16" t="s">
        <v>129</v>
      </c>
      <c r="J86" s="21" t="e">
        <f ca="1">(IF(D76=1,(H76/(D76+3)+J81),IF(D76=0,(H76*0.3+J81),IF(D76&gt;1,0))))</f>
        <v>#REF!</v>
      </c>
    </row>
    <row r="87" spans="1:11" ht="21.75" hidden="1" customHeight="1" thickBot="1" x14ac:dyDescent="0.4">
      <c r="A87" s="104" t="s">
        <v>173</v>
      </c>
      <c r="B87" s="105"/>
      <c r="C87" s="29">
        <v>0</v>
      </c>
      <c r="D87" s="30" t="e">
        <f ca="1">((100/H76)*C87)/100</f>
        <v>#REF!</v>
      </c>
      <c r="E87" s="154"/>
      <c r="F87" s="155"/>
      <c r="G87" s="154"/>
      <c r="H87" s="155"/>
      <c r="I87" s="18" t="s">
        <v>130</v>
      </c>
      <c r="J87" s="23" t="e">
        <f ca="1">(IF(D76&gt;1.5,(H76/(D76+2)+J81+MAX(0,J82-J81)+MAX(0,J83-J82)+MAX(0,J84-J83)+MAX(0,J85-J84)+MAX(0,J86-J85)),IF(D76=1,(H76/(D76+3)+J86),IF(D76=0,H76*0.3+J86))))</f>
        <v>#REF!</v>
      </c>
    </row>
    <row r="88" spans="1:11" ht="20.25" hidden="1" customHeight="1" x14ac:dyDescent="0.25">
      <c r="A88" s="104" t="s">
        <v>148</v>
      </c>
      <c r="B88" s="105"/>
      <c r="C88" s="29">
        <v>0</v>
      </c>
      <c r="D88" s="30" t="e">
        <f ca="1">((100/(H76))*C88)/100</f>
        <v>#REF!</v>
      </c>
      <c r="E88" s="154"/>
      <c r="F88" s="155"/>
      <c r="G88" s="154"/>
      <c r="H88" s="155"/>
    </row>
    <row r="89" spans="1:11" ht="20.25" hidden="1" x14ac:dyDescent="0.25">
      <c r="A89" s="104" t="s">
        <v>149</v>
      </c>
      <c r="B89" s="105"/>
      <c r="C89" s="29">
        <v>0</v>
      </c>
      <c r="D89" s="30" t="e">
        <f ca="1">((100/(H76))*C89)/100</f>
        <v>#REF!</v>
      </c>
      <c r="E89" s="156"/>
      <c r="F89" s="157"/>
      <c r="G89" s="156"/>
      <c r="H89" s="157"/>
    </row>
    <row r="90" spans="1:11" ht="36.75" customHeight="1" x14ac:dyDescent="0.3">
      <c r="A90" s="149" t="s">
        <v>131</v>
      </c>
      <c r="B90" s="150"/>
      <c r="C90" s="150"/>
      <c r="D90" s="150"/>
      <c r="E90" s="150"/>
      <c r="F90" s="151"/>
      <c r="G90" s="94">
        <f ca="1">AVERAGE(E62)</f>
        <v>0.49129870129870129</v>
      </c>
      <c r="H90" s="95"/>
      <c r="I90" s="16"/>
      <c r="J90" s="17"/>
      <c r="K90" s="17"/>
    </row>
    <row r="91" spans="1:11" ht="20.25" x14ac:dyDescent="0.25">
      <c r="A91" s="85" t="s">
        <v>73</v>
      </c>
      <c r="B91" s="86"/>
      <c r="C91" s="86"/>
      <c r="D91" s="86"/>
      <c r="E91" s="86"/>
      <c r="F91" s="86"/>
      <c r="G91" s="86"/>
      <c r="H91" s="87"/>
    </row>
    <row r="92" spans="1:11" ht="54.75" customHeight="1" x14ac:dyDescent="0.25">
      <c r="A92" s="73" t="s">
        <v>74</v>
      </c>
      <c r="B92" s="74"/>
      <c r="C92" s="96" t="s">
        <v>110</v>
      </c>
      <c r="D92" s="97"/>
      <c r="E92" s="73" t="s">
        <v>150</v>
      </c>
      <c r="F92" s="74" t="s">
        <v>4</v>
      </c>
      <c r="G92" s="165" t="s">
        <v>164</v>
      </c>
      <c r="H92" s="165"/>
    </row>
    <row r="93" spans="1:11" ht="44.25" customHeight="1" x14ac:dyDescent="0.25">
      <c r="A93" s="73" t="s">
        <v>160</v>
      </c>
      <c r="B93" s="74"/>
      <c r="C93" s="96" t="s">
        <v>310</v>
      </c>
      <c r="D93" s="97"/>
      <c r="E93" s="73" t="s">
        <v>161</v>
      </c>
      <c r="F93" s="74" t="s">
        <v>4</v>
      </c>
      <c r="G93" s="99" t="s">
        <v>151</v>
      </c>
      <c r="H93" s="99"/>
    </row>
    <row r="94" spans="1:11" ht="20.25" x14ac:dyDescent="0.25">
      <c r="A94" s="73" t="s">
        <v>75</v>
      </c>
      <c r="B94" s="74"/>
      <c r="C94" s="118">
        <v>600000</v>
      </c>
      <c r="D94" s="120"/>
      <c r="E94" s="73" t="s">
        <v>104</v>
      </c>
      <c r="F94" s="74" t="s">
        <v>4</v>
      </c>
      <c r="G94" s="96" t="s">
        <v>111</v>
      </c>
      <c r="H94" s="97"/>
    </row>
    <row r="95" spans="1:11" ht="20.25" x14ac:dyDescent="0.25">
      <c r="A95" s="85" t="s">
        <v>72</v>
      </c>
      <c r="B95" s="86"/>
      <c r="C95" s="86"/>
      <c r="D95" s="86"/>
      <c r="E95" s="86"/>
      <c r="F95" s="86"/>
      <c r="G95" s="86"/>
      <c r="H95" s="87"/>
    </row>
    <row r="96" spans="1:11" ht="20.25" customHeight="1" x14ac:dyDescent="0.25">
      <c r="A96" s="73" t="s">
        <v>8</v>
      </c>
      <c r="B96" s="171"/>
      <c r="C96" s="171"/>
      <c r="D96" s="171"/>
      <c r="E96" s="171"/>
      <c r="F96" s="74"/>
      <c r="G96" s="172">
        <f>33200/10.764</f>
        <v>3084.3552582683019</v>
      </c>
      <c r="H96" s="173"/>
    </row>
    <row r="97" spans="1:150 16226:16383" ht="20.25" customHeight="1" x14ac:dyDescent="0.25">
      <c r="A97" s="73" t="s">
        <v>28</v>
      </c>
      <c r="B97" s="171"/>
      <c r="C97" s="171"/>
      <c r="D97" s="171"/>
      <c r="E97" s="171"/>
      <c r="F97" s="74" t="s">
        <v>4</v>
      </c>
      <c r="G97" s="98">
        <f>103600/10.764</f>
        <v>9624.6748420661479</v>
      </c>
      <c r="H97" s="98"/>
    </row>
    <row r="98" spans="1:150 16226:16383" ht="20.25" customHeight="1" x14ac:dyDescent="0.25">
      <c r="A98" s="73" t="s">
        <v>112</v>
      </c>
      <c r="B98" s="171"/>
      <c r="C98" s="171"/>
      <c r="D98" s="171"/>
      <c r="E98" s="171"/>
      <c r="F98" s="74" t="s">
        <v>4</v>
      </c>
      <c r="G98" s="98">
        <f>G96*0.8</f>
        <v>2467.4842066146416</v>
      </c>
      <c r="H98" s="98"/>
    </row>
    <row r="99" spans="1:150 16226:16383" ht="20.25" x14ac:dyDescent="0.25">
      <c r="A99" s="111" t="s">
        <v>297</v>
      </c>
      <c r="B99" s="112"/>
      <c r="C99" s="112"/>
      <c r="D99" s="112"/>
      <c r="E99" s="112"/>
      <c r="F99" s="112"/>
      <c r="G99" s="112"/>
      <c r="H99" s="75"/>
    </row>
    <row r="100" spans="1:150 16226:16383" s="3" customFormat="1" ht="20.25" x14ac:dyDescent="0.25">
      <c r="A100" s="76" t="s">
        <v>157</v>
      </c>
      <c r="B100" s="77"/>
      <c r="C100" s="76" t="s">
        <v>158</v>
      </c>
      <c r="D100" s="77"/>
      <c r="E100" s="76" t="s">
        <v>156</v>
      </c>
      <c r="F100" s="77"/>
      <c r="G100" s="76" t="s">
        <v>170</v>
      </c>
      <c r="H100" s="77"/>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50 16226:16383" s="3" customFormat="1" ht="20.25" x14ac:dyDescent="0.25">
      <c r="A101" s="78" t="s">
        <v>299</v>
      </c>
      <c r="B101" s="79"/>
      <c r="C101" s="78" t="s">
        <v>97</v>
      </c>
      <c r="D101" s="79"/>
      <c r="E101" s="78">
        <f>COUNT(E115:E121)</f>
        <v>7</v>
      </c>
      <c r="F101" s="79"/>
      <c r="G101" s="78">
        <f>SUM(H115:H121)</f>
        <v>5411.7086399999989</v>
      </c>
      <c r="H101" s="79"/>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20.25" x14ac:dyDescent="0.25">
      <c r="A102" s="76" t="s">
        <v>159</v>
      </c>
      <c r="B102" s="77"/>
      <c r="C102" s="76" t="s">
        <v>97</v>
      </c>
      <c r="D102" s="77"/>
      <c r="E102" s="76">
        <f>SUM(E101)</f>
        <v>7</v>
      </c>
      <c r="F102" s="77"/>
      <c r="G102" s="76">
        <f>SUM(G101)</f>
        <v>5411.7086399999989</v>
      </c>
      <c r="H102" s="77"/>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ht="20.25" x14ac:dyDescent="0.25">
      <c r="A103" s="111" t="s">
        <v>298</v>
      </c>
      <c r="B103" s="112"/>
      <c r="C103" s="112"/>
      <c r="D103" s="112"/>
      <c r="E103" s="112"/>
      <c r="F103" s="112"/>
      <c r="G103" s="112"/>
      <c r="H103" s="75"/>
    </row>
    <row r="104" spans="1:150 16226:16383" s="3" customFormat="1" ht="20.25" x14ac:dyDescent="0.25">
      <c r="A104" s="76" t="s">
        <v>157</v>
      </c>
      <c r="B104" s="77"/>
      <c r="C104" s="76" t="s">
        <v>158</v>
      </c>
      <c r="D104" s="77"/>
      <c r="E104" s="76" t="s">
        <v>156</v>
      </c>
      <c r="F104" s="77"/>
      <c r="G104" s="76" t="s">
        <v>170</v>
      </c>
      <c r="H104" s="77"/>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3" customFormat="1" ht="20.25" x14ac:dyDescent="0.25">
      <c r="A105" s="78" t="s">
        <v>300</v>
      </c>
      <c r="B105" s="79"/>
      <c r="C105" s="78" t="s">
        <v>97</v>
      </c>
      <c r="D105" s="79"/>
      <c r="E105" s="78">
        <f>COUNT(E124:E129)*27+COUNT(E131:E133,E135:E136)*6</f>
        <v>192</v>
      </c>
      <c r="F105" s="79"/>
      <c r="G105" s="78">
        <f>SUM(H124:H129)*27+SUM(H131:H133,H135:H136)*6</f>
        <v>152856.44243999998</v>
      </c>
      <c r="H105" s="79"/>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21" thickBot="1" x14ac:dyDescent="0.3">
      <c r="A106" s="187" t="s">
        <v>159</v>
      </c>
      <c r="B106" s="188"/>
      <c r="C106" s="187" t="s">
        <v>97</v>
      </c>
      <c r="D106" s="188"/>
      <c r="E106" s="187">
        <f>SUM(E105)</f>
        <v>192</v>
      </c>
      <c r="F106" s="188"/>
      <c r="G106" s="187">
        <f>SUM(G105)</f>
        <v>152856.44243999998</v>
      </c>
      <c r="H106" s="188"/>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1" thickBot="1" x14ac:dyDescent="0.3">
      <c r="A107" s="192" t="s">
        <v>250</v>
      </c>
      <c r="B107" s="193"/>
      <c r="C107" s="194" t="s">
        <v>97</v>
      </c>
      <c r="D107" s="193"/>
      <c r="E107" s="194">
        <f>E102+E106</f>
        <v>199</v>
      </c>
      <c r="F107" s="193"/>
      <c r="G107" s="194">
        <f>G102+G106</f>
        <v>158268.15107999998</v>
      </c>
      <c r="H107" s="195"/>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ht="20.25" x14ac:dyDescent="0.25">
      <c r="A108" s="189" t="s">
        <v>155</v>
      </c>
      <c r="B108" s="190"/>
      <c r="C108" s="190"/>
      <c r="D108" s="190"/>
      <c r="E108" s="190"/>
      <c r="F108" s="190"/>
      <c r="G108" s="190"/>
      <c r="H108" s="191"/>
    </row>
    <row r="109" spans="1:150 16226:16383" ht="66" customHeight="1" x14ac:dyDescent="0.25">
      <c r="A109" s="56" t="s">
        <v>238</v>
      </c>
      <c r="B109" s="35" t="s">
        <v>239</v>
      </c>
      <c r="C109" s="34" t="s">
        <v>240</v>
      </c>
      <c r="D109" s="25" t="s">
        <v>90</v>
      </c>
      <c r="E109" s="35" t="s">
        <v>171</v>
      </c>
      <c r="F109" s="34" t="s">
        <v>241</v>
      </c>
      <c r="G109" s="25" t="s">
        <v>92</v>
      </c>
      <c r="H109" s="25" t="s">
        <v>91</v>
      </c>
    </row>
    <row r="110" spans="1:150 16226:16383" s="3" customFormat="1" ht="20.25" x14ac:dyDescent="0.25">
      <c r="A110" s="80" t="s">
        <v>284</v>
      </c>
      <c r="B110" s="81"/>
      <c r="C110" s="81"/>
      <c r="D110" s="81"/>
      <c r="E110" s="81"/>
      <c r="F110" s="81"/>
      <c r="G110" s="81"/>
      <c r="H110" s="82"/>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3" customFormat="1" ht="22.5" customHeight="1" x14ac:dyDescent="0.25">
      <c r="A111" s="100" t="s">
        <v>286</v>
      </c>
      <c r="B111" s="101"/>
      <c r="C111" s="101"/>
      <c r="D111" s="101"/>
      <c r="E111" s="101"/>
      <c r="F111" s="101"/>
      <c r="G111" s="101"/>
      <c r="H111" s="102"/>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3" customFormat="1" ht="20.25" x14ac:dyDescent="0.25">
      <c r="A112" s="100" t="s">
        <v>285</v>
      </c>
      <c r="B112" s="101"/>
      <c r="C112" s="101"/>
      <c r="D112" s="101"/>
      <c r="E112" s="101"/>
      <c r="F112" s="101"/>
      <c r="G112" s="101"/>
      <c r="H112" s="102"/>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3" customFormat="1" ht="20.25" x14ac:dyDescent="0.25">
      <c r="A113" s="80" t="s">
        <v>294</v>
      </c>
      <c r="B113" s="81"/>
      <c r="C113" s="81"/>
      <c r="D113" s="81"/>
      <c r="E113" s="81"/>
      <c r="F113" s="81"/>
      <c r="G113" s="81"/>
      <c r="H113" s="82"/>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3" customFormat="1" ht="42.75" customHeight="1" x14ac:dyDescent="0.25">
      <c r="A114" s="80" t="s">
        <v>295</v>
      </c>
      <c r="B114" s="81"/>
      <c r="C114" s="81"/>
      <c r="D114" s="81"/>
      <c r="E114" s="81"/>
      <c r="F114" s="81"/>
      <c r="G114" s="81"/>
      <c r="H114" s="82"/>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20.25" x14ac:dyDescent="0.25">
      <c r="A115" s="72">
        <v>7</v>
      </c>
      <c r="B115" s="72"/>
      <c r="C115" s="57" t="s">
        <v>97</v>
      </c>
      <c r="D115" s="57" t="s">
        <v>296</v>
      </c>
      <c r="E115" s="59">
        <f>(47.05)*10.764</f>
        <v>506.44619999999992</v>
      </c>
      <c r="F115" s="59">
        <f>(21.34)*10.764</f>
        <v>229.70375999999999</v>
      </c>
      <c r="G115" s="59">
        <v>0</v>
      </c>
      <c r="H115" s="59">
        <f>E115+F115+(IF(G115&lt;101,G115,IF(G115&lt;201,G115/2,IF(G115&lt;=301,G115/3,G115/4))))</f>
        <v>736.14995999999996</v>
      </c>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20.25" x14ac:dyDescent="0.25">
      <c r="A116" s="83">
        <f>A115+1</f>
        <v>8</v>
      </c>
      <c r="B116" s="84"/>
      <c r="C116" s="57" t="s">
        <v>97</v>
      </c>
      <c r="D116" s="57" t="s">
        <v>296</v>
      </c>
      <c r="E116" s="59">
        <f>(56.01)*10.764</f>
        <v>602.89163999999994</v>
      </c>
      <c r="F116" s="59">
        <f>(28.1)*10.764</f>
        <v>302.46839999999997</v>
      </c>
      <c r="G116" s="59">
        <v>0</v>
      </c>
      <c r="H116" s="59">
        <f t="shared" ref="H116:H121" si="0">E116+F116+(IF(G116&lt;101,G116,IF(G116&lt;201,G116/2,IF(G116&lt;=301,G116/3,G116/4))))</f>
        <v>905.36003999999991</v>
      </c>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25" x14ac:dyDescent="0.25">
      <c r="A117" s="83">
        <f t="shared" ref="A117:A121" si="1">A116+1</f>
        <v>9</v>
      </c>
      <c r="B117" s="84"/>
      <c r="C117" s="57" t="s">
        <v>97</v>
      </c>
      <c r="D117" s="57" t="s">
        <v>296</v>
      </c>
      <c r="E117" s="59">
        <f>(35.43)*10.764</f>
        <v>381.36851999999999</v>
      </c>
      <c r="F117" s="59">
        <f>(16.22)*10.764</f>
        <v>174.59207999999998</v>
      </c>
      <c r="G117" s="59">
        <v>0</v>
      </c>
      <c r="H117" s="59">
        <f t="shared" si="0"/>
        <v>555.9606</v>
      </c>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customHeight="1" x14ac:dyDescent="0.25">
      <c r="A118" s="83">
        <f t="shared" si="1"/>
        <v>10</v>
      </c>
      <c r="B118" s="84"/>
      <c r="C118" s="57" t="s">
        <v>97</v>
      </c>
      <c r="D118" s="57" t="s">
        <v>296</v>
      </c>
      <c r="E118" s="59">
        <f>(33.29)*10.764</f>
        <v>358.33355999999998</v>
      </c>
      <c r="F118" s="59">
        <f>(17.8)*10.764</f>
        <v>191.5992</v>
      </c>
      <c r="G118" s="59">
        <v>0</v>
      </c>
      <c r="H118" s="59">
        <f t="shared" si="0"/>
        <v>549.93275999999992</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customHeight="1" x14ac:dyDescent="0.25">
      <c r="A119" s="83">
        <f t="shared" si="1"/>
        <v>11</v>
      </c>
      <c r="B119" s="84"/>
      <c r="C119" s="57" t="s">
        <v>97</v>
      </c>
      <c r="D119" s="57" t="s">
        <v>296</v>
      </c>
      <c r="E119" s="59">
        <f>(59.65)*10.764</f>
        <v>642.07259999999997</v>
      </c>
      <c r="F119" s="59">
        <f>(26.83)*10.764</f>
        <v>288.79811999999998</v>
      </c>
      <c r="G119" s="59">
        <v>0</v>
      </c>
      <c r="H119" s="59">
        <f t="shared" si="0"/>
        <v>930.87071999999989</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customHeight="1" x14ac:dyDescent="0.25">
      <c r="A120" s="83">
        <f t="shared" si="1"/>
        <v>12</v>
      </c>
      <c r="B120" s="84"/>
      <c r="C120" s="57" t="s">
        <v>97</v>
      </c>
      <c r="D120" s="57" t="s">
        <v>296</v>
      </c>
      <c r="E120" s="59">
        <f>(51.23)*10.764</f>
        <v>551.43971999999997</v>
      </c>
      <c r="F120" s="59">
        <f>(22.9)*10.764</f>
        <v>246.49559999999997</v>
      </c>
      <c r="G120" s="59">
        <v>0</v>
      </c>
      <c r="H120" s="59">
        <f t="shared" si="0"/>
        <v>797.93531999999993</v>
      </c>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customHeight="1" x14ac:dyDescent="0.25">
      <c r="A121" s="83">
        <f t="shared" si="1"/>
        <v>13</v>
      </c>
      <c r="B121" s="84"/>
      <c r="C121" s="57" t="s">
        <v>97</v>
      </c>
      <c r="D121" s="57" t="s">
        <v>296</v>
      </c>
      <c r="E121" s="59">
        <f>(58.95)*10.764</f>
        <v>634.53779999999995</v>
      </c>
      <c r="F121" s="59">
        <f>(27.96)*10.764</f>
        <v>300.96143999999998</v>
      </c>
      <c r="G121" s="59">
        <v>0</v>
      </c>
      <c r="H121" s="59">
        <f t="shared" si="0"/>
        <v>935.49923999999987</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x14ac:dyDescent="0.25">
      <c r="A122" s="80" t="s">
        <v>287</v>
      </c>
      <c r="B122" s="81"/>
      <c r="C122" s="81"/>
      <c r="D122" s="81"/>
      <c r="E122" s="81"/>
      <c r="F122" s="81"/>
      <c r="G122" s="81"/>
      <c r="H122" s="82"/>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39.75" customHeight="1" x14ac:dyDescent="0.25">
      <c r="A123" s="76" t="s">
        <v>288</v>
      </c>
      <c r="B123" s="103"/>
      <c r="C123" s="103"/>
      <c r="D123" s="103"/>
      <c r="E123" s="103"/>
      <c r="F123" s="103"/>
      <c r="G123" s="103"/>
      <c r="H123" s="77"/>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customHeight="1" x14ac:dyDescent="0.25">
      <c r="A124" s="72">
        <v>1</v>
      </c>
      <c r="B124" s="72"/>
      <c r="C124" s="57" t="s">
        <v>97</v>
      </c>
      <c r="D124" s="57" t="s">
        <v>289</v>
      </c>
      <c r="E124" s="60">
        <f>(84.63)*10.764</f>
        <v>910.95731999999987</v>
      </c>
      <c r="F124" s="59">
        <f>(3.41)*10.764</f>
        <v>36.705239999999996</v>
      </c>
      <c r="G124" s="59">
        <v>0</v>
      </c>
      <c r="H124" s="59">
        <f>E124+F124+(IF(G124&lt;101,G124,IF(G124&lt;201,G124/2,IF(G124&lt;=301,G124/3,G124/4))))</f>
        <v>947.66255999999987</v>
      </c>
      <c r="I124" s="1"/>
      <c r="J124" s="1"/>
      <c r="K124" s="1"/>
      <c r="L124" s="1"/>
      <c r="M124" s="1"/>
      <c r="N124" s="1"/>
      <c r="O124" s="1"/>
      <c r="P124" s="1"/>
      <c r="Q124" s="1"/>
      <c r="R124" s="1"/>
      <c r="S124" s="1"/>
      <c r="T124" s="19" t="str">
        <f t="shared" ref="T124:T129" ca="1" si="2">U124&amp;""&amp;",..,"&amp;""&amp;V124</f>
        <v>15701,..,3301</v>
      </c>
      <c r="U124" s="19">
        <f ca="1">(SUMPRODUCT(MID(0&amp;(LEFT(A123,SUM(LEN(A123)-LEN(SUBSTITUTE(A123,{"0","1","2","3"},""))))), LARGE(INDEX(ISNUMBER(--MID((LEFT(A123,SUM(LEN(A123)-LEN(SUBSTITUTE(A123,{"0","1","2","3"},""))))), ROW(INDIRECT("1:"&amp;LEN((LEFT(A123,SUM(LEN(A123)-LEN(SUBSTITUTE(A123,{"0","1","2","3"},"")))))))), 1)) * ROW(INDIRECT("1:"&amp;LEN((LEFT(A123,SUM(LEN(A123)-LEN(SUBSTITUTE(A123,{"0","1","2","3"},"")))))))), 0), ROW(INDIRECT("1:"&amp;LEN((LEFT(A123,SUM(LEN(A123)-LEN(SUBSTITUTE(A123,{"0","1","2","3"},"")))))))))+1, 1) * 10^ROW(INDIRECT("1:"&amp;LEN((LEFT(A123,SUM(LEN(A123)-LEN(SUBSTITUTE(A123,{"0","1","2","3"},""))))))))/10))*100+1</f>
        <v>15701</v>
      </c>
      <c r="V124" s="19">
        <f ca="1">(SUMPRODUCT(MID(0&amp;(--TRIM(RIGHT(SUBSTITUTE(LEFT(A123,_xlfn.AGGREGATE(16,6,FIND({0,1,2,3,4,5,6,7,8,9},A123,ROW(INDIRECT("1:"&amp;LEN(A123)))),1))," ",REPT(" ",LEN(A123))),LEN(A123)))), LARGE(INDEX(ISNUMBER(--MID((--TRIM(RIGHT(SUBSTITUTE(LEFT(A123,_xlfn.AGGREGATE(16,6,FIND({0,1,2,3,4,5,6,7,8,9},A123,ROW(INDIRECT("1:"&amp;LEN(A123)))),1))," ",REPT(" ",LEN(A123))),LEN(A123)))), ROW(INDIRECT("1:"&amp;LEN((--TRIM(RIGHT(SUBSTITUTE(LEFT(A123,_xlfn.AGGREGATE(16,6,FIND({0,1,2,3,4,5,6,7,8,9},A123,ROW(INDIRECT("1:"&amp;LEN(A123)))),1))," ",REPT(" ",LEN(A123))),LEN(A123))))))), 1)) * ROW(INDIRECT("1:"&amp;LEN((--TRIM(RIGHT(SUBSTITUTE(LEFT(A123,_xlfn.AGGREGATE(16,6,FIND({0,1,2,3,4,5,6,7,8,9},A123,ROW(INDIRECT("1:"&amp;LEN(A123)))),1))," ",REPT(" ",LEN(A123))),LEN(A123))))))), 0), ROW(INDIRECT("1:"&amp;LEN((--TRIM(RIGHT(SUBSTITUTE(LEFT(A123,_xlfn.AGGREGATE(16,6,FIND({0,1,2,3,4,5,6,7,8,9},A123,ROW(INDIRECT("1:"&amp;LEN(A123)))),1))," ",REPT(" ",LEN(A123))),LEN(A123))))))))+1, 1) * 10^ROW(INDIRECT("1:"&amp;LEN((--TRIM(RIGHT(SUBSTITUTE(LEFT(A123,_xlfn.AGGREGATE(16,6,FIND({0,1,2,3,4,5,6,7,8,9},A123,ROW(INDIRECT("1:"&amp;LEN(A123)))),1))," ",REPT(" ",LEN(A123))),LEN(A123)))))))/10))*100+1</f>
        <v>3301</v>
      </c>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customHeight="1" x14ac:dyDescent="0.25">
      <c r="A125" s="72">
        <f>A124+1</f>
        <v>2</v>
      </c>
      <c r="B125" s="72"/>
      <c r="C125" s="57" t="s">
        <v>97</v>
      </c>
      <c r="D125" s="57" t="s">
        <v>289</v>
      </c>
      <c r="E125" s="60">
        <f>(91.62)*10.764</f>
        <v>986.19767999999999</v>
      </c>
      <c r="F125" s="59">
        <f>(3.39)*10.764</f>
        <v>36.489959999999996</v>
      </c>
      <c r="G125" s="59">
        <v>0</v>
      </c>
      <c r="H125" s="59">
        <f t="shared" ref="H125:H129" si="3">E125+F125+(IF(G125&lt;101,G125,IF(G125&lt;201,G125/2,IF(G125&lt;=301,G125/3,G125/4))))</f>
        <v>1022.68764</v>
      </c>
      <c r="I125" s="1"/>
      <c r="J125" s="1"/>
      <c r="K125" s="1"/>
      <c r="L125" s="1"/>
      <c r="M125" s="1"/>
      <c r="N125" s="1"/>
      <c r="O125" s="1"/>
      <c r="P125" s="1"/>
      <c r="Q125" s="1"/>
      <c r="R125" s="1"/>
      <c r="S125" s="1"/>
      <c r="T125" s="19" t="str">
        <f t="shared" ca="1" si="2"/>
        <v>15702,..,3302</v>
      </c>
      <c r="U125" s="19">
        <f ca="1">U124+1</f>
        <v>15702</v>
      </c>
      <c r="V125" s="19">
        <f ca="1">V124+1</f>
        <v>3302</v>
      </c>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customHeight="1" x14ac:dyDescent="0.25">
      <c r="A126" s="72">
        <f t="shared" ref="A126:A129" si="4">A125+1</f>
        <v>3</v>
      </c>
      <c r="B126" s="72"/>
      <c r="C126" s="57" t="s">
        <v>97</v>
      </c>
      <c r="D126" s="57" t="s">
        <v>290</v>
      </c>
      <c r="E126" s="60">
        <f>(67.64)*10.764</f>
        <v>728.07695999999999</v>
      </c>
      <c r="F126" s="59">
        <f>(2.72)*10.764</f>
        <v>29.278079999999999</v>
      </c>
      <c r="G126" s="59">
        <v>0</v>
      </c>
      <c r="H126" s="59">
        <f t="shared" si="3"/>
        <v>757.35504000000003</v>
      </c>
      <c r="I126" s="1"/>
      <c r="J126" s="1"/>
      <c r="K126" s="1"/>
      <c r="L126" s="1"/>
      <c r="M126" s="1"/>
      <c r="N126" s="1"/>
      <c r="O126" s="1"/>
      <c r="P126" s="1"/>
      <c r="Q126" s="1"/>
      <c r="R126" s="1"/>
      <c r="S126" s="1"/>
      <c r="T126" s="19" t="str">
        <f t="shared" ca="1" si="2"/>
        <v>15703,..,3303</v>
      </c>
      <c r="U126" s="19">
        <f t="shared" ref="U126:V129" ca="1" si="5">U125+1</f>
        <v>15703</v>
      </c>
      <c r="V126" s="19">
        <f t="shared" ca="1" si="5"/>
        <v>3303</v>
      </c>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customHeight="1" x14ac:dyDescent="0.25">
      <c r="A127" s="72">
        <f t="shared" si="4"/>
        <v>4</v>
      </c>
      <c r="B127" s="72"/>
      <c r="C127" s="57" t="s">
        <v>97</v>
      </c>
      <c r="D127" s="57" t="s">
        <v>291</v>
      </c>
      <c r="E127" s="60">
        <f>(55.22)*10.764</f>
        <v>594.38807999999995</v>
      </c>
      <c r="F127" s="59">
        <f>(2.56)*10.764</f>
        <v>27.55584</v>
      </c>
      <c r="G127" s="59">
        <v>0</v>
      </c>
      <c r="H127" s="59">
        <f t="shared" si="3"/>
        <v>621.94391999999993</v>
      </c>
      <c r="I127" s="1">
        <f>9900000/H127</f>
        <v>15917.833878012669</v>
      </c>
      <c r="J127" s="1"/>
      <c r="K127" s="1"/>
      <c r="L127" s="1"/>
      <c r="M127" s="1"/>
      <c r="N127" s="1"/>
      <c r="O127" s="1"/>
      <c r="P127" s="1"/>
      <c r="Q127" s="1"/>
      <c r="R127" s="1"/>
      <c r="S127" s="1"/>
      <c r="T127" s="19" t="str">
        <f t="shared" ca="1" si="2"/>
        <v>15704,..,3304</v>
      </c>
      <c r="U127" s="19">
        <f t="shared" ca="1" si="5"/>
        <v>15704</v>
      </c>
      <c r="V127" s="19">
        <f t="shared" ca="1" si="5"/>
        <v>3304</v>
      </c>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customHeight="1" x14ac:dyDescent="0.25">
      <c r="A128" s="72">
        <f t="shared" si="4"/>
        <v>5</v>
      </c>
      <c r="B128" s="72"/>
      <c r="C128" s="57" t="s">
        <v>97</v>
      </c>
      <c r="D128" s="57" t="s">
        <v>290</v>
      </c>
      <c r="E128" s="60">
        <f>(59.04)*10.764</f>
        <v>635.50655999999992</v>
      </c>
      <c r="F128" s="59">
        <f>(2.56)*10.764</f>
        <v>27.55584</v>
      </c>
      <c r="G128" s="59">
        <v>0</v>
      </c>
      <c r="H128" s="59">
        <f t="shared" si="3"/>
        <v>663.06239999999991</v>
      </c>
      <c r="I128" s="1"/>
      <c r="J128" s="1"/>
      <c r="K128" s="1"/>
      <c r="L128" s="1"/>
      <c r="M128" s="1"/>
      <c r="N128" s="1"/>
      <c r="O128" s="1"/>
      <c r="P128" s="1"/>
      <c r="Q128" s="1"/>
      <c r="R128" s="1"/>
      <c r="S128" s="1"/>
      <c r="T128" s="19" t="str">
        <f t="shared" ca="1" si="2"/>
        <v>15705,..,3305</v>
      </c>
      <c r="U128" s="19">
        <f t="shared" ca="1" si="5"/>
        <v>15705</v>
      </c>
      <c r="V128" s="19">
        <f t="shared" ca="1" si="5"/>
        <v>3305</v>
      </c>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customHeight="1" x14ac:dyDescent="0.25">
      <c r="A129" s="72">
        <f t="shared" si="4"/>
        <v>6</v>
      </c>
      <c r="B129" s="72"/>
      <c r="C129" s="57" t="s">
        <v>97</v>
      </c>
      <c r="D129" s="57" t="s">
        <v>290</v>
      </c>
      <c r="E129" s="60">
        <f>(65.32)*10.764</f>
        <v>703.10447999999985</v>
      </c>
      <c r="F129" s="59">
        <f>(2.72)*10.764</f>
        <v>29.278079999999999</v>
      </c>
      <c r="G129" s="59">
        <v>0</v>
      </c>
      <c r="H129" s="59">
        <f t="shared" si="3"/>
        <v>732.3825599999999</v>
      </c>
      <c r="I129" s="1">
        <f>11000*1.5</f>
        <v>16500</v>
      </c>
      <c r="J129" s="1"/>
      <c r="K129" s="1"/>
      <c r="L129" s="1"/>
      <c r="M129" s="1"/>
      <c r="N129" s="1"/>
      <c r="O129" s="1"/>
      <c r="P129" s="1"/>
      <c r="Q129" s="1"/>
      <c r="R129" s="1"/>
      <c r="S129" s="1"/>
      <c r="T129" s="19" t="str">
        <f t="shared" ca="1" si="2"/>
        <v>15706,..,3306</v>
      </c>
      <c r="U129" s="19">
        <f t="shared" ca="1" si="5"/>
        <v>15706</v>
      </c>
      <c r="V129" s="19">
        <f t="shared" ca="1" si="5"/>
        <v>3306</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x14ac:dyDescent="0.25">
      <c r="A130" s="76" t="s">
        <v>292</v>
      </c>
      <c r="B130" s="103"/>
      <c r="C130" s="103"/>
      <c r="D130" s="103"/>
      <c r="E130" s="103"/>
      <c r="F130" s="103"/>
      <c r="G130" s="103"/>
      <c r="H130" s="77"/>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customHeight="1" x14ac:dyDescent="0.25">
      <c r="A131" s="72">
        <v>1</v>
      </c>
      <c r="B131" s="72"/>
      <c r="C131" s="57" t="s">
        <v>97</v>
      </c>
      <c r="D131" s="57" t="s">
        <v>289</v>
      </c>
      <c r="E131" s="60">
        <f>(84.63)*10.764</f>
        <v>910.95731999999987</v>
      </c>
      <c r="F131" s="59">
        <f>(3.41)*10.764</f>
        <v>36.705239999999996</v>
      </c>
      <c r="G131" s="59">
        <v>0</v>
      </c>
      <c r="H131" s="59">
        <f>E131+F131+(IF(G131&lt;101,G131,IF(G131&lt;201,G131/2,IF(G131&lt;=301,G131/3,G131/4))))</f>
        <v>947.66255999999987</v>
      </c>
      <c r="I131" s="1"/>
      <c r="J131" s="1"/>
      <c r="K131" s="1"/>
      <c r="L131" s="1"/>
      <c r="M131" s="1"/>
      <c r="N131" s="1"/>
      <c r="O131" s="1"/>
      <c r="P131" s="1"/>
      <c r="Q131" s="1"/>
      <c r="R131" s="1"/>
      <c r="S131" s="1"/>
      <c r="T131" s="19" t="str">
        <f t="shared" ref="T131:T136" ca="1" si="6">U131&amp;""&amp;",..,"&amp;""&amp;V131</f>
        <v>61101,..,3101</v>
      </c>
      <c r="U131" s="19">
        <f ca="1">(SUMPRODUCT(MID(0&amp;(LEFT(A130,SUM(LEN(A130)-LEN(SUBSTITUTE(A130,{"0","1","2","3"},""))))), LARGE(INDEX(ISNUMBER(--MID((LEFT(A130,SUM(LEN(A130)-LEN(SUBSTITUTE(A130,{"0","1","2","3"},""))))), ROW(INDIRECT("1:"&amp;LEN((LEFT(A130,SUM(LEN(A130)-LEN(SUBSTITUTE(A130,{"0","1","2","3"},"")))))))), 1)) * ROW(INDIRECT("1:"&amp;LEN((LEFT(A130,SUM(LEN(A130)-LEN(SUBSTITUTE(A130,{"0","1","2","3"},"")))))))), 0), ROW(INDIRECT("1:"&amp;LEN((LEFT(A130,SUM(LEN(A130)-LEN(SUBSTITUTE(A130,{"0","1","2","3"},"")))))))))+1, 1) * 10^ROW(INDIRECT("1:"&amp;LEN((LEFT(A130,SUM(LEN(A130)-LEN(SUBSTITUTE(A130,{"0","1","2","3"},""))))))))/10))*100+1</f>
        <v>61101</v>
      </c>
      <c r="V131" s="19">
        <f ca="1">(SUMPRODUCT(MID(0&amp;(--TRIM(RIGHT(SUBSTITUTE(LEFT(A130,_xlfn.AGGREGATE(16,6,FIND({0,1,2,3,4,5,6,7,8,9},A130,ROW(INDIRECT("1:"&amp;LEN(A130)))),1))," ",REPT(" ",LEN(A130))),LEN(A130)))), LARGE(INDEX(ISNUMBER(--MID((--TRIM(RIGHT(SUBSTITUTE(LEFT(A130,_xlfn.AGGREGATE(16,6,FIND({0,1,2,3,4,5,6,7,8,9},A130,ROW(INDIRECT("1:"&amp;LEN(A130)))),1))," ",REPT(" ",LEN(A130))),LEN(A130)))), ROW(INDIRECT("1:"&amp;LEN((--TRIM(RIGHT(SUBSTITUTE(LEFT(A130,_xlfn.AGGREGATE(16,6,FIND({0,1,2,3,4,5,6,7,8,9},A130,ROW(INDIRECT("1:"&amp;LEN(A130)))),1))," ",REPT(" ",LEN(A130))),LEN(A130))))))), 1)) * ROW(INDIRECT("1:"&amp;LEN((--TRIM(RIGHT(SUBSTITUTE(LEFT(A130,_xlfn.AGGREGATE(16,6,FIND({0,1,2,3,4,5,6,7,8,9},A130,ROW(INDIRECT("1:"&amp;LEN(A130)))),1))," ",REPT(" ",LEN(A130))),LEN(A130))))))), 0), ROW(INDIRECT("1:"&amp;LEN((--TRIM(RIGHT(SUBSTITUTE(LEFT(A130,_xlfn.AGGREGATE(16,6,FIND({0,1,2,3,4,5,6,7,8,9},A130,ROW(INDIRECT("1:"&amp;LEN(A130)))),1))," ",REPT(" ",LEN(A130))),LEN(A130))))))))+1, 1) * 10^ROW(INDIRECT("1:"&amp;LEN((--TRIM(RIGHT(SUBSTITUTE(LEFT(A130,_xlfn.AGGREGATE(16,6,FIND({0,1,2,3,4,5,6,7,8,9},A130,ROW(INDIRECT("1:"&amp;LEN(A130)))),1))," ",REPT(" ",LEN(A130))),LEN(A130)))))))/10))*100+1</f>
        <v>3101</v>
      </c>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customHeight="1" x14ac:dyDescent="0.25">
      <c r="A132" s="72">
        <f>A131+1</f>
        <v>2</v>
      </c>
      <c r="B132" s="72"/>
      <c r="C132" s="57" t="s">
        <v>97</v>
      </c>
      <c r="D132" s="57" t="s">
        <v>289</v>
      </c>
      <c r="E132" s="60">
        <f>(91.62)*10.764</f>
        <v>986.19767999999999</v>
      </c>
      <c r="F132" s="59">
        <f>(3.39)*10.764</f>
        <v>36.489959999999996</v>
      </c>
      <c r="G132" s="59">
        <v>0</v>
      </c>
      <c r="H132" s="59">
        <f t="shared" ref="H132:H136" si="7">E132+F132+(IF(G132&lt;101,G132,IF(G132&lt;201,G132/2,IF(G132&lt;=301,G132/3,G132/4))))</f>
        <v>1022.68764</v>
      </c>
      <c r="I132" s="1"/>
      <c r="J132" s="1"/>
      <c r="K132" s="1"/>
      <c r="L132" s="1"/>
      <c r="M132" s="1"/>
      <c r="N132" s="1"/>
      <c r="O132" s="1"/>
      <c r="P132" s="1"/>
      <c r="Q132" s="1"/>
      <c r="R132" s="1"/>
      <c r="S132" s="1"/>
      <c r="T132" s="19" t="str">
        <f t="shared" ca="1" si="6"/>
        <v>61102,..,3102</v>
      </c>
      <c r="U132" s="19">
        <f ca="1">U131+1</f>
        <v>61102</v>
      </c>
      <c r="V132" s="19">
        <f ca="1">V131+1</f>
        <v>3102</v>
      </c>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customHeight="1" x14ac:dyDescent="0.25">
      <c r="A133" s="72">
        <f t="shared" ref="A133:A136" si="8">A132+1</f>
        <v>3</v>
      </c>
      <c r="B133" s="72"/>
      <c r="C133" s="57" t="s">
        <v>97</v>
      </c>
      <c r="D133" s="57" t="s">
        <v>290</v>
      </c>
      <c r="E133" s="60">
        <f>(67.64)*10.764</f>
        <v>728.07695999999999</v>
      </c>
      <c r="F133" s="59">
        <f>(2.72)*10.764</f>
        <v>29.278079999999999</v>
      </c>
      <c r="G133" s="59">
        <v>0</v>
      </c>
      <c r="H133" s="59">
        <f t="shared" si="7"/>
        <v>757.35504000000003</v>
      </c>
      <c r="I133" s="1"/>
      <c r="J133" s="1"/>
      <c r="K133" s="1"/>
      <c r="L133" s="1"/>
      <c r="M133" s="1"/>
      <c r="N133" s="1"/>
      <c r="O133" s="1"/>
      <c r="P133" s="1"/>
      <c r="Q133" s="1"/>
      <c r="R133" s="1"/>
      <c r="S133" s="1"/>
      <c r="T133" s="19" t="str">
        <f t="shared" ca="1" si="6"/>
        <v>61103,..,3103</v>
      </c>
      <c r="U133" s="19">
        <f t="shared" ref="U133:V133" ca="1" si="9">U132+1</f>
        <v>61103</v>
      </c>
      <c r="V133" s="19">
        <f t="shared" ca="1" si="9"/>
        <v>3103</v>
      </c>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25">
      <c r="A134" s="72">
        <f t="shared" si="8"/>
        <v>4</v>
      </c>
      <c r="B134" s="72"/>
      <c r="C134" s="168" t="s">
        <v>293</v>
      </c>
      <c r="D134" s="169"/>
      <c r="E134" s="169"/>
      <c r="F134" s="169"/>
      <c r="G134" s="169"/>
      <c r="H134" s="170"/>
      <c r="I134" s="1"/>
      <c r="J134" s="1"/>
      <c r="K134" s="1"/>
      <c r="L134" s="1"/>
      <c r="M134" s="1"/>
      <c r="N134" s="1"/>
      <c r="O134" s="1"/>
      <c r="P134" s="1"/>
      <c r="Q134" s="1"/>
      <c r="R134" s="1"/>
      <c r="S134" s="1"/>
      <c r="T134" s="19" t="str">
        <f t="shared" ca="1" si="6"/>
        <v>61104,..,3104</v>
      </c>
      <c r="U134" s="19">
        <f t="shared" ref="U134:V134" ca="1" si="10">U133+1</f>
        <v>61104</v>
      </c>
      <c r="V134" s="19">
        <f t="shared" ca="1" si="10"/>
        <v>3104</v>
      </c>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customHeight="1" x14ac:dyDescent="0.25">
      <c r="A135" s="72">
        <f t="shared" si="8"/>
        <v>5</v>
      </c>
      <c r="B135" s="72"/>
      <c r="C135" s="57" t="s">
        <v>97</v>
      </c>
      <c r="D135" s="57" t="s">
        <v>290</v>
      </c>
      <c r="E135" s="60">
        <f>(59.04)*10.764</f>
        <v>635.50655999999992</v>
      </c>
      <c r="F135" s="59">
        <f>(2.56)*10.764</f>
        <v>27.55584</v>
      </c>
      <c r="G135" s="59">
        <v>0</v>
      </c>
      <c r="H135" s="59">
        <f t="shared" si="7"/>
        <v>663.06239999999991</v>
      </c>
      <c r="I135" s="1"/>
      <c r="J135" s="1"/>
      <c r="K135" s="1"/>
      <c r="L135" s="1"/>
      <c r="M135" s="1"/>
      <c r="N135" s="1"/>
      <c r="O135" s="1"/>
      <c r="P135" s="1"/>
      <c r="Q135" s="1"/>
      <c r="R135" s="1"/>
      <c r="S135" s="1"/>
      <c r="T135" s="19" t="str">
        <f t="shared" ca="1" si="6"/>
        <v>61105,..,3105</v>
      </c>
      <c r="U135" s="19">
        <f t="shared" ref="U135:V135" ca="1" si="11">U134+1</f>
        <v>61105</v>
      </c>
      <c r="V135" s="19">
        <f t="shared" ca="1" si="11"/>
        <v>3105</v>
      </c>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25">
      <c r="A136" s="72">
        <f t="shared" si="8"/>
        <v>6</v>
      </c>
      <c r="B136" s="72"/>
      <c r="C136" s="57" t="s">
        <v>97</v>
      </c>
      <c r="D136" s="57" t="s">
        <v>290</v>
      </c>
      <c r="E136" s="60">
        <f>(65.32)*10.764</f>
        <v>703.10447999999985</v>
      </c>
      <c r="F136" s="59">
        <f>(2.72)*10.764</f>
        <v>29.278079999999999</v>
      </c>
      <c r="G136" s="59">
        <v>0</v>
      </c>
      <c r="H136" s="59">
        <f t="shared" si="7"/>
        <v>732.3825599999999</v>
      </c>
      <c r="I136" s="1"/>
      <c r="J136" s="1"/>
      <c r="K136" s="1"/>
      <c r="L136" s="1"/>
      <c r="M136" s="1"/>
      <c r="N136" s="1"/>
      <c r="O136" s="1"/>
      <c r="P136" s="1"/>
      <c r="Q136" s="1"/>
      <c r="R136" s="1"/>
      <c r="S136" s="1"/>
      <c r="T136" s="19" t="str">
        <f t="shared" ca="1" si="6"/>
        <v>61106,..,3106</v>
      </c>
      <c r="U136" s="19">
        <f t="shared" ref="U136:V136" ca="1" si="12">U135+1</f>
        <v>61106</v>
      </c>
      <c r="V136" s="19">
        <f t="shared" ca="1" si="12"/>
        <v>3106</v>
      </c>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hidden="1" x14ac:dyDescent="0.25">
      <c r="A137" s="80" t="s">
        <v>132</v>
      </c>
      <c r="B137" s="81"/>
      <c r="C137" s="81"/>
      <c r="D137" s="81"/>
      <c r="E137" s="81"/>
      <c r="F137" s="81"/>
      <c r="G137" s="81"/>
      <c r="H137" s="82"/>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hidden="1" x14ac:dyDescent="0.25">
      <c r="A138" s="72">
        <f>LEFT(A137,SUM(LEN(A137)-LEN(SUBSTITUTE(A137,{"0","1","2","3","4","5","6","7","8","9"},""))))*100+1</f>
        <v>101</v>
      </c>
      <c r="B138" s="72"/>
      <c r="C138" s="57"/>
      <c r="D138" s="57"/>
      <c r="E138" s="33">
        <v>0</v>
      </c>
      <c r="F138" s="32">
        <v>0</v>
      </c>
      <c r="G138" s="32">
        <v>0</v>
      </c>
      <c r="H138" s="5">
        <f>E138+F138+(IF(G138&lt;101,G138,IF(G138&lt;201,G138/2,IF(G138&lt;=301,G138/3,G138/4))))</f>
        <v>0</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hidden="1" x14ac:dyDescent="0.25">
      <c r="A139" s="83">
        <f>A138+1</f>
        <v>102</v>
      </c>
      <c r="B139" s="84"/>
      <c r="C139" s="57"/>
      <c r="D139" s="57"/>
      <c r="E139" s="33"/>
      <c r="F139" s="32"/>
      <c r="G139" s="32"/>
      <c r="H139" s="32">
        <f t="shared" ref="H139:H145" si="13">E139+F139+(IF(G139&lt;101,G139,IF(G139&lt;201,G139/2,IF(G139&lt;=301,G139/3,G139/4))))</f>
        <v>0</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hidden="1" x14ac:dyDescent="0.25">
      <c r="A140" s="83">
        <f t="shared" ref="A140:A145" si="14">A139+1</f>
        <v>103</v>
      </c>
      <c r="B140" s="84"/>
      <c r="C140" s="57"/>
      <c r="D140" s="57"/>
      <c r="E140" s="33"/>
      <c r="F140" s="32"/>
      <c r="G140" s="32"/>
      <c r="H140" s="32">
        <f t="shared" si="13"/>
        <v>0</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hidden="1" customHeight="1" x14ac:dyDescent="0.25">
      <c r="A141" s="83">
        <f t="shared" si="14"/>
        <v>104</v>
      </c>
      <c r="B141" s="84"/>
      <c r="C141" s="57"/>
      <c r="D141" s="57"/>
      <c r="E141" s="33"/>
      <c r="F141" s="32"/>
      <c r="G141" s="32"/>
      <c r="H141" s="32">
        <f t="shared" si="13"/>
        <v>0</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hidden="1" customHeight="1" x14ac:dyDescent="0.25">
      <c r="A142" s="83">
        <f t="shared" si="14"/>
        <v>105</v>
      </c>
      <c r="B142" s="84"/>
      <c r="C142" s="57"/>
      <c r="D142" s="57"/>
      <c r="E142" s="33"/>
      <c r="F142" s="32"/>
      <c r="G142" s="32"/>
      <c r="H142" s="32">
        <f t="shared" si="13"/>
        <v>0</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hidden="1" customHeight="1" x14ac:dyDescent="0.25">
      <c r="A143" s="83">
        <f t="shared" si="14"/>
        <v>106</v>
      </c>
      <c r="B143" s="84"/>
      <c r="C143" s="57"/>
      <c r="D143" s="57"/>
      <c r="E143" s="33"/>
      <c r="F143" s="32"/>
      <c r="G143" s="32"/>
      <c r="H143" s="32">
        <f t="shared" si="13"/>
        <v>0</v>
      </c>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hidden="1" customHeight="1" x14ac:dyDescent="0.25">
      <c r="A144" s="83">
        <f t="shared" si="14"/>
        <v>107</v>
      </c>
      <c r="B144" s="84"/>
      <c r="C144" s="57"/>
      <c r="D144" s="57"/>
      <c r="E144" s="33"/>
      <c r="F144" s="32"/>
      <c r="G144" s="32"/>
      <c r="H144" s="32">
        <f t="shared" si="13"/>
        <v>0</v>
      </c>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hidden="1" customHeight="1" x14ac:dyDescent="0.25">
      <c r="A145" s="83">
        <f t="shared" si="14"/>
        <v>108</v>
      </c>
      <c r="B145" s="84"/>
      <c r="C145" s="57"/>
      <c r="D145" s="57"/>
      <c r="E145" s="33"/>
      <c r="F145" s="32"/>
      <c r="G145" s="32"/>
      <c r="H145" s="32">
        <f t="shared" si="13"/>
        <v>0</v>
      </c>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hidden="1" x14ac:dyDescent="0.25">
      <c r="A146" s="106" t="s">
        <v>133</v>
      </c>
      <c r="B146" s="107"/>
      <c r="C146" s="107"/>
      <c r="D146" s="107"/>
      <c r="E146" s="107"/>
      <c r="F146" s="107"/>
      <c r="G146" s="107"/>
      <c r="H146" s="108"/>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hidden="1" customHeight="1" x14ac:dyDescent="0.25">
      <c r="A147" s="72" t="str">
        <f ca="1">T147</f>
        <v>201,..,901</v>
      </c>
      <c r="B147" s="72"/>
      <c r="C147" s="57"/>
      <c r="D147" s="57"/>
      <c r="E147" s="33">
        <v>0</v>
      </c>
      <c r="F147" s="32">
        <v>0</v>
      </c>
      <c r="G147" s="32">
        <v>0</v>
      </c>
      <c r="H147" s="32">
        <f>E147+F147+(IF(G147&lt;101,G147,IF(G147&lt;201,G147/2,IF(G147&lt;=301,G147/3,G147/4))))</f>
        <v>0</v>
      </c>
      <c r="I147" s="1"/>
      <c r="J147" s="1"/>
      <c r="K147" s="1"/>
      <c r="L147" s="1"/>
      <c r="M147" s="1"/>
      <c r="N147" s="1"/>
      <c r="O147" s="1"/>
      <c r="P147" s="1"/>
      <c r="Q147" s="1"/>
      <c r="R147" s="1"/>
      <c r="S147" s="1"/>
      <c r="T147" s="19" t="str">
        <f t="shared" ref="T147:T154" ca="1" si="15">U147&amp;""&amp;",..,"&amp;""&amp;V147</f>
        <v>201,..,901</v>
      </c>
      <c r="U147" s="19">
        <f ca="1">(SUMPRODUCT(MID(0&amp;(LEFT(A146,SUM(LEN(A146)-LEN(SUBSTITUTE(A146,{"0","1","2","3"},""))))), LARGE(INDEX(ISNUMBER(--MID((LEFT(A146,SUM(LEN(A146)-LEN(SUBSTITUTE(A146,{"0","1","2","3"},""))))), ROW(INDIRECT("1:"&amp;LEN((LEFT(A146,SUM(LEN(A146)-LEN(SUBSTITUTE(A146,{"0","1","2","3"},"")))))))), 1)) * ROW(INDIRECT("1:"&amp;LEN((LEFT(A146,SUM(LEN(A146)-LEN(SUBSTITUTE(A146,{"0","1","2","3"},"")))))))), 0), ROW(INDIRECT("1:"&amp;LEN((LEFT(A146,SUM(LEN(A146)-LEN(SUBSTITUTE(A146,{"0","1","2","3"},"")))))))))+1, 1) * 10^ROW(INDIRECT("1:"&amp;LEN((LEFT(A146,SUM(LEN(A146)-LEN(SUBSTITUTE(A146,{"0","1","2","3"},""))))))))/10))*100+1</f>
        <v>201</v>
      </c>
      <c r="V147" s="19">
        <f ca="1">(SUMPRODUCT(MID(0&amp;(--TRIM(RIGHT(SUBSTITUTE(LEFT(A146,_xlfn.AGGREGATE(16,6,FIND({0,1,2,3,4,5,6,7,8,9},A146,ROW(INDIRECT("1:"&amp;LEN(A146)))),1))," ",REPT(" ",LEN(A146))),LEN(A146)))), LARGE(INDEX(ISNUMBER(--MID((--TRIM(RIGHT(SUBSTITUTE(LEFT(A146,_xlfn.AGGREGATE(16,6,FIND({0,1,2,3,4,5,6,7,8,9},A146,ROW(INDIRECT("1:"&amp;LEN(A146)))),1))," ",REPT(" ",LEN(A146))),LEN(A146)))), ROW(INDIRECT("1:"&amp;LEN((--TRIM(RIGHT(SUBSTITUTE(LEFT(A146,_xlfn.AGGREGATE(16,6,FIND({0,1,2,3,4,5,6,7,8,9},A146,ROW(INDIRECT("1:"&amp;LEN(A146)))),1))," ",REPT(" ",LEN(A146))),LEN(A146))))))), 1)) * ROW(INDIRECT("1:"&amp;LEN((--TRIM(RIGHT(SUBSTITUTE(LEFT(A146,_xlfn.AGGREGATE(16,6,FIND({0,1,2,3,4,5,6,7,8,9},A146,ROW(INDIRECT("1:"&amp;LEN(A146)))),1))," ",REPT(" ",LEN(A146))),LEN(A146))))))), 0), ROW(INDIRECT("1:"&amp;LEN((--TRIM(RIGHT(SUBSTITUTE(LEFT(A146,_xlfn.AGGREGATE(16,6,FIND({0,1,2,3,4,5,6,7,8,9},A146,ROW(INDIRECT("1:"&amp;LEN(A146)))),1))," ",REPT(" ",LEN(A146))),LEN(A146))))))))+1, 1) * 10^ROW(INDIRECT("1:"&amp;LEN((--TRIM(RIGHT(SUBSTITUTE(LEFT(A146,_xlfn.AGGREGATE(16,6,FIND({0,1,2,3,4,5,6,7,8,9},A146,ROW(INDIRECT("1:"&amp;LEN(A146)))),1))," ",REPT(" ",LEN(A146))),LEN(A146)))))))/10))*100+1</f>
        <v>901</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hidden="1" customHeight="1" x14ac:dyDescent="0.25">
      <c r="A148" s="72" t="str">
        <f t="shared" ref="A148:A154" ca="1" si="16">T148</f>
        <v>202,..,902</v>
      </c>
      <c r="B148" s="72"/>
      <c r="C148" s="57"/>
      <c r="D148" s="57"/>
      <c r="E148" s="33"/>
      <c r="F148" s="32"/>
      <c r="G148" s="32"/>
      <c r="H148" s="32">
        <f t="shared" ref="H148:H154" si="17">E148+F148+(IF(G148&lt;101,G148,IF(G148&lt;201,G148/2,IF(G148&lt;=301,G148/3,G148/4))))</f>
        <v>0</v>
      </c>
      <c r="I148" s="1"/>
      <c r="J148" s="1"/>
      <c r="K148" s="1"/>
      <c r="L148" s="1"/>
      <c r="M148" s="1"/>
      <c r="N148" s="1"/>
      <c r="O148" s="1"/>
      <c r="P148" s="1"/>
      <c r="Q148" s="1"/>
      <c r="R148" s="1"/>
      <c r="S148" s="1"/>
      <c r="T148" s="19" t="str">
        <f t="shared" ca="1" si="15"/>
        <v>202,..,902</v>
      </c>
      <c r="U148" s="19">
        <f ca="1">U147+1</f>
        <v>202</v>
      </c>
      <c r="V148" s="19">
        <f ca="1">V147+1</f>
        <v>902</v>
      </c>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hidden="1" customHeight="1" x14ac:dyDescent="0.25">
      <c r="A149" s="72" t="str">
        <f t="shared" ca="1" si="16"/>
        <v>203,..,903</v>
      </c>
      <c r="B149" s="72"/>
      <c r="C149" s="57"/>
      <c r="D149" s="57"/>
      <c r="E149" s="33"/>
      <c r="F149" s="32"/>
      <c r="G149" s="32"/>
      <c r="H149" s="32">
        <f t="shared" si="17"/>
        <v>0</v>
      </c>
      <c r="I149" s="1"/>
      <c r="J149" s="1"/>
      <c r="K149" s="1"/>
      <c r="L149" s="1"/>
      <c r="M149" s="1"/>
      <c r="N149" s="1"/>
      <c r="O149" s="1"/>
      <c r="P149" s="1"/>
      <c r="Q149" s="1"/>
      <c r="R149" s="1"/>
      <c r="S149" s="1"/>
      <c r="T149" s="19" t="str">
        <f t="shared" ca="1" si="15"/>
        <v>203,..,903</v>
      </c>
      <c r="U149" s="19">
        <f t="shared" ref="U149:U154" ca="1" si="18">U148+1</f>
        <v>203</v>
      </c>
      <c r="V149" s="19">
        <f t="shared" ref="V149:V154" ca="1" si="19">V148+1</f>
        <v>903</v>
      </c>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hidden="1" customHeight="1" x14ac:dyDescent="0.25">
      <c r="A150" s="72" t="str">
        <f t="shared" ca="1" si="16"/>
        <v>204,..,904</v>
      </c>
      <c r="B150" s="72"/>
      <c r="C150" s="57"/>
      <c r="D150" s="57"/>
      <c r="E150" s="33"/>
      <c r="F150" s="32"/>
      <c r="G150" s="32"/>
      <c r="H150" s="32">
        <f t="shared" si="17"/>
        <v>0</v>
      </c>
      <c r="I150" s="1"/>
      <c r="J150" s="1"/>
      <c r="K150" s="1"/>
      <c r="L150" s="1"/>
      <c r="M150" s="1"/>
      <c r="N150" s="1"/>
      <c r="O150" s="1"/>
      <c r="P150" s="1"/>
      <c r="Q150" s="1"/>
      <c r="R150" s="1"/>
      <c r="S150" s="1"/>
      <c r="T150" s="19" t="str">
        <f t="shared" ca="1" si="15"/>
        <v>204,..,904</v>
      </c>
      <c r="U150" s="19">
        <f t="shared" ca="1" si="18"/>
        <v>204</v>
      </c>
      <c r="V150" s="19">
        <f t="shared" ca="1" si="19"/>
        <v>904</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hidden="1" customHeight="1" x14ac:dyDescent="0.25">
      <c r="A151" s="72" t="str">
        <f t="shared" ca="1" si="16"/>
        <v>205,..,905</v>
      </c>
      <c r="B151" s="72"/>
      <c r="C151" s="57"/>
      <c r="D151" s="57"/>
      <c r="E151" s="33"/>
      <c r="F151" s="32"/>
      <c r="G151" s="32"/>
      <c r="H151" s="32">
        <f t="shared" si="17"/>
        <v>0</v>
      </c>
      <c r="I151" s="1"/>
      <c r="J151" s="1"/>
      <c r="K151" s="1"/>
      <c r="L151" s="1"/>
      <c r="M151" s="1"/>
      <c r="N151" s="1"/>
      <c r="O151" s="1"/>
      <c r="P151" s="1"/>
      <c r="Q151" s="1"/>
      <c r="R151" s="1"/>
      <c r="S151" s="1"/>
      <c r="T151" s="19" t="str">
        <f t="shared" ca="1" si="15"/>
        <v>205,..,905</v>
      </c>
      <c r="U151" s="19">
        <f t="shared" ca="1" si="18"/>
        <v>205</v>
      </c>
      <c r="V151" s="19">
        <f t="shared" ca="1" si="19"/>
        <v>905</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hidden="1" customHeight="1" x14ac:dyDescent="0.25">
      <c r="A152" s="72" t="str">
        <f t="shared" ca="1" si="16"/>
        <v>206,..,906</v>
      </c>
      <c r="B152" s="72"/>
      <c r="C152" s="57"/>
      <c r="D152" s="57"/>
      <c r="E152" s="33"/>
      <c r="F152" s="32"/>
      <c r="G152" s="32"/>
      <c r="H152" s="32">
        <f t="shared" si="17"/>
        <v>0</v>
      </c>
      <c r="I152" s="1"/>
      <c r="J152" s="1"/>
      <c r="K152" s="1"/>
      <c r="L152" s="1"/>
      <c r="M152" s="1"/>
      <c r="N152" s="1"/>
      <c r="O152" s="1"/>
      <c r="P152" s="1"/>
      <c r="Q152" s="1"/>
      <c r="R152" s="1"/>
      <c r="S152" s="1"/>
      <c r="T152" s="19" t="str">
        <f t="shared" ca="1" si="15"/>
        <v>206,..,906</v>
      </c>
      <c r="U152" s="19">
        <f t="shared" ca="1" si="18"/>
        <v>206</v>
      </c>
      <c r="V152" s="19">
        <f t="shared" ca="1" si="19"/>
        <v>906</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hidden="1" customHeight="1" x14ac:dyDescent="0.25">
      <c r="A153" s="72" t="str">
        <f t="shared" ca="1" si="16"/>
        <v>207,..,907</v>
      </c>
      <c r="B153" s="72"/>
      <c r="C153" s="57"/>
      <c r="D153" s="57"/>
      <c r="E153" s="33"/>
      <c r="F153" s="32"/>
      <c r="G153" s="32"/>
      <c r="H153" s="32">
        <f t="shared" si="17"/>
        <v>0</v>
      </c>
      <c r="I153" s="1"/>
      <c r="J153" s="1"/>
      <c r="K153" s="1"/>
      <c r="L153" s="1"/>
      <c r="M153" s="1"/>
      <c r="N153" s="1"/>
      <c r="O153" s="1"/>
      <c r="P153" s="1"/>
      <c r="Q153" s="1"/>
      <c r="R153" s="1"/>
      <c r="S153" s="1"/>
      <c r="T153" s="19" t="str">
        <f t="shared" ca="1" si="15"/>
        <v>207,..,907</v>
      </c>
      <c r="U153" s="19">
        <f t="shared" ca="1" si="18"/>
        <v>207</v>
      </c>
      <c r="V153" s="19">
        <f t="shared" ca="1" si="19"/>
        <v>907</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hidden="1" customHeight="1" x14ac:dyDescent="0.25">
      <c r="A154" s="72" t="str">
        <f t="shared" ca="1" si="16"/>
        <v>208,..,908</v>
      </c>
      <c r="B154" s="72"/>
      <c r="C154" s="57"/>
      <c r="D154" s="57"/>
      <c r="E154" s="33"/>
      <c r="F154" s="32"/>
      <c r="G154" s="32"/>
      <c r="H154" s="32">
        <f t="shared" si="17"/>
        <v>0</v>
      </c>
      <c r="I154" s="1"/>
      <c r="J154" s="1"/>
      <c r="K154" s="1"/>
      <c r="L154" s="1"/>
      <c r="M154" s="1"/>
      <c r="N154" s="1"/>
      <c r="O154" s="1"/>
      <c r="P154" s="1"/>
      <c r="Q154" s="1"/>
      <c r="R154" s="1"/>
      <c r="S154" s="1"/>
      <c r="T154" s="19" t="str">
        <f t="shared" ca="1" si="15"/>
        <v>208,..,908</v>
      </c>
      <c r="U154" s="19">
        <f t="shared" ca="1" si="18"/>
        <v>208</v>
      </c>
      <c r="V154" s="19">
        <f t="shared" ca="1" si="19"/>
        <v>908</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hidden="1" x14ac:dyDescent="0.25">
      <c r="A155" s="106" t="s">
        <v>134</v>
      </c>
      <c r="B155" s="107"/>
      <c r="C155" s="107"/>
      <c r="D155" s="107"/>
      <c r="E155" s="107"/>
      <c r="F155" s="107"/>
      <c r="G155" s="107"/>
      <c r="H155" s="108"/>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hidden="1" customHeight="1" x14ac:dyDescent="0.25">
      <c r="A156" s="72" t="str">
        <f ca="1">T156</f>
        <v>201 to 501</v>
      </c>
      <c r="B156" s="72"/>
      <c r="C156" s="57"/>
      <c r="D156" s="57"/>
      <c r="E156" s="33">
        <v>0</v>
      </c>
      <c r="F156" s="32">
        <v>0</v>
      </c>
      <c r="G156" s="32">
        <v>0</v>
      </c>
      <c r="H156" s="32">
        <f>E156+F156+(IF(G156&lt;101,G156,IF(G156&lt;201,G156/2,IF(G156&lt;=301,G156/3,G156/4))))</f>
        <v>0</v>
      </c>
      <c r="I156" s="1"/>
      <c r="J156" s="1"/>
      <c r="K156" s="1"/>
      <c r="L156" s="1"/>
      <c r="M156" s="1"/>
      <c r="N156" s="1"/>
      <c r="O156" s="1"/>
      <c r="P156" s="1"/>
      <c r="Q156" s="1"/>
      <c r="R156" s="1"/>
      <c r="S156" s="1"/>
      <c r="T156" s="19" t="str">
        <f ca="1">U156&amp;""&amp;" to "&amp;""&amp;V156</f>
        <v>201 to 501</v>
      </c>
      <c r="U156" s="19">
        <f ca="1">(SUMPRODUCT(MID(0&amp;(LEFT(A155,SUM(LEN(A155)-LEN(SUBSTITUTE(A155,{"0","1","2","3"},""))))), LARGE(INDEX(ISNUMBER(--MID((LEFT(A155,SUM(LEN(A155)-LEN(SUBSTITUTE(A155,{"0","1","2","3"},""))))), ROW(INDIRECT("1:"&amp;LEN((LEFT(A155,SUM(LEN(A155)-LEN(SUBSTITUTE(A155,{"0","1","2","3"},"")))))))), 1)) * ROW(INDIRECT("1:"&amp;LEN((LEFT(A155,SUM(LEN(A155)-LEN(SUBSTITUTE(A155,{"0","1","2","3"},"")))))))), 0), ROW(INDIRECT("1:"&amp;LEN((LEFT(A155,SUM(LEN(A155)-LEN(SUBSTITUTE(A155,{"0","1","2","3"},"")))))))))+1, 1) * 10^ROW(INDIRECT("1:"&amp;LEN((LEFT(A155,SUM(LEN(A155)-LEN(SUBSTITUTE(A155,{"0","1","2","3"},""))))))))/10))*100+1</f>
        <v>201</v>
      </c>
      <c r="V156" s="19">
        <f ca="1">(SUMPRODUCT(MID(0&amp;(--TRIM(RIGHT(SUBSTITUTE(LEFT(A155,_xlfn.AGGREGATE(16,6,FIND({0,1,2,3,4,5,6,7,8,9},A155,ROW(INDIRECT("1:"&amp;LEN(A155)))),1))," ",REPT(" ",LEN(A155))),LEN(A155)))), LARGE(INDEX(ISNUMBER(--MID((--TRIM(RIGHT(SUBSTITUTE(LEFT(A155,_xlfn.AGGREGATE(16,6,FIND({0,1,2,3,4,5,6,7,8,9},A155,ROW(INDIRECT("1:"&amp;LEN(A155)))),1))," ",REPT(" ",LEN(A155))),LEN(A155)))), ROW(INDIRECT("1:"&amp;LEN((--TRIM(RIGHT(SUBSTITUTE(LEFT(A155,_xlfn.AGGREGATE(16,6,FIND({0,1,2,3,4,5,6,7,8,9},A155,ROW(INDIRECT("1:"&amp;LEN(A155)))),1))," ",REPT(" ",LEN(A155))),LEN(A155))))))), 1)) * ROW(INDIRECT("1:"&amp;LEN((--TRIM(RIGHT(SUBSTITUTE(LEFT(A155,_xlfn.AGGREGATE(16,6,FIND({0,1,2,3,4,5,6,7,8,9},A155,ROW(INDIRECT("1:"&amp;LEN(A155)))),1))," ",REPT(" ",LEN(A155))),LEN(A155))))))), 0), ROW(INDIRECT("1:"&amp;LEN((--TRIM(RIGHT(SUBSTITUTE(LEFT(A155,_xlfn.AGGREGATE(16,6,FIND({0,1,2,3,4,5,6,7,8,9},A155,ROW(INDIRECT("1:"&amp;LEN(A155)))),1))," ",REPT(" ",LEN(A155))),LEN(A155))))))))+1, 1) * 10^ROW(INDIRECT("1:"&amp;LEN((--TRIM(RIGHT(SUBSTITUTE(LEFT(A155,_xlfn.AGGREGATE(16,6,FIND({0,1,2,3,4,5,6,7,8,9},A155,ROW(INDIRECT("1:"&amp;LEN(A155)))),1))," ",REPT(" ",LEN(A155))),LEN(A155)))))))/10))*100+1</f>
        <v>501</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hidden="1" customHeight="1" x14ac:dyDescent="0.25">
      <c r="A157" s="72" t="str">
        <f t="shared" ref="A157:A163" ca="1" si="20">T157</f>
        <v>202 to 502</v>
      </c>
      <c r="B157" s="72"/>
      <c r="C157" s="57"/>
      <c r="D157" s="57"/>
      <c r="E157" s="33"/>
      <c r="F157" s="32"/>
      <c r="G157" s="32"/>
      <c r="H157" s="32">
        <f t="shared" ref="H157:H163" si="21">E157+F157+(IF(G157&lt;101,G157,IF(G157&lt;201,G157/2,IF(G157&lt;=301,G157/3,G157/4))))</f>
        <v>0</v>
      </c>
      <c r="I157" s="1"/>
      <c r="J157" s="1"/>
      <c r="K157" s="1"/>
      <c r="L157" s="1"/>
      <c r="M157" s="1"/>
      <c r="N157" s="1"/>
      <c r="O157" s="1"/>
      <c r="P157" s="1"/>
      <c r="Q157" s="1"/>
      <c r="R157" s="1"/>
      <c r="S157" s="1"/>
      <c r="T157" s="19" t="str">
        <f t="shared" ref="T157:T163" ca="1" si="22">U157&amp;""&amp;" to "&amp;""&amp;V157</f>
        <v>202 to 502</v>
      </c>
      <c r="U157" s="19">
        <f ca="1">U156+1</f>
        <v>202</v>
      </c>
      <c r="V157" s="19">
        <f ca="1">V156+1</f>
        <v>502</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hidden="1" customHeight="1" x14ac:dyDescent="0.25">
      <c r="A158" s="72" t="str">
        <f t="shared" ca="1" si="20"/>
        <v>203 to 503</v>
      </c>
      <c r="B158" s="72"/>
      <c r="C158" s="57"/>
      <c r="D158" s="57"/>
      <c r="E158" s="33"/>
      <c r="F158" s="32"/>
      <c r="G158" s="32"/>
      <c r="H158" s="32">
        <f t="shared" si="21"/>
        <v>0</v>
      </c>
      <c r="I158" s="1"/>
      <c r="J158" s="1"/>
      <c r="K158" s="1"/>
      <c r="L158" s="1"/>
      <c r="M158" s="1"/>
      <c r="N158" s="1"/>
      <c r="O158" s="1"/>
      <c r="P158" s="1"/>
      <c r="Q158" s="1"/>
      <c r="R158" s="1"/>
      <c r="S158" s="1"/>
      <c r="T158" s="19" t="str">
        <f t="shared" ca="1" si="22"/>
        <v>203 to 503</v>
      </c>
      <c r="U158" s="19">
        <f t="shared" ref="U158:U163" ca="1" si="23">U157+1</f>
        <v>203</v>
      </c>
      <c r="V158" s="19">
        <f t="shared" ref="V158:V163" ca="1" si="24">V157+1</f>
        <v>503</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hidden="1" customHeight="1" x14ac:dyDescent="0.25">
      <c r="A159" s="72" t="str">
        <f t="shared" ca="1" si="20"/>
        <v>204 to 504</v>
      </c>
      <c r="B159" s="72"/>
      <c r="C159" s="57"/>
      <c r="D159" s="57"/>
      <c r="E159" s="33"/>
      <c r="F159" s="32"/>
      <c r="G159" s="32"/>
      <c r="H159" s="32">
        <f t="shared" si="21"/>
        <v>0</v>
      </c>
      <c r="I159" s="1"/>
      <c r="J159" s="1"/>
      <c r="K159" s="1"/>
      <c r="L159" s="1"/>
      <c r="M159" s="1"/>
      <c r="N159" s="1"/>
      <c r="O159" s="1"/>
      <c r="P159" s="1"/>
      <c r="Q159" s="1"/>
      <c r="R159" s="1"/>
      <c r="S159" s="1"/>
      <c r="T159" s="19" t="str">
        <f t="shared" ca="1" si="22"/>
        <v>204 to 504</v>
      </c>
      <c r="U159" s="19">
        <f t="shared" ca="1" si="23"/>
        <v>204</v>
      </c>
      <c r="V159" s="19">
        <f t="shared" ca="1" si="24"/>
        <v>504</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hidden="1" customHeight="1" x14ac:dyDescent="0.25">
      <c r="A160" s="72" t="str">
        <f t="shared" ca="1" si="20"/>
        <v>205 to 505</v>
      </c>
      <c r="B160" s="72"/>
      <c r="C160" s="57"/>
      <c r="D160" s="57"/>
      <c r="E160" s="33"/>
      <c r="F160" s="32"/>
      <c r="G160" s="32"/>
      <c r="H160" s="32">
        <f t="shared" si="21"/>
        <v>0</v>
      </c>
      <c r="I160" s="1"/>
      <c r="J160" s="1"/>
      <c r="K160" s="1"/>
      <c r="L160" s="1"/>
      <c r="M160" s="1"/>
      <c r="N160" s="1"/>
      <c r="O160" s="1"/>
      <c r="P160" s="1"/>
      <c r="Q160" s="1"/>
      <c r="R160" s="1"/>
      <c r="S160" s="1"/>
      <c r="T160" s="19" t="str">
        <f t="shared" ca="1" si="22"/>
        <v>205 to 505</v>
      </c>
      <c r="U160" s="19">
        <f t="shared" ca="1" si="23"/>
        <v>205</v>
      </c>
      <c r="V160" s="19">
        <f t="shared" ca="1" si="24"/>
        <v>505</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hidden="1" customHeight="1" x14ac:dyDescent="0.25">
      <c r="A161" s="72" t="str">
        <f t="shared" ca="1" si="20"/>
        <v>206 to 506</v>
      </c>
      <c r="B161" s="72"/>
      <c r="C161" s="57"/>
      <c r="D161" s="57"/>
      <c r="E161" s="33"/>
      <c r="F161" s="32"/>
      <c r="G161" s="32"/>
      <c r="H161" s="32">
        <f t="shared" si="21"/>
        <v>0</v>
      </c>
      <c r="I161" s="1"/>
      <c r="J161" s="1"/>
      <c r="K161" s="1"/>
      <c r="L161" s="1"/>
      <c r="M161" s="1"/>
      <c r="N161" s="1"/>
      <c r="O161" s="1"/>
      <c r="P161" s="1"/>
      <c r="Q161" s="1"/>
      <c r="R161" s="1"/>
      <c r="S161" s="1"/>
      <c r="T161" s="19" t="str">
        <f t="shared" ca="1" si="22"/>
        <v>206 to 506</v>
      </c>
      <c r="U161" s="19">
        <f t="shared" ca="1" si="23"/>
        <v>206</v>
      </c>
      <c r="V161" s="19">
        <f t="shared" ca="1" si="24"/>
        <v>506</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hidden="1" customHeight="1" x14ac:dyDescent="0.25">
      <c r="A162" s="72" t="str">
        <f t="shared" ca="1" si="20"/>
        <v>207 to 507</v>
      </c>
      <c r="B162" s="72"/>
      <c r="C162" s="57"/>
      <c r="D162" s="57"/>
      <c r="E162" s="33"/>
      <c r="F162" s="32"/>
      <c r="G162" s="32"/>
      <c r="H162" s="32">
        <f t="shared" si="21"/>
        <v>0</v>
      </c>
      <c r="I162" s="1"/>
      <c r="J162" s="1"/>
      <c r="K162" s="1"/>
      <c r="L162" s="1"/>
      <c r="M162" s="1"/>
      <c r="N162" s="1"/>
      <c r="O162" s="1"/>
      <c r="P162" s="1"/>
      <c r="Q162" s="1"/>
      <c r="R162" s="1"/>
      <c r="S162" s="1"/>
      <c r="T162" s="19" t="str">
        <f t="shared" ca="1" si="22"/>
        <v>207 to 507</v>
      </c>
      <c r="U162" s="19">
        <f t="shared" ca="1" si="23"/>
        <v>207</v>
      </c>
      <c r="V162" s="19">
        <f t="shared" ca="1" si="24"/>
        <v>507</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hidden="1" customHeight="1" x14ac:dyDescent="0.25">
      <c r="A163" s="72" t="str">
        <f t="shared" ca="1" si="20"/>
        <v>208 to 508</v>
      </c>
      <c r="B163" s="72"/>
      <c r="C163" s="57"/>
      <c r="D163" s="57"/>
      <c r="E163" s="33"/>
      <c r="F163" s="32"/>
      <c r="G163" s="32"/>
      <c r="H163" s="32">
        <f t="shared" si="21"/>
        <v>0</v>
      </c>
      <c r="I163" s="1"/>
      <c r="J163" s="1"/>
      <c r="K163" s="1"/>
      <c r="L163" s="1"/>
      <c r="M163" s="1"/>
      <c r="N163" s="1"/>
      <c r="O163" s="1"/>
      <c r="P163" s="1"/>
      <c r="Q163" s="1"/>
      <c r="R163" s="1"/>
      <c r="S163" s="1"/>
      <c r="T163" s="19" t="str">
        <f t="shared" ca="1" si="22"/>
        <v>208 to 508</v>
      </c>
      <c r="U163" s="19">
        <f t="shared" ca="1" si="23"/>
        <v>208</v>
      </c>
      <c r="V163" s="19">
        <f t="shared" ca="1" si="24"/>
        <v>508</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hidden="1" x14ac:dyDescent="0.25">
      <c r="A164" s="106" t="s">
        <v>135</v>
      </c>
      <c r="B164" s="107"/>
      <c r="C164" s="107"/>
      <c r="D164" s="107"/>
      <c r="E164" s="107"/>
      <c r="F164" s="107"/>
      <c r="G164" s="107"/>
      <c r="H164" s="108"/>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hidden="1" customHeight="1" x14ac:dyDescent="0.25">
      <c r="A165" s="72" t="str">
        <f ca="1">T165</f>
        <v>201 &amp; 501</v>
      </c>
      <c r="B165" s="72"/>
      <c r="C165" s="57"/>
      <c r="D165" s="57"/>
      <c r="E165" s="33">
        <v>0</v>
      </c>
      <c r="F165" s="32">
        <v>0</v>
      </c>
      <c r="G165" s="32">
        <v>0</v>
      </c>
      <c r="H165" s="32">
        <f>E165+F165+(IF(G165&lt;101,G165,IF(G165&lt;201,G165/2,IF(G165&lt;=301,G165/3,G165/4))))</f>
        <v>0</v>
      </c>
      <c r="I165" s="1"/>
      <c r="J165" s="1"/>
      <c r="K165" s="1"/>
      <c r="L165" s="1"/>
      <c r="M165" s="1"/>
      <c r="N165" s="1"/>
      <c r="O165" s="1"/>
      <c r="P165" s="1"/>
      <c r="Q165" s="1"/>
      <c r="R165" s="1"/>
      <c r="S165" s="1"/>
      <c r="T165" s="19" t="str">
        <f ca="1">U165&amp;""&amp;" &amp; "&amp;""&amp;V165</f>
        <v>201 &amp; 501</v>
      </c>
      <c r="U165" s="19">
        <f ca="1">(SUMPRODUCT(MID(0&amp;(LEFT(A164,SUM(LEN(A164)-LEN(SUBSTITUTE(A164,{"0","1","2","3"},""))))), LARGE(INDEX(ISNUMBER(--MID((LEFT(A164,SUM(LEN(A164)-LEN(SUBSTITUTE(A164,{"0","1","2","3"},""))))), ROW(INDIRECT("1:"&amp;LEN((LEFT(A164,SUM(LEN(A164)-LEN(SUBSTITUTE(A164,{"0","1","2","3"},"")))))))), 1)) * ROW(INDIRECT("1:"&amp;LEN((LEFT(A164,SUM(LEN(A164)-LEN(SUBSTITUTE(A164,{"0","1","2","3"},"")))))))), 0), ROW(INDIRECT("1:"&amp;LEN((LEFT(A164,SUM(LEN(A164)-LEN(SUBSTITUTE(A164,{"0","1","2","3"},"")))))))))+1, 1) * 10^ROW(INDIRECT("1:"&amp;LEN((LEFT(A164,SUM(LEN(A164)-LEN(SUBSTITUTE(A164,{"0","1","2","3"},""))))))))/10))*100+1</f>
        <v>201</v>
      </c>
      <c r="V165" s="19">
        <f ca="1">(SUMPRODUCT(MID(0&amp;(--TRIM(RIGHT(SUBSTITUTE(LEFT(A164,_xlfn.AGGREGATE(16,6,FIND({0,1,2,3,4,5,6,7,8,9},A164,ROW(INDIRECT("1:"&amp;LEN(A164)))),1))," ",REPT(" ",LEN(A164))),LEN(A164)))), LARGE(INDEX(ISNUMBER(--MID((--TRIM(RIGHT(SUBSTITUTE(LEFT(A164,_xlfn.AGGREGATE(16,6,FIND({0,1,2,3,4,5,6,7,8,9},A164,ROW(INDIRECT("1:"&amp;LEN(A164)))),1))," ",REPT(" ",LEN(A164))),LEN(A164)))), ROW(INDIRECT("1:"&amp;LEN((--TRIM(RIGHT(SUBSTITUTE(LEFT(A164,_xlfn.AGGREGATE(16,6,FIND({0,1,2,3,4,5,6,7,8,9},A164,ROW(INDIRECT("1:"&amp;LEN(A164)))),1))," ",REPT(" ",LEN(A164))),LEN(A164))))))), 1)) * ROW(INDIRECT("1:"&amp;LEN((--TRIM(RIGHT(SUBSTITUTE(LEFT(A164,_xlfn.AGGREGATE(16,6,FIND({0,1,2,3,4,5,6,7,8,9},A164,ROW(INDIRECT("1:"&amp;LEN(A164)))),1))," ",REPT(" ",LEN(A164))),LEN(A164))))))), 0), ROW(INDIRECT("1:"&amp;LEN((--TRIM(RIGHT(SUBSTITUTE(LEFT(A164,_xlfn.AGGREGATE(16,6,FIND({0,1,2,3,4,5,6,7,8,9},A164,ROW(INDIRECT("1:"&amp;LEN(A164)))),1))," ",REPT(" ",LEN(A164))),LEN(A164))))))))+1, 1) * 10^ROW(INDIRECT("1:"&amp;LEN((--TRIM(RIGHT(SUBSTITUTE(LEFT(A164,_xlfn.AGGREGATE(16,6,FIND({0,1,2,3,4,5,6,7,8,9},A164,ROW(INDIRECT("1:"&amp;LEN(A164)))),1))," ",REPT(" ",LEN(A164))),LEN(A164)))))))/10))*100+1</f>
        <v>501</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hidden="1" customHeight="1" x14ac:dyDescent="0.25">
      <c r="A166" s="72" t="str">
        <f t="shared" ref="A166:A172" ca="1" si="25">T166</f>
        <v>202 &amp; 502</v>
      </c>
      <c r="B166" s="72"/>
      <c r="C166" s="57"/>
      <c r="D166" s="57"/>
      <c r="E166" s="33"/>
      <c r="F166" s="32"/>
      <c r="G166" s="32"/>
      <c r="H166" s="32">
        <f t="shared" ref="H166:H172" si="26">E166+F166+(IF(G166&lt;101,G166,IF(G166&lt;201,G166/2,IF(G166&lt;=301,G166/3,G166/4))))</f>
        <v>0</v>
      </c>
      <c r="I166" s="1"/>
      <c r="J166" s="1"/>
      <c r="K166" s="1"/>
      <c r="L166" s="1"/>
      <c r="M166" s="1"/>
      <c r="N166" s="1"/>
      <c r="O166" s="1"/>
      <c r="P166" s="1"/>
      <c r="Q166" s="1"/>
      <c r="R166" s="1"/>
      <c r="S166" s="1"/>
      <c r="T166" s="19" t="str">
        <f t="shared" ref="T166:T172" ca="1" si="27">U166&amp;""&amp;" &amp; "&amp;""&amp;V166</f>
        <v>202 &amp; 502</v>
      </c>
      <c r="U166" s="19">
        <f ca="1">U165+1</f>
        <v>202</v>
      </c>
      <c r="V166" s="19">
        <f ca="1">V165+1</f>
        <v>502</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hidden="1" customHeight="1" x14ac:dyDescent="0.25">
      <c r="A167" s="72" t="str">
        <f t="shared" ca="1" si="25"/>
        <v>203 &amp; 503</v>
      </c>
      <c r="B167" s="72"/>
      <c r="C167" s="57"/>
      <c r="D167" s="57"/>
      <c r="E167" s="33"/>
      <c r="F167" s="32"/>
      <c r="G167" s="32"/>
      <c r="H167" s="32">
        <f t="shared" si="26"/>
        <v>0</v>
      </c>
      <c r="I167" s="1"/>
      <c r="J167" s="1"/>
      <c r="K167" s="1"/>
      <c r="L167" s="1"/>
      <c r="M167" s="1"/>
      <c r="N167" s="1"/>
      <c r="O167" s="1"/>
      <c r="P167" s="1"/>
      <c r="Q167" s="1"/>
      <c r="R167" s="1"/>
      <c r="S167" s="1"/>
      <c r="T167" s="19" t="str">
        <f t="shared" ca="1" si="27"/>
        <v>203 &amp; 503</v>
      </c>
      <c r="U167" s="19">
        <f t="shared" ref="U167:U172" ca="1" si="28">U166+1</f>
        <v>203</v>
      </c>
      <c r="V167" s="19">
        <f t="shared" ref="V167:V172" ca="1" si="29">V166+1</f>
        <v>503</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hidden="1" customHeight="1" x14ac:dyDescent="0.25">
      <c r="A168" s="72" t="str">
        <f t="shared" ca="1" si="25"/>
        <v>204 &amp; 504</v>
      </c>
      <c r="B168" s="72"/>
      <c r="C168" s="57"/>
      <c r="D168" s="57"/>
      <c r="E168" s="33"/>
      <c r="F168" s="32"/>
      <c r="G168" s="32"/>
      <c r="H168" s="32">
        <f t="shared" si="26"/>
        <v>0</v>
      </c>
      <c r="I168" s="1"/>
      <c r="J168" s="1"/>
      <c r="K168" s="1"/>
      <c r="L168" s="1"/>
      <c r="M168" s="1"/>
      <c r="N168" s="1"/>
      <c r="O168" s="1"/>
      <c r="P168" s="1"/>
      <c r="Q168" s="1"/>
      <c r="R168" s="1"/>
      <c r="S168" s="1"/>
      <c r="T168" s="19" t="str">
        <f t="shared" ca="1" si="27"/>
        <v>204 &amp; 504</v>
      </c>
      <c r="U168" s="19">
        <f t="shared" ca="1" si="28"/>
        <v>204</v>
      </c>
      <c r="V168" s="19">
        <f t="shared" ca="1" si="29"/>
        <v>504</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hidden="1" customHeight="1" x14ac:dyDescent="0.25">
      <c r="A169" s="72" t="str">
        <f t="shared" ca="1" si="25"/>
        <v>205 &amp; 505</v>
      </c>
      <c r="B169" s="72"/>
      <c r="C169" s="57"/>
      <c r="D169" s="57"/>
      <c r="E169" s="33"/>
      <c r="F169" s="32"/>
      <c r="G169" s="32"/>
      <c r="H169" s="32">
        <f t="shared" si="26"/>
        <v>0</v>
      </c>
      <c r="I169" s="1"/>
      <c r="J169" s="1"/>
      <c r="K169" s="1"/>
      <c r="L169" s="1"/>
      <c r="M169" s="1"/>
      <c r="N169" s="1"/>
      <c r="O169" s="1"/>
      <c r="P169" s="1"/>
      <c r="Q169" s="1"/>
      <c r="R169" s="1"/>
      <c r="S169" s="1"/>
      <c r="T169" s="19" t="str">
        <f t="shared" ca="1" si="27"/>
        <v>205 &amp; 505</v>
      </c>
      <c r="U169" s="19">
        <f t="shared" ca="1" si="28"/>
        <v>205</v>
      </c>
      <c r="V169" s="19">
        <f t="shared" ca="1" si="29"/>
        <v>505</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hidden="1" customHeight="1" x14ac:dyDescent="0.25">
      <c r="A170" s="72" t="str">
        <f t="shared" ca="1" si="25"/>
        <v>206 &amp; 506</v>
      </c>
      <c r="B170" s="72"/>
      <c r="C170" s="57"/>
      <c r="D170" s="57"/>
      <c r="E170" s="33"/>
      <c r="F170" s="32"/>
      <c r="G170" s="32"/>
      <c r="H170" s="32">
        <f t="shared" si="26"/>
        <v>0</v>
      </c>
      <c r="I170" s="1"/>
      <c r="J170" s="1"/>
      <c r="K170" s="1"/>
      <c r="L170" s="1"/>
      <c r="M170" s="1"/>
      <c r="N170" s="1"/>
      <c r="O170" s="1"/>
      <c r="P170" s="1"/>
      <c r="Q170" s="1"/>
      <c r="R170" s="1"/>
      <c r="S170" s="1"/>
      <c r="T170" s="19" t="str">
        <f t="shared" ca="1" si="27"/>
        <v>206 &amp; 506</v>
      </c>
      <c r="U170" s="19">
        <f t="shared" ca="1" si="28"/>
        <v>206</v>
      </c>
      <c r="V170" s="19">
        <f t="shared" ca="1" si="29"/>
        <v>506</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hidden="1" customHeight="1" x14ac:dyDescent="0.25">
      <c r="A171" s="72" t="str">
        <f t="shared" ca="1" si="25"/>
        <v>207 &amp; 507</v>
      </c>
      <c r="B171" s="72"/>
      <c r="C171" s="57"/>
      <c r="D171" s="57"/>
      <c r="E171" s="33"/>
      <c r="F171" s="32"/>
      <c r="G171" s="32"/>
      <c r="H171" s="32">
        <f t="shared" si="26"/>
        <v>0</v>
      </c>
      <c r="I171" s="1"/>
      <c r="J171" s="1"/>
      <c r="K171" s="1"/>
      <c r="L171" s="1"/>
      <c r="M171" s="1"/>
      <c r="N171" s="1"/>
      <c r="O171" s="1"/>
      <c r="P171" s="1"/>
      <c r="Q171" s="1"/>
      <c r="R171" s="1"/>
      <c r="S171" s="1"/>
      <c r="T171" s="19" t="str">
        <f t="shared" ca="1" si="27"/>
        <v>207 &amp; 507</v>
      </c>
      <c r="U171" s="19">
        <f t="shared" ca="1" si="28"/>
        <v>207</v>
      </c>
      <c r="V171" s="19">
        <f t="shared" ca="1" si="29"/>
        <v>507</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hidden="1" customHeight="1" x14ac:dyDescent="0.25">
      <c r="A172" s="72" t="str">
        <f t="shared" ca="1" si="25"/>
        <v>208 &amp; 508</v>
      </c>
      <c r="B172" s="72"/>
      <c r="C172" s="57"/>
      <c r="D172" s="57"/>
      <c r="E172" s="33"/>
      <c r="F172" s="32"/>
      <c r="G172" s="32"/>
      <c r="H172" s="32">
        <f t="shared" si="26"/>
        <v>0</v>
      </c>
      <c r="I172" s="1"/>
      <c r="J172" s="1"/>
      <c r="K172" s="1"/>
      <c r="L172" s="1"/>
      <c r="M172" s="1"/>
      <c r="N172" s="1"/>
      <c r="O172" s="1"/>
      <c r="P172" s="1"/>
      <c r="Q172" s="1"/>
      <c r="R172" s="1"/>
      <c r="S172" s="1"/>
      <c r="T172" s="19" t="str">
        <f t="shared" ca="1" si="27"/>
        <v>208 &amp; 508</v>
      </c>
      <c r="U172" s="19">
        <f t="shared" ca="1" si="28"/>
        <v>208</v>
      </c>
      <c r="V172" s="19">
        <f t="shared" ca="1" si="29"/>
        <v>508</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ht="20.25" x14ac:dyDescent="0.25">
      <c r="A173" s="110" t="s">
        <v>70</v>
      </c>
      <c r="B173" s="110"/>
      <c r="C173" s="110"/>
      <c r="D173" s="110"/>
      <c r="E173" s="110"/>
      <c r="F173" s="110"/>
      <c r="G173" s="110"/>
      <c r="H173" s="110"/>
    </row>
    <row r="174" spans="1:150 16226:16383" ht="20.25" x14ac:dyDescent="0.25">
      <c r="A174" s="62" t="s">
        <v>242</v>
      </c>
      <c r="B174" s="118" t="s">
        <v>315</v>
      </c>
      <c r="C174" s="119"/>
      <c r="D174" s="119"/>
      <c r="E174" s="119"/>
      <c r="F174" s="119"/>
      <c r="G174" s="119"/>
      <c r="H174" s="120"/>
    </row>
    <row r="175" spans="1:150 16226:16383" ht="20.25" x14ac:dyDescent="0.25">
      <c r="A175" s="39" t="s">
        <v>242</v>
      </c>
      <c r="B175" s="118" t="s">
        <v>243</v>
      </c>
      <c r="C175" s="119"/>
      <c r="D175" s="119"/>
      <c r="E175" s="119"/>
      <c r="F175" s="119"/>
      <c r="G175" s="119"/>
      <c r="H175" s="120"/>
    </row>
    <row r="176" spans="1:150 16226:16383" ht="20.25" x14ac:dyDescent="0.25">
      <c r="A176" s="39" t="s">
        <v>242</v>
      </c>
      <c r="B176" s="118" t="s">
        <v>301</v>
      </c>
      <c r="C176" s="119"/>
      <c r="D176" s="119"/>
      <c r="E176" s="119"/>
      <c r="F176" s="119"/>
      <c r="G176" s="119"/>
      <c r="H176" s="120"/>
    </row>
    <row r="177" spans="1:8" ht="20.25" x14ac:dyDescent="0.25">
      <c r="A177" s="39" t="s">
        <v>242</v>
      </c>
      <c r="B177" s="118" t="s">
        <v>244</v>
      </c>
      <c r="C177" s="119"/>
      <c r="D177" s="119"/>
      <c r="E177" s="119"/>
      <c r="F177" s="119"/>
      <c r="G177" s="119"/>
      <c r="H177" s="120"/>
    </row>
    <row r="178" spans="1:8" ht="20.25" x14ac:dyDescent="0.25">
      <c r="A178" s="69" t="s">
        <v>242</v>
      </c>
      <c r="B178" s="118" t="s">
        <v>245</v>
      </c>
      <c r="C178" s="119"/>
      <c r="D178" s="119"/>
      <c r="E178" s="119"/>
      <c r="F178" s="119"/>
      <c r="G178" s="119"/>
      <c r="H178" s="120"/>
    </row>
    <row r="179" spans="1:8" ht="20.25" x14ac:dyDescent="0.25">
      <c r="A179" s="39" t="s">
        <v>242</v>
      </c>
      <c r="B179" s="118" t="s">
        <v>313</v>
      </c>
      <c r="C179" s="119"/>
      <c r="D179" s="119"/>
      <c r="E179" s="119"/>
      <c r="F179" s="119"/>
      <c r="G179" s="119"/>
      <c r="H179" s="120"/>
    </row>
    <row r="180" spans="1:8" ht="46.5" hidden="1" customHeight="1" x14ac:dyDescent="0.25">
      <c r="A180" s="39" t="s">
        <v>242</v>
      </c>
      <c r="B180" s="139" t="s">
        <v>246</v>
      </c>
      <c r="C180" s="119"/>
      <c r="D180" s="119"/>
      <c r="E180" s="119"/>
      <c r="F180" s="119"/>
      <c r="G180" s="119"/>
      <c r="H180" s="120"/>
    </row>
    <row r="181" spans="1:8" ht="24.75" hidden="1" customHeight="1" x14ac:dyDescent="0.25">
      <c r="A181" s="39" t="s">
        <v>242</v>
      </c>
      <c r="B181" s="139" t="s">
        <v>247</v>
      </c>
      <c r="C181" s="119"/>
      <c r="D181" s="119"/>
      <c r="E181" s="119"/>
      <c r="F181" s="119"/>
      <c r="G181" s="119"/>
      <c r="H181" s="120"/>
    </row>
    <row r="182" spans="1:8" ht="46.5" hidden="1" customHeight="1" x14ac:dyDescent="0.25">
      <c r="A182" s="2" t="s">
        <v>242</v>
      </c>
      <c r="B182" s="139" t="s">
        <v>246</v>
      </c>
      <c r="C182" s="119"/>
      <c r="D182" s="119"/>
      <c r="E182" s="119"/>
      <c r="F182" s="119"/>
      <c r="G182" s="119"/>
      <c r="H182" s="120"/>
    </row>
    <row r="183" spans="1:8" ht="20.25" x14ac:dyDescent="0.25">
      <c r="A183" s="117" t="s">
        <v>76</v>
      </c>
      <c r="B183" s="117"/>
      <c r="C183" s="117"/>
      <c r="D183" s="117"/>
      <c r="E183" s="117"/>
      <c r="F183" s="117"/>
      <c r="G183" s="117"/>
      <c r="H183" s="117"/>
    </row>
    <row r="184" spans="1:8" ht="20.25" x14ac:dyDescent="0.25">
      <c r="A184" s="109" t="s">
        <v>71</v>
      </c>
      <c r="B184" s="109"/>
      <c r="C184" s="109"/>
      <c r="D184" s="118" t="str">
        <f>C3</f>
        <v xml:space="preserve">Dosti West County - Phase 5 - Dosti Olive - Wing B
</v>
      </c>
      <c r="E184" s="119"/>
      <c r="F184" s="119"/>
      <c r="G184" s="119"/>
      <c r="H184" s="120"/>
    </row>
    <row r="185" spans="1:8" ht="40.5" customHeight="1" x14ac:dyDescent="0.25">
      <c r="A185" s="109" t="s">
        <v>107</v>
      </c>
      <c r="B185" s="109"/>
      <c r="C185" s="109"/>
      <c r="D185" s="118" t="str">
        <f>C9</f>
        <v>Dosti West County Phase 5 Dosti Olive Wing B, Bhiwandi - Wadpa Road, Old, Mumbai - Agra National Hwy, Balkum Pada, Thane West, Thane, Maharashtra 400608</v>
      </c>
      <c r="E185" s="119"/>
      <c r="F185" s="119"/>
      <c r="G185" s="119"/>
      <c r="H185" s="120"/>
    </row>
    <row r="186" spans="1:8" ht="20.25" customHeight="1" x14ac:dyDescent="0.25">
      <c r="A186" s="130" t="s">
        <v>113</v>
      </c>
      <c r="B186" s="130"/>
      <c r="C186" s="130"/>
      <c r="D186" s="118" t="str">
        <f>G3</f>
        <v>06/08/2025 at 12:05PM</v>
      </c>
      <c r="E186" s="119"/>
      <c r="F186" s="119"/>
      <c r="G186" s="119"/>
      <c r="H186" s="120"/>
    </row>
    <row r="187" spans="1:8" ht="20.25" x14ac:dyDescent="0.25">
      <c r="A187" s="8"/>
      <c r="B187" s="9"/>
      <c r="C187" s="9"/>
      <c r="D187" s="9"/>
      <c r="E187" s="9"/>
      <c r="F187" s="9"/>
      <c r="G187" s="9"/>
      <c r="H187" s="6"/>
    </row>
    <row r="188" spans="1:8" ht="20.25" x14ac:dyDescent="0.25">
      <c r="A188" s="10"/>
      <c r="B188" s="11"/>
      <c r="C188" s="11"/>
      <c r="D188" s="11"/>
      <c r="E188" s="11"/>
      <c r="F188" s="11"/>
      <c r="G188" s="11"/>
      <c r="H188" s="7"/>
    </row>
    <row r="189" spans="1:8" ht="20.25" x14ac:dyDescent="0.25">
      <c r="A189" s="10"/>
      <c r="B189" s="11"/>
      <c r="C189" s="11"/>
      <c r="D189" s="11"/>
      <c r="E189" s="11"/>
      <c r="F189" s="11"/>
      <c r="G189" s="11"/>
      <c r="H189" s="7"/>
    </row>
    <row r="190" spans="1:8" ht="20.25" x14ac:dyDescent="0.25">
      <c r="A190" s="10"/>
      <c r="B190" s="11"/>
      <c r="C190" s="11"/>
      <c r="D190" s="11"/>
      <c r="E190" s="11"/>
      <c r="F190" s="11"/>
      <c r="G190" s="11"/>
      <c r="H190" s="7"/>
    </row>
    <row r="191" spans="1:8" ht="20.25" x14ac:dyDescent="0.25">
      <c r="A191" s="10"/>
      <c r="B191" s="11"/>
      <c r="C191" s="11"/>
      <c r="D191" s="11"/>
      <c r="E191" s="11"/>
      <c r="F191" s="11"/>
      <c r="G191" s="11"/>
      <c r="H191" s="7"/>
    </row>
    <row r="192" spans="1:8" ht="20.25" x14ac:dyDescent="0.25">
      <c r="A192" s="10"/>
      <c r="B192" s="11"/>
      <c r="C192" s="11"/>
      <c r="D192" s="11"/>
      <c r="E192" s="11"/>
      <c r="F192" s="11"/>
      <c r="G192" s="11"/>
      <c r="H192" s="7"/>
    </row>
    <row r="193" spans="1:8" ht="20.25" x14ac:dyDescent="0.25">
      <c r="A193" s="10"/>
      <c r="B193" s="11"/>
      <c r="C193" s="11"/>
      <c r="D193" s="11"/>
      <c r="E193" s="11"/>
      <c r="F193" s="11"/>
      <c r="G193" s="11"/>
      <c r="H193" s="7"/>
    </row>
    <row r="194" spans="1:8" ht="20.25" x14ac:dyDescent="0.25">
      <c r="A194" s="10"/>
      <c r="B194" s="11"/>
      <c r="C194" s="11"/>
      <c r="D194" s="11"/>
      <c r="E194" s="11"/>
      <c r="F194" s="11"/>
      <c r="G194" s="11"/>
      <c r="H194" s="7"/>
    </row>
    <row r="195" spans="1:8" ht="20.25" x14ac:dyDescent="0.25">
      <c r="A195" s="10"/>
      <c r="B195" s="11"/>
      <c r="C195" s="11"/>
      <c r="D195" s="11"/>
      <c r="E195" s="11"/>
      <c r="F195" s="11"/>
      <c r="G195" s="11"/>
      <c r="H195" s="7"/>
    </row>
    <row r="196" spans="1:8" ht="20.25" x14ac:dyDescent="0.25">
      <c r="A196" s="10"/>
      <c r="B196" s="11"/>
      <c r="C196" s="11"/>
      <c r="D196" s="11"/>
      <c r="E196" s="11"/>
      <c r="F196" s="11"/>
      <c r="G196" s="11"/>
      <c r="H196" s="7"/>
    </row>
    <row r="197" spans="1:8" ht="20.25" x14ac:dyDescent="0.25">
      <c r="A197" s="10"/>
      <c r="B197" s="11"/>
      <c r="C197" s="11"/>
      <c r="D197" s="11"/>
      <c r="E197" s="11"/>
      <c r="F197" s="11"/>
      <c r="G197" s="11"/>
      <c r="H197" s="7"/>
    </row>
    <row r="198" spans="1:8" ht="20.25" x14ac:dyDescent="0.25">
      <c r="A198" s="10"/>
      <c r="B198" s="11"/>
      <c r="C198" s="11"/>
      <c r="D198" s="11"/>
      <c r="E198" s="11"/>
      <c r="F198" s="11"/>
      <c r="G198" s="11"/>
      <c r="H198" s="7"/>
    </row>
    <row r="199" spans="1:8" ht="20.25" x14ac:dyDescent="0.25">
      <c r="A199" s="10"/>
      <c r="B199" s="11"/>
      <c r="C199" s="11"/>
      <c r="D199" s="11"/>
      <c r="E199" s="11"/>
      <c r="F199" s="11"/>
      <c r="G199" s="11"/>
      <c r="H199" s="7"/>
    </row>
    <row r="200" spans="1:8" ht="20.25" x14ac:dyDescent="0.25">
      <c r="A200" s="10"/>
      <c r="B200" s="11"/>
      <c r="C200" s="11"/>
      <c r="D200" s="11"/>
      <c r="E200" s="11"/>
      <c r="F200" s="11"/>
      <c r="G200" s="11"/>
      <c r="H200" s="7"/>
    </row>
    <row r="201" spans="1:8" ht="20.25" x14ac:dyDescent="0.25">
      <c r="A201" s="10"/>
      <c r="B201" s="11"/>
      <c r="C201" s="11"/>
      <c r="D201" s="11"/>
      <c r="E201" s="11"/>
      <c r="F201" s="11"/>
      <c r="G201" s="11"/>
      <c r="H201" s="7"/>
    </row>
    <row r="202" spans="1:8" ht="20.25" x14ac:dyDescent="0.25">
      <c r="A202" s="10"/>
      <c r="B202" s="11"/>
      <c r="C202" s="11"/>
      <c r="D202" s="11"/>
      <c r="E202" s="11"/>
      <c r="F202" s="11"/>
      <c r="G202" s="11"/>
      <c r="H202" s="7"/>
    </row>
    <row r="203" spans="1:8" ht="20.25" x14ac:dyDescent="0.25">
      <c r="A203" s="10"/>
      <c r="B203" s="11"/>
      <c r="C203" s="11"/>
      <c r="D203" s="11"/>
      <c r="E203" s="11"/>
      <c r="F203" s="11"/>
      <c r="G203" s="11"/>
      <c r="H203" s="7"/>
    </row>
    <row r="204" spans="1:8" ht="20.25" x14ac:dyDescent="0.25">
      <c r="A204" s="10"/>
      <c r="B204" s="11"/>
      <c r="C204" s="11"/>
      <c r="D204" s="11"/>
      <c r="E204" s="11"/>
      <c r="F204" s="11"/>
      <c r="G204" s="11"/>
      <c r="H204" s="7"/>
    </row>
    <row r="205" spans="1:8" ht="20.25" x14ac:dyDescent="0.25">
      <c r="A205" s="10"/>
      <c r="B205" s="11"/>
      <c r="C205" s="11"/>
      <c r="D205" s="11"/>
      <c r="E205" s="11"/>
      <c r="F205" s="11"/>
      <c r="G205" s="11"/>
      <c r="H205" s="7"/>
    </row>
    <row r="206" spans="1:8" ht="20.25" x14ac:dyDescent="0.25">
      <c r="A206" s="10"/>
      <c r="B206" s="11"/>
      <c r="C206" s="11"/>
      <c r="D206" s="11"/>
      <c r="E206" s="11"/>
      <c r="F206" s="11"/>
      <c r="G206" s="11"/>
      <c r="H206" s="7"/>
    </row>
    <row r="207" spans="1:8" ht="20.25" x14ac:dyDescent="0.25">
      <c r="A207" s="10"/>
      <c r="B207" s="11"/>
      <c r="C207" s="11"/>
      <c r="D207" s="11"/>
      <c r="E207" s="11"/>
      <c r="F207" s="11"/>
      <c r="G207" s="11"/>
      <c r="H207" s="7"/>
    </row>
    <row r="208" spans="1:8" ht="20.25" x14ac:dyDescent="0.25">
      <c r="A208" s="10"/>
      <c r="B208" s="11"/>
      <c r="C208" s="11"/>
      <c r="D208" s="11"/>
      <c r="E208" s="11"/>
      <c r="F208" s="11"/>
      <c r="G208" s="11"/>
      <c r="H208" s="7"/>
    </row>
    <row r="209" spans="1:8" ht="20.25" x14ac:dyDescent="0.25">
      <c r="A209" s="10"/>
      <c r="B209" s="11"/>
      <c r="C209" s="11"/>
      <c r="D209" s="11"/>
      <c r="E209" s="11"/>
      <c r="F209" s="11"/>
      <c r="G209" s="11"/>
      <c r="H209" s="7"/>
    </row>
    <row r="210" spans="1:8" ht="20.25" x14ac:dyDescent="0.25">
      <c r="A210" s="10"/>
      <c r="B210" s="11"/>
      <c r="C210" s="11"/>
      <c r="D210" s="11"/>
      <c r="E210" s="11"/>
      <c r="F210" s="11"/>
      <c r="G210" s="11"/>
      <c r="H210" s="7"/>
    </row>
    <row r="211" spans="1:8" ht="20.25" x14ac:dyDescent="0.25">
      <c r="A211" s="10"/>
      <c r="B211" s="11"/>
      <c r="C211" s="11"/>
      <c r="D211" s="11"/>
      <c r="E211" s="11"/>
      <c r="F211" s="11"/>
      <c r="G211" s="11"/>
      <c r="H211" s="7"/>
    </row>
    <row r="212" spans="1:8" ht="20.25" x14ac:dyDescent="0.25">
      <c r="A212" s="10"/>
      <c r="B212" s="11"/>
      <c r="C212" s="11"/>
      <c r="D212" s="11"/>
      <c r="E212" s="11"/>
      <c r="F212" s="11"/>
      <c r="G212" s="11"/>
      <c r="H212" s="7"/>
    </row>
    <row r="213" spans="1:8" ht="20.25" x14ac:dyDescent="0.25">
      <c r="A213" s="10"/>
      <c r="B213" s="11"/>
      <c r="C213" s="11"/>
      <c r="D213" s="11"/>
      <c r="E213" s="11"/>
      <c r="F213" s="11"/>
      <c r="G213" s="11"/>
      <c r="H213" s="7"/>
    </row>
    <row r="214" spans="1:8" ht="20.25" x14ac:dyDescent="0.25">
      <c r="A214" s="10"/>
      <c r="B214" s="11"/>
      <c r="C214" s="11"/>
      <c r="D214" s="11"/>
      <c r="E214" s="11"/>
      <c r="F214" s="11"/>
      <c r="G214" s="11"/>
      <c r="H214" s="7"/>
    </row>
    <row r="215" spans="1:8" ht="20.25" x14ac:dyDescent="0.25">
      <c r="A215" s="10"/>
      <c r="B215" s="11"/>
      <c r="C215" s="11"/>
      <c r="D215" s="11"/>
      <c r="E215" s="11"/>
      <c r="F215" s="11"/>
      <c r="G215" s="11"/>
      <c r="H215" s="7"/>
    </row>
    <row r="216" spans="1:8" ht="20.25" x14ac:dyDescent="0.25">
      <c r="A216" s="10"/>
      <c r="B216" s="11"/>
      <c r="C216" s="11"/>
      <c r="D216" s="11"/>
      <c r="E216" s="11"/>
      <c r="F216" s="11"/>
      <c r="G216" s="11"/>
      <c r="H216" s="7"/>
    </row>
    <row r="217" spans="1:8" ht="20.25" x14ac:dyDescent="0.25">
      <c r="A217" s="10"/>
      <c r="B217" s="11"/>
      <c r="C217" s="11"/>
      <c r="D217" s="11"/>
      <c r="E217" s="11"/>
      <c r="F217" s="11"/>
      <c r="G217" s="11"/>
      <c r="H217" s="7"/>
    </row>
    <row r="218" spans="1:8" ht="20.25" x14ac:dyDescent="0.25">
      <c r="A218" s="10"/>
      <c r="B218" s="11"/>
      <c r="C218" s="11"/>
      <c r="D218" s="11"/>
      <c r="E218" s="11"/>
      <c r="F218" s="11"/>
      <c r="G218" s="11"/>
      <c r="H218" s="7"/>
    </row>
    <row r="219" spans="1:8" ht="20.25" x14ac:dyDescent="0.25">
      <c r="A219" s="10"/>
      <c r="B219" s="11"/>
      <c r="C219" s="11"/>
      <c r="D219" s="11"/>
      <c r="E219" s="11"/>
      <c r="F219" s="11"/>
      <c r="G219" s="11"/>
      <c r="H219" s="7"/>
    </row>
    <row r="220" spans="1:8" ht="20.25" x14ac:dyDescent="0.25">
      <c r="A220" s="10"/>
      <c r="B220" s="11"/>
      <c r="C220" s="11"/>
      <c r="D220" s="11"/>
      <c r="E220" s="11"/>
      <c r="F220" s="11"/>
      <c r="G220" s="11"/>
      <c r="H220" s="7"/>
    </row>
    <row r="221" spans="1:8" ht="20.25" x14ac:dyDescent="0.25">
      <c r="A221" s="10"/>
      <c r="B221" s="11"/>
      <c r="C221" s="11"/>
      <c r="D221" s="11"/>
      <c r="E221" s="11"/>
      <c r="F221" s="11"/>
      <c r="G221" s="11"/>
      <c r="H221" s="7"/>
    </row>
    <row r="222" spans="1:8" ht="20.25" x14ac:dyDescent="0.25">
      <c r="A222" s="10"/>
      <c r="B222" s="11"/>
      <c r="C222" s="11"/>
      <c r="D222" s="11"/>
      <c r="E222" s="11"/>
      <c r="F222" s="11"/>
      <c r="G222" s="11"/>
      <c r="H222" s="7"/>
    </row>
    <row r="223" spans="1:8" ht="20.25" x14ac:dyDescent="0.25">
      <c r="A223" s="10"/>
      <c r="B223" s="11"/>
      <c r="C223" s="11"/>
      <c r="D223" s="11"/>
      <c r="E223" s="11"/>
      <c r="F223" s="11"/>
      <c r="G223" s="11"/>
      <c r="H223" s="7"/>
    </row>
    <row r="224" spans="1:8" ht="20.25" x14ac:dyDescent="0.25">
      <c r="A224" s="10"/>
      <c r="B224" s="11"/>
      <c r="C224" s="11"/>
      <c r="D224" s="11"/>
      <c r="E224" s="11"/>
      <c r="F224" s="11"/>
      <c r="G224" s="11"/>
      <c r="H224" s="7"/>
    </row>
    <row r="225" spans="1:8" ht="20.25" x14ac:dyDescent="0.25">
      <c r="A225" s="10"/>
      <c r="B225" s="11"/>
      <c r="C225" s="11"/>
      <c r="D225" s="11"/>
      <c r="E225" s="11"/>
      <c r="F225" s="11"/>
      <c r="G225" s="11"/>
      <c r="H225" s="7"/>
    </row>
    <row r="226" spans="1:8" ht="20.25" x14ac:dyDescent="0.25">
      <c r="A226" s="10"/>
      <c r="B226" s="11"/>
      <c r="C226" s="11"/>
      <c r="D226" s="11"/>
      <c r="E226" s="11"/>
      <c r="F226" s="11"/>
      <c r="G226" s="11"/>
      <c r="H226" s="7"/>
    </row>
    <row r="227" spans="1:8" ht="20.25" x14ac:dyDescent="0.25">
      <c r="A227" s="10"/>
      <c r="B227" s="11"/>
      <c r="C227" s="11"/>
      <c r="D227" s="11"/>
      <c r="E227" s="11"/>
      <c r="F227" s="11"/>
      <c r="G227" s="11"/>
      <c r="H227" s="7"/>
    </row>
    <row r="228" spans="1:8" ht="20.25" x14ac:dyDescent="0.25">
      <c r="A228" s="10"/>
      <c r="B228" s="11"/>
      <c r="C228" s="11"/>
      <c r="D228" s="11"/>
      <c r="E228" s="11"/>
      <c r="F228" s="11"/>
      <c r="G228" s="11"/>
      <c r="H228" s="7"/>
    </row>
    <row r="229" spans="1:8" ht="20.25" x14ac:dyDescent="0.25">
      <c r="A229" s="110" t="s">
        <v>166</v>
      </c>
      <c r="B229" s="110"/>
      <c r="C229" s="110"/>
      <c r="D229" s="110"/>
      <c r="E229" s="110"/>
      <c r="F229" s="110"/>
      <c r="G229" s="110"/>
      <c r="H229" s="110"/>
    </row>
    <row r="230" spans="1:8" ht="20.25" x14ac:dyDescent="0.25">
      <c r="A230" s="8"/>
      <c r="B230" s="9"/>
      <c r="C230" s="9"/>
      <c r="D230" s="9"/>
      <c r="E230" s="9"/>
      <c r="F230" s="9"/>
      <c r="G230" s="9"/>
      <c r="H230" s="6"/>
    </row>
    <row r="231" spans="1:8" ht="20.25" x14ac:dyDescent="0.25">
      <c r="A231" s="10"/>
      <c r="B231" s="58"/>
      <c r="C231" s="58"/>
      <c r="D231" s="58"/>
      <c r="E231" s="58"/>
      <c r="F231" s="58"/>
      <c r="G231" s="58"/>
      <c r="H231" s="7"/>
    </row>
    <row r="232" spans="1:8" ht="20.25" x14ac:dyDescent="0.25">
      <c r="A232" s="10"/>
      <c r="B232" s="58"/>
      <c r="C232" s="58"/>
      <c r="D232" s="58"/>
      <c r="E232" s="58"/>
      <c r="F232" s="58"/>
      <c r="G232" s="58"/>
      <c r="H232" s="7"/>
    </row>
    <row r="233" spans="1:8" ht="20.25" x14ac:dyDescent="0.25">
      <c r="A233" s="10"/>
      <c r="B233" s="58"/>
      <c r="C233" s="58"/>
      <c r="D233" s="58"/>
      <c r="E233" s="58"/>
      <c r="F233" s="58"/>
      <c r="G233" s="58"/>
      <c r="H233" s="7"/>
    </row>
    <row r="234" spans="1:8" ht="20.25" x14ac:dyDescent="0.25">
      <c r="A234" s="10"/>
      <c r="B234" s="58"/>
      <c r="C234" s="58"/>
      <c r="D234" s="58"/>
      <c r="E234" s="58"/>
      <c r="F234" s="58"/>
      <c r="G234" s="58"/>
      <c r="H234" s="7"/>
    </row>
    <row r="235" spans="1:8" ht="20.25" x14ac:dyDescent="0.25">
      <c r="A235" s="10"/>
      <c r="B235" s="58"/>
      <c r="C235" s="58"/>
      <c r="D235" s="58"/>
      <c r="E235" s="58"/>
      <c r="F235" s="58"/>
      <c r="G235" s="58"/>
      <c r="H235" s="7"/>
    </row>
    <row r="236" spans="1:8" ht="20.25" x14ac:dyDescent="0.25">
      <c r="A236" s="10"/>
      <c r="B236" s="58"/>
      <c r="C236" s="58"/>
      <c r="D236" s="58"/>
      <c r="E236" s="58"/>
      <c r="F236" s="58"/>
      <c r="G236" s="58"/>
      <c r="H236" s="7"/>
    </row>
    <row r="237" spans="1:8" ht="20.25" x14ac:dyDescent="0.25">
      <c r="A237" s="10"/>
      <c r="B237" s="58"/>
      <c r="C237" s="58"/>
      <c r="D237" s="58"/>
      <c r="E237" s="58"/>
      <c r="F237" s="58"/>
      <c r="G237" s="58"/>
      <c r="H237" s="7"/>
    </row>
    <row r="238" spans="1:8" ht="20.25" x14ac:dyDescent="0.25">
      <c r="A238" s="10"/>
      <c r="B238" s="58"/>
      <c r="C238" s="58"/>
      <c r="D238" s="58"/>
      <c r="E238" s="58"/>
      <c r="F238" s="58"/>
      <c r="G238" s="58"/>
      <c r="H238" s="7"/>
    </row>
    <row r="239" spans="1:8" ht="20.25" x14ac:dyDescent="0.25">
      <c r="A239" s="10"/>
      <c r="B239" s="58"/>
      <c r="C239" s="58"/>
      <c r="D239" s="58"/>
      <c r="E239" s="58"/>
      <c r="F239" s="58"/>
      <c r="G239" s="58"/>
      <c r="H239" s="7"/>
    </row>
    <row r="240" spans="1:8" ht="20.25" x14ac:dyDescent="0.25">
      <c r="A240" s="10"/>
      <c r="B240" s="58"/>
      <c r="C240" s="58"/>
      <c r="D240" s="58"/>
      <c r="E240" s="58"/>
      <c r="F240" s="58"/>
      <c r="G240" s="58"/>
      <c r="H240" s="7"/>
    </row>
    <row r="241" spans="1:8" ht="20.25" x14ac:dyDescent="0.25">
      <c r="A241" s="10"/>
      <c r="B241" s="58"/>
      <c r="C241" s="58"/>
      <c r="D241" s="58"/>
      <c r="E241" s="58"/>
      <c r="F241" s="58"/>
      <c r="G241" s="58"/>
      <c r="H241" s="7"/>
    </row>
    <row r="242" spans="1:8" ht="20.25" x14ac:dyDescent="0.25">
      <c r="A242" s="10"/>
      <c r="B242" s="58"/>
      <c r="C242" s="58"/>
      <c r="D242" s="58"/>
      <c r="E242" s="58"/>
      <c r="F242" s="58"/>
      <c r="G242" s="58"/>
      <c r="H242" s="7"/>
    </row>
    <row r="243" spans="1:8" ht="20.25" x14ac:dyDescent="0.25">
      <c r="A243" s="10"/>
      <c r="B243" s="58"/>
      <c r="C243" s="58"/>
      <c r="D243" s="58"/>
      <c r="E243" s="58"/>
      <c r="F243" s="58"/>
      <c r="G243" s="58"/>
      <c r="H243" s="7"/>
    </row>
    <row r="244" spans="1:8" ht="20.25" x14ac:dyDescent="0.25">
      <c r="A244" s="10"/>
      <c r="B244" s="58"/>
      <c r="C244" s="58"/>
      <c r="D244" s="58"/>
      <c r="E244" s="58"/>
      <c r="F244" s="58"/>
      <c r="G244" s="58"/>
      <c r="H244" s="7"/>
    </row>
    <row r="245" spans="1:8" ht="20.25" x14ac:dyDescent="0.25">
      <c r="A245" s="10"/>
      <c r="B245" s="58"/>
      <c r="C245" s="58"/>
      <c r="D245" s="58"/>
      <c r="E245" s="58"/>
      <c r="F245" s="58"/>
      <c r="G245" s="58"/>
      <c r="H245" s="7"/>
    </row>
    <row r="246" spans="1:8" ht="20.25" x14ac:dyDescent="0.25">
      <c r="A246" s="10"/>
      <c r="B246" s="58"/>
      <c r="C246" s="58"/>
      <c r="D246" s="58"/>
      <c r="E246" s="58"/>
      <c r="F246" s="58"/>
      <c r="G246" s="58"/>
      <c r="H246" s="7"/>
    </row>
    <row r="247" spans="1:8" ht="20.25" x14ac:dyDescent="0.25">
      <c r="A247" s="10"/>
      <c r="B247" s="58"/>
      <c r="C247" s="58"/>
      <c r="D247" s="58"/>
      <c r="E247" s="58"/>
      <c r="F247" s="58"/>
      <c r="G247" s="58"/>
      <c r="H247" s="7"/>
    </row>
    <row r="248" spans="1:8" ht="20.25" x14ac:dyDescent="0.25">
      <c r="A248" s="10"/>
      <c r="B248" s="58"/>
      <c r="C248" s="58"/>
      <c r="D248" s="58"/>
      <c r="E248" s="58"/>
      <c r="F248" s="58"/>
      <c r="G248" s="58"/>
      <c r="H248" s="7"/>
    </row>
    <row r="249" spans="1:8" ht="20.25" x14ac:dyDescent="0.25">
      <c r="A249" s="10"/>
      <c r="B249" s="58"/>
      <c r="C249" s="58"/>
      <c r="D249" s="58"/>
      <c r="E249" s="58"/>
      <c r="F249" s="58"/>
      <c r="G249" s="58"/>
      <c r="H249" s="7"/>
    </row>
    <row r="250" spans="1:8" ht="20.25" x14ac:dyDescent="0.25">
      <c r="A250" s="10"/>
      <c r="B250" s="58"/>
      <c r="C250" s="58"/>
      <c r="D250" s="58"/>
      <c r="E250" s="58"/>
      <c r="F250" s="58"/>
      <c r="G250" s="58"/>
      <c r="H250" s="7"/>
    </row>
    <row r="251" spans="1:8" ht="20.25" x14ac:dyDescent="0.25">
      <c r="A251" s="10"/>
      <c r="B251" s="58"/>
      <c r="C251" s="58"/>
      <c r="D251" s="58"/>
      <c r="E251" s="58"/>
      <c r="F251" s="58"/>
      <c r="G251" s="58"/>
      <c r="H251" s="7"/>
    </row>
    <row r="252" spans="1:8" ht="20.25" x14ac:dyDescent="0.25">
      <c r="A252" s="10"/>
      <c r="B252" s="58"/>
      <c r="C252" s="58"/>
      <c r="D252" s="58"/>
      <c r="E252" s="58"/>
      <c r="F252" s="58"/>
      <c r="G252" s="58"/>
      <c r="H252" s="7"/>
    </row>
    <row r="253" spans="1:8" ht="20.25" x14ac:dyDescent="0.25">
      <c r="A253" s="10"/>
      <c r="B253" s="58"/>
      <c r="C253" s="58"/>
      <c r="D253" s="58"/>
      <c r="E253" s="58"/>
      <c r="F253" s="58"/>
      <c r="G253" s="58"/>
      <c r="H253" s="7"/>
    </row>
    <row r="254" spans="1:8" ht="20.25" x14ac:dyDescent="0.25">
      <c r="A254" s="10"/>
      <c r="B254" s="58"/>
      <c r="C254" s="58"/>
      <c r="D254" s="58"/>
      <c r="E254" s="58"/>
      <c r="F254" s="58"/>
      <c r="G254" s="58"/>
      <c r="H254" s="7"/>
    </row>
    <row r="255" spans="1:8" ht="20.25" x14ac:dyDescent="0.25">
      <c r="A255" s="10"/>
      <c r="B255" s="58"/>
      <c r="C255" s="58"/>
      <c r="D255" s="58"/>
      <c r="E255" s="58"/>
      <c r="F255" s="58"/>
      <c r="G255" s="58"/>
      <c r="H255" s="7"/>
    </row>
    <row r="256" spans="1:8" ht="20.25" x14ac:dyDescent="0.25">
      <c r="A256" s="10"/>
      <c r="B256" s="58"/>
      <c r="C256" s="58"/>
      <c r="D256" s="58"/>
      <c r="E256" s="58"/>
      <c r="F256" s="58"/>
      <c r="G256" s="58"/>
      <c r="H256" s="7"/>
    </row>
    <row r="257" spans="1:8" ht="20.25" x14ac:dyDescent="0.25">
      <c r="A257" s="10"/>
      <c r="B257" s="58"/>
      <c r="C257" s="58"/>
      <c r="D257" s="58"/>
      <c r="E257" s="58"/>
      <c r="F257" s="58"/>
      <c r="G257" s="58"/>
      <c r="H257" s="7"/>
    </row>
    <row r="258" spans="1:8" ht="20.25" x14ac:dyDescent="0.25">
      <c r="A258" s="10"/>
      <c r="B258" s="58"/>
      <c r="C258" s="58"/>
      <c r="D258" s="58"/>
      <c r="E258" s="58"/>
      <c r="F258" s="58"/>
      <c r="G258" s="58"/>
      <c r="H258" s="7"/>
    </row>
    <row r="259" spans="1:8" ht="20.25" x14ac:dyDescent="0.25">
      <c r="A259" s="10"/>
      <c r="B259" s="58"/>
      <c r="C259" s="58"/>
      <c r="D259" s="58"/>
      <c r="E259" s="58"/>
      <c r="F259" s="58"/>
      <c r="G259" s="58"/>
      <c r="H259" s="7"/>
    </row>
    <row r="260" spans="1:8" ht="20.25" x14ac:dyDescent="0.25">
      <c r="A260" s="10"/>
      <c r="B260" s="58"/>
      <c r="C260" s="58"/>
      <c r="D260" s="58"/>
      <c r="E260" s="58"/>
      <c r="F260" s="58"/>
      <c r="G260" s="58"/>
      <c r="H260" s="7"/>
    </row>
    <row r="261" spans="1:8" ht="20.25" x14ac:dyDescent="0.25">
      <c r="A261" s="10"/>
      <c r="B261" s="58"/>
      <c r="C261" s="58"/>
      <c r="D261" s="58"/>
      <c r="E261" s="58"/>
      <c r="F261" s="58"/>
      <c r="G261" s="58"/>
      <c r="H261" s="7"/>
    </row>
    <row r="262" spans="1:8" ht="20.25" x14ac:dyDescent="0.25">
      <c r="A262" s="10"/>
      <c r="B262" s="58"/>
      <c r="C262" s="58"/>
      <c r="D262" s="58"/>
      <c r="E262" s="58"/>
      <c r="F262" s="58"/>
      <c r="G262" s="58"/>
      <c r="H262" s="7"/>
    </row>
    <row r="263" spans="1:8" ht="20.25" x14ac:dyDescent="0.25">
      <c r="A263" s="10"/>
      <c r="B263" s="58"/>
      <c r="C263" s="58"/>
      <c r="D263" s="58"/>
      <c r="E263" s="58"/>
      <c r="F263" s="58"/>
      <c r="G263" s="58"/>
      <c r="H263" s="7"/>
    </row>
    <row r="264" spans="1:8" ht="20.25" x14ac:dyDescent="0.25">
      <c r="A264" s="10"/>
      <c r="B264" s="58"/>
      <c r="C264" s="58"/>
      <c r="D264" s="58"/>
      <c r="E264" s="58"/>
      <c r="F264" s="58"/>
      <c r="G264" s="58"/>
      <c r="H264" s="7"/>
    </row>
    <row r="265" spans="1:8" ht="20.25" x14ac:dyDescent="0.25">
      <c r="A265" s="10"/>
      <c r="B265" s="58"/>
      <c r="C265" s="58"/>
      <c r="D265" s="58"/>
      <c r="E265" s="58"/>
      <c r="F265" s="58"/>
      <c r="G265" s="58"/>
      <c r="H265" s="7"/>
    </row>
    <row r="266" spans="1:8" ht="20.25" x14ac:dyDescent="0.25">
      <c r="A266" s="10"/>
      <c r="B266" s="58"/>
      <c r="C266" s="58"/>
      <c r="D266" s="58"/>
      <c r="E266" s="58"/>
      <c r="F266" s="58"/>
      <c r="G266" s="58"/>
      <c r="H266" s="7"/>
    </row>
    <row r="267" spans="1:8" ht="20.25" x14ac:dyDescent="0.25">
      <c r="A267" s="10"/>
      <c r="B267" s="58"/>
      <c r="C267" s="58"/>
      <c r="D267" s="58"/>
      <c r="E267" s="58"/>
      <c r="F267" s="58"/>
      <c r="G267" s="58"/>
      <c r="H267" s="7"/>
    </row>
    <row r="268" spans="1:8" ht="20.25" x14ac:dyDescent="0.25">
      <c r="A268" s="10"/>
      <c r="B268" s="58"/>
      <c r="C268" s="58"/>
      <c r="D268" s="58"/>
      <c r="E268" s="58"/>
      <c r="F268" s="58"/>
      <c r="G268" s="58"/>
      <c r="H268" s="7"/>
    </row>
    <row r="269" spans="1:8" ht="20.25" x14ac:dyDescent="0.25">
      <c r="A269" s="10"/>
      <c r="B269" s="58"/>
      <c r="C269" s="58"/>
      <c r="D269" s="58"/>
      <c r="E269" s="58"/>
      <c r="F269" s="58"/>
      <c r="G269" s="58"/>
      <c r="H269" s="7"/>
    </row>
    <row r="270" spans="1:8" ht="20.25" x14ac:dyDescent="0.25">
      <c r="A270" s="10"/>
      <c r="B270" s="58"/>
      <c r="C270" s="58"/>
      <c r="D270" s="58"/>
      <c r="E270" s="58"/>
      <c r="F270" s="58"/>
      <c r="G270" s="58"/>
      <c r="H270" s="7"/>
    </row>
    <row r="271" spans="1:8" ht="20.25" x14ac:dyDescent="0.25">
      <c r="A271" s="10"/>
      <c r="B271" s="58"/>
      <c r="C271" s="58"/>
      <c r="D271" s="58"/>
      <c r="E271" s="58"/>
      <c r="F271" s="58"/>
      <c r="G271" s="58"/>
      <c r="H271" s="7"/>
    </row>
    <row r="272" spans="1:8" ht="20.25" x14ac:dyDescent="0.25">
      <c r="A272" s="10"/>
      <c r="B272" s="58"/>
      <c r="C272" s="58"/>
      <c r="D272" s="58"/>
      <c r="E272" s="58"/>
      <c r="F272" s="58"/>
      <c r="G272" s="58"/>
      <c r="H272" s="7"/>
    </row>
    <row r="273" spans="1:8" ht="20.25" x14ac:dyDescent="0.25">
      <c r="A273" s="10"/>
      <c r="B273" s="58"/>
      <c r="C273" s="58"/>
      <c r="D273" s="58"/>
      <c r="E273" s="58"/>
      <c r="F273" s="58"/>
      <c r="G273" s="58"/>
      <c r="H273" s="7"/>
    </row>
    <row r="274" spans="1:8" ht="20.25" x14ac:dyDescent="0.25">
      <c r="A274" s="10"/>
      <c r="B274" s="58"/>
      <c r="C274" s="58"/>
      <c r="D274" s="58"/>
      <c r="E274" s="58"/>
      <c r="F274" s="58"/>
      <c r="G274" s="58"/>
      <c r="H274" s="7"/>
    </row>
    <row r="275" spans="1:8" ht="20.25" x14ac:dyDescent="0.25">
      <c r="A275" s="10"/>
      <c r="B275" s="58"/>
      <c r="C275" s="58"/>
      <c r="D275" s="58"/>
      <c r="E275" s="58"/>
      <c r="F275" s="58"/>
      <c r="G275" s="58"/>
      <c r="H275" s="7"/>
    </row>
    <row r="276" spans="1:8" ht="20.25" x14ac:dyDescent="0.25">
      <c r="A276" s="10"/>
      <c r="B276" s="58"/>
      <c r="C276" s="58"/>
      <c r="D276" s="58"/>
      <c r="E276" s="58"/>
      <c r="F276" s="58"/>
      <c r="G276" s="58"/>
      <c r="H276" s="7"/>
    </row>
    <row r="277" spans="1:8" ht="20.25" x14ac:dyDescent="0.25">
      <c r="A277" s="10"/>
      <c r="B277" s="58"/>
      <c r="C277" s="58"/>
      <c r="D277" s="58"/>
      <c r="E277" s="58"/>
      <c r="F277" s="58"/>
      <c r="G277" s="58"/>
      <c r="H277" s="7"/>
    </row>
    <row r="278" spans="1:8" ht="20.25" x14ac:dyDescent="0.25">
      <c r="A278" s="85" t="s">
        <v>77</v>
      </c>
      <c r="B278" s="86"/>
      <c r="C278" s="86"/>
      <c r="D278" s="86"/>
      <c r="E278" s="86"/>
      <c r="F278" s="86"/>
      <c r="G278" s="86"/>
      <c r="H278" s="87"/>
    </row>
    <row r="279" spans="1:8" ht="20.25" x14ac:dyDescent="0.25">
      <c r="A279" s="8"/>
      <c r="B279" s="9"/>
      <c r="C279" s="9"/>
      <c r="D279" s="9"/>
      <c r="E279" s="9"/>
      <c r="F279" s="9"/>
      <c r="G279" s="9"/>
      <c r="H279" s="6"/>
    </row>
    <row r="280" spans="1:8" ht="20.25" x14ac:dyDescent="0.25">
      <c r="A280" s="10"/>
      <c r="B280" s="11"/>
      <c r="C280" s="11"/>
      <c r="D280" s="11"/>
      <c r="E280" s="11"/>
      <c r="F280" s="11"/>
      <c r="G280" s="11"/>
      <c r="H280" s="7"/>
    </row>
    <row r="281" spans="1:8" ht="20.25" x14ac:dyDescent="0.25">
      <c r="A281" s="10"/>
      <c r="B281" s="11"/>
      <c r="C281" s="11"/>
      <c r="D281" s="11"/>
      <c r="E281" s="11"/>
      <c r="F281" s="11"/>
      <c r="G281" s="11"/>
      <c r="H281" s="7"/>
    </row>
    <row r="282" spans="1:8" ht="20.25" x14ac:dyDescent="0.25">
      <c r="A282" s="10"/>
      <c r="B282" s="11"/>
      <c r="C282" s="11"/>
      <c r="D282" s="11"/>
      <c r="E282" s="11"/>
      <c r="F282" s="11"/>
      <c r="G282" s="11"/>
      <c r="H282" s="7"/>
    </row>
    <row r="283" spans="1:8" ht="20.25" x14ac:dyDescent="0.25">
      <c r="A283" s="10"/>
      <c r="B283" s="11"/>
      <c r="C283" s="11"/>
      <c r="D283" s="11"/>
      <c r="E283" s="11"/>
      <c r="F283" s="11"/>
      <c r="G283" s="11"/>
      <c r="H283" s="7"/>
    </row>
    <row r="284" spans="1:8" ht="20.25" x14ac:dyDescent="0.25">
      <c r="A284" s="10"/>
      <c r="B284" s="11"/>
      <c r="C284" s="11"/>
      <c r="D284" s="11"/>
      <c r="E284" s="11"/>
      <c r="F284" s="11"/>
      <c r="G284" s="11"/>
      <c r="H284" s="7"/>
    </row>
    <row r="285" spans="1:8" ht="20.25" x14ac:dyDescent="0.25">
      <c r="A285" s="10"/>
      <c r="B285" s="11"/>
      <c r="C285" s="11"/>
      <c r="D285" s="11"/>
      <c r="E285" s="11"/>
      <c r="F285" s="11"/>
      <c r="G285" s="11"/>
      <c r="H285" s="7"/>
    </row>
    <row r="286" spans="1:8" ht="20.25" x14ac:dyDescent="0.25">
      <c r="A286" s="10"/>
      <c r="B286" s="11"/>
      <c r="C286" s="11"/>
      <c r="D286" s="11"/>
      <c r="E286" s="11"/>
      <c r="F286" s="11"/>
      <c r="G286" s="11"/>
      <c r="H286" s="7"/>
    </row>
    <row r="287" spans="1:8" ht="20.25" x14ac:dyDescent="0.25">
      <c r="A287" s="10"/>
      <c r="B287" s="11"/>
      <c r="C287" s="11"/>
      <c r="D287" s="11"/>
      <c r="E287" s="11"/>
      <c r="F287" s="11"/>
      <c r="G287" s="11"/>
      <c r="H287" s="7"/>
    </row>
    <row r="288" spans="1:8" ht="20.25" x14ac:dyDescent="0.25">
      <c r="A288" s="10"/>
      <c r="B288" s="11"/>
      <c r="C288" s="11"/>
      <c r="D288" s="11"/>
      <c r="E288" s="11"/>
      <c r="F288" s="11"/>
      <c r="G288" s="11"/>
      <c r="H288" s="7"/>
    </row>
    <row r="289" spans="1:8" ht="20.25" x14ac:dyDescent="0.25">
      <c r="A289" s="10"/>
      <c r="B289" s="11"/>
      <c r="C289" s="11"/>
      <c r="D289" s="11"/>
      <c r="E289" s="11"/>
      <c r="F289" s="11"/>
      <c r="G289" s="11"/>
      <c r="H289" s="7"/>
    </row>
    <row r="290" spans="1:8" ht="20.25" x14ac:dyDescent="0.25">
      <c r="A290" s="10"/>
      <c r="B290" s="11"/>
      <c r="C290" s="11"/>
      <c r="D290" s="11"/>
      <c r="E290" s="11"/>
      <c r="F290" s="11"/>
      <c r="G290" s="11"/>
      <c r="H290" s="7"/>
    </row>
    <row r="291" spans="1:8" ht="20.25" x14ac:dyDescent="0.25">
      <c r="A291" s="10"/>
      <c r="B291" s="11"/>
      <c r="C291" s="11"/>
      <c r="D291" s="11"/>
      <c r="E291" s="11"/>
      <c r="F291" s="11"/>
      <c r="G291" s="11"/>
      <c r="H291" s="7"/>
    </row>
    <row r="292" spans="1:8" ht="20.25" x14ac:dyDescent="0.25">
      <c r="A292" s="10"/>
      <c r="B292" s="11"/>
      <c r="C292" s="11"/>
      <c r="D292" s="11"/>
      <c r="E292" s="11"/>
      <c r="F292" s="11"/>
      <c r="G292" s="11"/>
      <c r="H292" s="7"/>
    </row>
    <row r="293" spans="1:8" ht="20.25" x14ac:dyDescent="0.25">
      <c r="A293" s="10"/>
      <c r="B293" s="11"/>
      <c r="C293" s="11"/>
      <c r="D293" s="11"/>
      <c r="E293" s="11"/>
      <c r="F293" s="11"/>
      <c r="G293" s="11"/>
      <c r="H293" s="7"/>
    </row>
    <row r="294" spans="1:8" ht="20.25" x14ac:dyDescent="0.25">
      <c r="A294" s="10"/>
      <c r="B294" s="11"/>
      <c r="C294" s="11"/>
      <c r="D294" s="11"/>
      <c r="E294" s="11"/>
      <c r="F294" s="11"/>
      <c r="G294" s="11"/>
      <c r="H294" s="7"/>
    </row>
    <row r="295" spans="1:8" ht="20.25" x14ac:dyDescent="0.25">
      <c r="A295" s="10"/>
      <c r="B295" s="11"/>
      <c r="C295" s="11"/>
      <c r="D295" s="11"/>
      <c r="E295" s="11"/>
      <c r="F295" s="11"/>
      <c r="G295" s="11"/>
      <c r="H295" s="7"/>
    </row>
    <row r="296" spans="1:8" ht="20.25" x14ac:dyDescent="0.25">
      <c r="A296" s="10"/>
      <c r="B296" s="11"/>
      <c r="C296" s="11"/>
      <c r="D296" s="11"/>
      <c r="E296" s="11"/>
      <c r="F296" s="11"/>
      <c r="G296" s="11"/>
      <c r="H296" s="7"/>
    </row>
    <row r="297" spans="1:8" ht="20.25" x14ac:dyDescent="0.25">
      <c r="A297" s="10"/>
      <c r="B297" s="11"/>
      <c r="C297" s="11"/>
      <c r="D297" s="11"/>
      <c r="E297" s="11"/>
      <c r="F297" s="11"/>
      <c r="G297" s="11"/>
      <c r="H297" s="7"/>
    </row>
    <row r="298" spans="1:8" ht="20.25" x14ac:dyDescent="0.25">
      <c r="A298" s="10"/>
      <c r="B298" s="11"/>
      <c r="C298" s="11"/>
      <c r="D298" s="11"/>
      <c r="E298" s="11"/>
      <c r="F298" s="11"/>
      <c r="G298" s="11"/>
      <c r="H298" s="7"/>
    </row>
    <row r="299" spans="1:8" ht="20.25" x14ac:dyDescent="0.25">
      <c r="A299" s="10"/>
      <c r="B299" s="11"/>
      <c r="C299" s="11"/>
      <c r="D299" s="11"/>
      <c r="E299" s="11"/>
      <c r="F299" s="11"/>
      <c r="G299" s="11"/>
      <c r="H299" s="7"/>
    </row>
    <row r="300" spans="1:8" ht="20.25" x14ac:dyDescent="0.25">
      <c r="A300" s="10"/>
      <c r="B300" s="11"/>
      <c r="C300" s="11"/>
      <c r="D300" s="11"/>
      <c r="E300" s="11"/>
      <c r="F300" s="11"/>
      <c r="G300" s="11"/>
      <c r="H300" s="7"/>
    </row>
    <row r="301" spans="1:8" ht="20.25" x14ac:dyDescent="0.25">
      <c r="A301" s="10"/>
      <c r="B301" s="11"/>
      <c r="C301" s="11"/>
      <c r="D301" s="11"/>
      <c r="E301" s="11"/>
      <c r="F301" s="11"/>
      <c r="G301" s="11"/>
      <c r="H301" s="7"/>
    </row>
    <row r="302" spans="1:8" ht="20.25" x14ac:dyDescent="0.25">
      <c r="A302" s="10"/>
      <c r="B302" s="11"/>
      <c r="C302" s="11"/>
      <c r="D302" s="11"/>
      <c r="E302" s="11"/>
      <c r="F302" s="11"/>
      <c r="G302" s="11"/>
      <c r="H302" s="7"/>
    </row>
    <row r="303" spans="1:8" ht="20.25" x14ac:dyDescent="0.25">
      <c r="A303" s="10"/>
      <c r="B303" s="11"/>
      <c r="C303" s="11"/>
      <c r="D303" s="11"/>
      <c r="E303" s="11"/>
      <c r="F303" s="11"/>
      <c r="G303" s="11"/>
      <c r="H303" s="7"/>
    </row>
    <row r="304" spans="1:8" ht="20.25" x14ac:dyDescent="0.25">
      <c r="A304" s="10"/>
      <c r="B304" s="11"/>
      <c r="C304" s="11"/>
      <c r="D304" s="11"/>
      <c r="E304" s="11"/>
      <c r="F304" s="11"/>
      <c r="G304" s="11"/>
      <c r="H304" s="7"/>
    </row>
    <row r="305" spans="1:8" ht="20.25" x14ac:dyDescent="0.25">
      <c r="A305" s="10"/>
      <c r="B305" s="11"/>
      <c r="C305" s="11"/>
      <c r="D305" s="11"/>
      <c r="E305" s="11"/>
      <c r="F305" s="11"/>
      <c r="G305" s="11"/>
      <c r="H305" s="7"/>
    </row>
    <row r="306" spans="1:8" ht="20.25" x14ac:dyDescent="0.25">
      <c r="A306" s="10"/>
      <c r="B306" s="11"/>
      <c r="C306" s="11"/>
      <c r="D306" s="11"/>
      <c r="E306" s="11"/>
      <c r="F306" s="11"/>
      <c r="G306" s="11"/>
      <c r="H306" s="7"/>
    </row>
    <row r="307" spans="1:8" ht="20.25" x14ac:dyDescent="0.25">
      <c r="A307" s="10"/>
      <c r="B307" s="11"/>
      <c r="C307" s="11"/>
      <c r="D307" s="11"/>
      <c r="E307" s="11"/>
      <c r="F307" s="11"/>
      <c r="G307" s="11"/>
      <c r="H307" s="7"/>
    </row>
    <row r="308" spans="1:8" ht="20.25" x14ac:dyDescent="0.25">
      <c r="A308" s="10"/>
      <c r="B308" s="11"/>
      <c r="C308" s="11"/>
      <c r="D308" s="11"/>
      <c r="E308" s="11"/>
      <c r="F308" s="11"/>
      <c r="G308" s="11"/>
      <c r="H308" s="7"/>
    </row>
    <row r="309" spans="1:8" ht="20.25" x14ac:dyDescent="0.25">
      <c r="A309" s="110" t="s">
        <v>24</v>
      </c>
      <c r="B309" s="110"/>
      <c r="C309" s="110"/>
      <c r="D309" s="110"/>
      <c r="E309" s="110"/>
      <c r="F309" s="110"/>
      <c r="G309" s="110"/>
      <c r="H309" s="110"/>
    </row>
    <row r="310" spans="1:8" ht="20.25" x14ac:dyDescent="0.25">
      <c r="A310" s="121" t="s">
        <v>78</v>
      </c>
      <c r="B310" s="122"/>
      <c r="C310" s="122"/>
      <c r="D310" s="122"/>
      <c r="E310" s="122"/>
      <c r="F310" s="122"/>
      <c r="G310" s="122"/>
      <c r="H310" s="123"/>
    </row>
    <row r="311" spans="1:8" ht="20.25" x14ac:dyDescent="0.25">
      <c r="A311" s="124" t="s">
        <v>79</v>
      </c>
      <c r="B311" s="125"/>
      <c r="C311" s="125"/>
      <c r="D311" s="125"/>
      <c r="E311" s="125"/>
      <c r="F311" s="125"/>
      <c r="G311" s="125"/>
      <c r="H311" s="126"/>
    </row>
    <row r="312" spans="1:8" ht="45" customHeight="1" x14ac:dyDescent="0.25">
      <c r="A312" s="124" t="s">
        <v>80</v>
      </c>
      <c r="B312" s="125"/>
      <c r="C312" s="125"/>
      <c r="D312" s="125"/>
      <c r="E312" s="125"/>
      <c r="F312" s="125"/>
      <c r="G312" s="125"/>
      <c r="H312" s="126"/>
    </row>
    <row r="313" spans="1:8" ht="42.75" customHeight="1" x14ac:dyDescent="0.25">
      <c r="A313" s="124" t="s">
        <v>81</v>
      </c>
      <c r="B313" s="125"/>
      <c r="C313" s="125"/>
      <c r="D313" s="125"/>
      <c r="E313" s="125"/>
      <c r="F313" s="125"/>
      <c r="G313" s="125"/>
      <c r="H313" s="126"/>
    </row>
    <row r="314" spans="1:8" ht="20.25" x14ac:dyDescent="0.25">
      <c r="A314" s="124" t="s">
        <v>82</v>
      </c>
      <c r="B314" s="125"/>
      <c r="C314" s="125"/>
      <c r="D314" s="125"/>
      <c r="E314" s="125"/>
      <c r="F314" s="125"/>
      <c r="G314" s="125"/>
      <c r="H314" s="126"/>
    </row>
    <row r="315" spans="1:8" ht="20.25" x14ac:dyDescent="0.25">
      <c r="A315" s="124" t="s">
        <v>83</v>
      </c>
      <c r="B315" s="125"/>
      <c r="C315" s="125"/>
      <c r="D315" s="125"/>
      <c r="E315" s="125"/>
      <c r="F315" s="125"/>
      <c r="G315" s="125"/>
      <c r="H315" s="126"/>
    </row>
    <row r="316" spans="1:8" ht="45" customHeight="1" x14ac:dyDescent="0.25">
      <c r="A316" s="124" t="s">
        <v>84</v>
      </c>
      <c r="B316" s="125"/>
      <c r="C316" s="125"/>
      <c r="D316" s="125"/>
      <c r="E316" s="125"/>
      <c r="F316" s="125"/>
      <c r="G316" s="125"/>
      <c r="H316" s="126"/>
    </row>
    <row r="317" spans="1:8" ht="45" customHeight="1" x14ac:dyDescent="0.25">
      <c r="A317" s="124" t="s">
        <v>85</v>
      </c>
      <c r="B317" s="125"/>
      <c r="C317" s="125"/>
      <c r="D317" s="125"/>
      <c r="E317" s="125"/>
      <c r="F317" s="125"/>
      <c r="G317" s="125"/>
      <c r="H317" s="126"/>
    </row>
    <row r="318" spans="1:8" ht="20.25" hidden="1" x14ac:dyDescent="0.25">
      <c r="A318" s="127" t="s">
        <v>86</v>
      </c>
      <c r="B318" s="128"/>
      <c r="C318" s="128"/>
      <c r="D318" s="128"/>
      <c r="E318" s="128"/>
      <c r="F318" s="128"/>
      <c r="G318" s="128"/>
      <c r="H318" s="129"/>
    </row>
    <row r="319" spans="1:8" ht="57" customHeight="1" x14ac:dyDescent="0.25">
      <c r="A319" s="131" t="s">
        <v>30</v>
      </c>
      <c r="B319" s="132"/>
      <c r="C319" s="133" t="s">
        <v>309</v>
      </c>
      <c r="D319" s="134"/>
      <c r="E319" s="131" t="s">
        <v>9</v>
      </c>
      <c r="F319" s="132"/>
      <c r="G319" s="116"/>
      <c r="H319" s="116"/>
    </row>
  </sheetData>
  <mergeCells count="350">
    <mergeCell ref="K4:L4"/>
    <mergeCell ref="A133:B133"/>
    <mergeCell ref="A134:B134"/>
    <mergeCell ref="A135:B135"/>
    <mergeCell ref="A136:B136"/>
    <mergeCell ref="C134:H134"/>
    <mergeCell ref="A117:B117"/>
    <mergeCell ref="A118:B118"/>
    <mergeCell ref="A119:B119"/>
    <mergeCell ref="A120:B120"/>
    <mergeCell ref="A121:B121"/>
    <mergeCell ref="A128:B128"/>
    <mergeCell ref="A129:B129"/>
    <mergeCell ref="A130:H130"/>
    <mergeCell ref="C94:D94"/>
    <mergeCell ref="E94:F94"/>
    <mergeCell ref="A96:F96"/>
    <mergeCell ref="A97:F97"/>
    <mergeCell ref="A98:F98"/>
    <mergeCell ref="A103:H103"/>
    <mergeCell ref="G96:H96"/>
    <mergeCell ref="A131:B131"/>
    <mergeCell ref="A132:B132"/>
    <mergeCell ref="A105:B105"/>
    <mergeCell ref="G105:H105"/>
    <mergeCell ref="G106:H106"/>
    <mergeCell ref="A106:B106"/>
    <mergeCell ref="C51:F51"/>
    <mergeCell ref="A51:B52"/>
    <mergeCell ref="C52:H52"/>
    <mergeCell ref="A54:B54"/>
    <mergeCell ref="C54:F54"/>
    <mergeCell ref="E75:F75"/>
    <mergeCell ref="E76:F76"/>
    <mergeCell ref="A77:B77"/>
    <mergeCell ref="E77:F77"/>
    <mergeCell ref="A69:B69"/>
    <mergeCell ref="A70:B70"/>
    <mergeCell ref="A71:B71"/>
    <mergeCell ref="A72:B72"/>
    <mergeCell ref="A73:B73"/>
    <mergeCell ref="A91:H91"/>
    <mergeCell ref="G92:H92"/>
    <mergeCell ref="A56:B56"/>
    <mergeCell ref="A57:B57"/>
    <mergeCell ref="C53:F53"/>
    <mergeCell ref="C55:F55"/>
    <mergeCell ref="C56:F56"/>
    <mergeCell ref="C57:F57"/>
    <mergeCell ref="A92:B92"/>
    <mergeCell ref="C92:D92"/>
    <mergeCell ref="A59:C60"/>
    <mergeCell ref="E59:F59"/>
    <mergeCell ref="E60:F60"/>
    <mergeCell ref="A61:B61"/>
    <mergeCell ref="E61:F61"/>
    <mergeCell ref="A62:B62"/>
    <mergeCell ref="E62:F73"/>
    <mergeCell ref="A83:B83"/>
    <mergeCell ref="A84:B84"/>
    <mergeCell ref="A85:B85"/>
    <mergeCell ref="A86:B86"/>
    <mergeCell ref="A87:B87"/>
    <mergeCell ref="A88:B88"/>
    <mergeCell ref="A89:B89"/>
    <mergeCell ref="G62:H73"/>
    <mergeCell ref="A63:B63"/>
    <mergeCell ref="A64:B64"/>
    <mergeCell ref="A65:B65"/>
    <mergeCell ref="A66:B66"/>
    <mergeCell ref="A67:B67"/>
    <mergeCell ref="A68:B68"/>
    <mergeCell ref="C93:D93"/>
    <mergeCell ref="D45:F45"/>
    <mergeCell ref="A48:B48"/>
    <mergeCell ref="A50:B50"/>
    <mergeCell ref="A53:B53"/>
    <mergeCell ref="A55:B55"/>
    <mergeCell ref="A49:B49"/>
    <mergeCell ref="C48:H48"/>
    <mergeCell ref="C49:F49"/>
    <mergeCell ref="C50:F50"/>
    <mergeCell ref="A90:F90"/>
    <mergeCell ref="E78:F89"/>
    <mergeCell ref="G78:H89"/>
    <mergeCell ref="A79:B79"/>
    <mergeCell ref="A80:B80"/>
    <mergeCell ref="A81:B81"/>
    <mergeCell ref="A82:B82"/>
    <mergeCell ref="A43:B43"/>
    <mergeCell ref="A38:B38"/>
    <mergeCell ref="A42:B42"/>
    <mergeCell ref="C42:E42"/>
    <mergeCell ref="F42:H42"/>
    <mergeCell ref="C43:H43"/>
    <mergeCell ref="J38:K38"/>
    <mergeCell ref="M38:N38"/>
    <mergeCell ref="C38:E38"/>
    <mergeCell ref="F38:H38"/>
    <mergeCell ref="C39:E39"/>
    <mergeCell ref="F39:H39"/>
    <mergeCell ref="F40:H40"/>
    <mergeCell ref="C40:E40"/>
    <mergeCell ref="E35:F35"/>
    <mergeCell ref="E36:F36"/>
    <mergeCell ref="A34:B34"/>
    <mergeCell ref="A35:B35"/>
    <mergeCell ref="A36:B36"/>
    <mergeCell ref="C34:D34"/>
    <mergeCell ref="C35:D35"/>
    <mergeCell ref="C36:D36"/>
    <mergeCell ref="A41:B41"/>
    <mergeCell ref="C41:E41"/>
    <mergeCell ref="F41:H41"/>
    <mergeCell ref="A39:B39"/>
    <mergeCell ref="A40:B40"/>
    <mergeCell ref="G34:H34"/>
    <mergeCell ref="E34:F34"/>
    <mergeCell ref="A22:B22"/>
    <mergeCell ref="C18:D18"/>
    <mergeCell ref="C19:D19"/>
    <mergeCell ref="C20:D20"/>
    <mergeCell ref="C21:D21"/>
    <mergeCell ref="C22:D22"/>
    <mergeCell ref="A31:B31"/>
    <mergeCell ref="A32:B32"/>
    <mergeCell ref="E26:F26"/>
    <mergeCell ref="E27:F27"/>
    <mergeCell ref="E28:F28"/>
    <mergeCell ref="E29:F29"/>
    <mergeCell ref="E30:F30"/>
    <mergeCell ref="E31:F31"/>
    <mergeCell ref="C28:D28"/>
    <mergeCell ref="C29:D29"/>
    <mergeCell ref="C30:D30"/>
    <mergeCell ref="C31:D31"/>
    <mergeCell ref="C32:H32"/>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C27:D27"/>
    <mergeCell ref="A58:H58"/>
    <mergeCell ref="A23:B23"/>
    <mergeCell ref="A24:B24"/>
    <mergeCell ref="A45:B45"/>
    <mergeCell ref="A46:B46"/>
    <mergeCell ref="D46:F46"/>
    <mergeCell ref="C16:D16"/>
    <mergeCell ref="C17:D17"/>
    <mergeCell ref="A26:B26"/>
    <mergeCell ref="A27:B27"/>
    <mergeCell ref="A28:B28"/>
    <mergeCell ref="A29:B29"/>
    <mergeCell ref="A30:B30"/>
    <mergeCell ref="A14:B14"/>
    <mergeCell ref="A15:B15"/>
    <mergeCell ref="A16:B16"/>
    <mergeCell ref="A17:B17"/>
    <mergeCell ref="A18:B18"/>
    <mergeCell ref="A19:B19"/>
    <mergeCell ref="A20:B20"/>
    <mergeCell ref="A21:B21"/>
    <mergeCell ref="A163:B163"/>
    <mergeCell ref="B182:H182"/>
    <mergeCell ref="B175:H175"/>
    <mergeCell ref="B174:H174"/>
    <mergeCell ref="B179:H179"/>
    <mergeCell ref="B177:H177"/>
    <mergeCell ref="B176:H176"/>
    <mergeCell ref="B180:H180"/>
    <mergeCell ref="A160:B160"/>
    <mergeCell ref="A161:B161"/>
    <mergeCell ref="A162:B162"/>
    <mergeCell ref="A171:B171"/>
    <mergeCell ref="A172:B172"/>
    <mergeCell ref="A168:B168"/>
    <mergeCell ref="A169:B169"/>
    <mergeCell ref="A170:B170"/>
    <mergeCell ref="A164:H164"/>
    <mergeCell ref="A165:B165"/>
    <mergeCell ref="A166:B166"/>
    <mergeCell ref="A167:B167"/>
    <mergeCell ref="B181:H181"/>
    <mergeCell ref="A173:H173"/>
    <mergeCell ref="B178:H178"/>
    <mergeCell ref="G14:H14"/>
    <mergeCell ref="G16:H16"/>
    <mergeCell ref="G17:H17"/>
    <mergeCell ref="G15:H15"/>
    <mergeCell ref="G18:H18"/>
    <mergeCell ref="G19:H19"/>
    <mergeCell ref="G46:H46"/>
    <mergeCell ref="G31:H31"/>
    <mergeCell ref="G22:H22"/>
    <mergeCell ref="G36:H36"/>
    <mergeCell ref="G35:H35"/>
    <mergeCell ref="C24:H24"/>
    <mergeCell ref="C23:H23"/>
    <mergeCell ref="E14:F14"/>
    <mergeCell ref="E15:F15"/>
    <mergeCell ref="E16:F16"/>
    <mergeCell ref="E17:F17"/>
    <mergeCell ref="E18:F18"/>
    <mergeCell ref="E19:F19"/>
    <mergeCell ref="E20:F20"/>
    <mergeCell ref="E21:F21"/>
    <mergeCell ref="E22:F22"/>
    <mergeCell ref="C14:D14"/>
    <mergeCell ref="C15:D15"/>
    <mergeCell ref="G319:H319"/>
    <mergeCell ref="A183:H183"/>
    <mergeCell ref="D185:H185"/>
    <mergeCell ref="A310:H310"/>
    <mergeCell ref="A316:H316"/>
    <mergeCell ref="A317:H317"/>
    <mergeCell ref="A318:H318"/>
    <mergeCell ref="A311:H311"/>
    <mergeCell ref="A312:H312"/>
    <mergeCell ref="A313:H313"/>
    <mergeCell ref="A314:H314"/>
    <mergeCell ref="A185:C185"/>
    <mergeCell ref="A309:H309"/>
    <mergeCell ref="A315:H315"/>
    <mergeCell ref="A278:H278"/>
    <mergeCell ref="D184:H184"/>
    <mergeCell ref="A186:C186"/>
    <mergeCell ref="D186:H186"/>
    <mergeCell ref="A229:H229"/>
    <mergeCell ref="E319:F319"/>
    <mergeCell ref="A319:B319"/>
    <mergeCell ref="C319:D319"/>
    <mergeCell ref="A1:H1"/>
    <mergeCell ref="A184:C184"/>
    <mergeCell ref="G27:H27"/>
    <mergeCell ref="G28:H28"/>
    <mergeCell ref="A37:H37"/>
    <mergeCell ref="A44:H44"/>
    <mergeCell ref="A47:H47"/>
    <mergeCell ref="A99:H99"/>
    <mergeCell ref="G97:H97"/>
    <mergeCell ref="G7:H7"/>
    <mergeCell ref="G45:H45"/>
    <mergeCell ref="A25:H25"/>
    <mergeCell ref="G26:H26"/>
    <mergeCell ref="G20:H20"/>
    <mergeCell ref="G21:H21"/>
    <mergeCell ref="A9:A11"/>
    <mergeCell ref="G6:H6"/>
    <mergeCell ref="A5:H5"/>
    <mergeCell ref="A33:H33"/>
    <mergeCell ref="G30:H30"/>
    <mergeCell ref="G29:H29"/>
    <mergeCell ref="A13:H13"/>
    <mergeCell ref="C26:D26"/>
    <mergeCell ref="A139:B139"/>
    <mergeCell ref="A159:B159"/>
    <mergeCell ref="A152:B152"/>
    <mergeCell ref="A150:B150"/>
    <mergeCell ref="E106:F106"/>
    <mergeCell ref="E105:F105"/>
    <mergeCell ref="C104:D104"/>
    <mergeCell ref="C105:D105"/>
    <mergeCell ref="C107:D107"/>
    <mergeCell ref="A151:B151"/>
    <mergeCell ref="A153:B153"/>
    <mergeCell ref="A154:B154"/>
    <mergeCell ref="A149:B149"/>
    <mergeCell ref="A155:H155"/>
    <mergeCell ref="A156:B156"/>
    <mergeCell ref="A148:B148"/>
    <mergeCell ref="A146:H146"/>
    <mergeCell ref="A147:B147"/>
    <mergeCell ref="E107:F107"/>
    <mergeCell ref="C106:D106"/>
    <mergeCell ref="A137:H137"/>
    <mergeCell ref="A107:B107"/>
    <mergeCell ref="G107:H107"/>
    <mergeCell ref="A140:B140"/>
    <mergeCell ref="A141:B141"/>
    <mergeCell ref="A142:B142"/>
    <mergeCell ref="A74:H74"/>
    <mergeCell ref="A75:C76"/>
    <mergeCell ref="G90:H90"/>
    <mergeCell ref="A143:B143"/>
    <mergeCell ref="A144:B144"/>
    <mergeCell ref="A145:B145"/>
    <mergeCell ref="A138:B138"/>
    <mergeCell ref="G94:H94"/>
    <mergeCell ref="G98:H98"/>
    <mergeCell ref="A95:H95"/>
    <mergeCell ref="E92:F92"/>
    <mergeCell ref="A94:B94"/>
    <mergeCell ref="E93:F93"/>
    <mergeCell ref="G93:H93"/>
    <mergeCell ref="A112:H112"/>
    <mergeCell ref="A111:H111"/>
    <mergeCell ref="A110:H110"/>
    <mergeCell ref="A122:H122"/>
    <mergeCell ref="A123:H123"/>
    <mergeCell ref="A124:B124"/>
    <mergeCell ref="A125:B125"/>
    <mergeCell ref="A126:B126"/>
    <mergeCell ref="A78:B78"/>
    <mergeCell ref="A157:B157"/>
    <mergeCell ref="A158:B158"/>
    <mergeCell ref="A93:B93"/>
    <mergeCell ref="A108:H108"/>
    <mergeCell ref="E100:F100"/>
    <mergeCell ref="E101:F101"/>
    <mergeCell ref="E102:F102"/>
    <mergeCell ref="A100:B100"/>
    <mergeCell ref="A101:B101"/>
    <mergeCell ref="C100:D100"/>
    <mergeCell ref="A102:B102"/>
    <mergeCell ref="C101:D101"/>
    <mergeCell ref="G100:H100"/>
    <mergeCell ref="G101:H101"/>
    <mergeCell ref="G102:H102"/>
    <mergeCell ref="C102:D102"/>
    <mergeCell ref="A127:B127"/>
    <mergeCell ref="A114:H114"/>
    <mergeCell ref="A115:B115"/>
    <mergeCell ref="A116:B116"/>
    <mergeCell ref="A113:H113"/>
    <mergeCell ref="A104:B104"/>
    <mergeCell ref="E104:F104"/>
    <mergeCell ref="G104:H104"/>
  </mergeCells>
  <dataValidations count="6">
    <dataValidation type="list" allowBlank="1" showInputMessage="1" showErrorMessage="1" sqref="G26:H26" xr:uid="{00000000-0002-0000-0000-000001000000}">
      <formula1>"Middle,Upper"</formula1>
    </dataValidation>
    <dataValidation type="list" allowBlank="1" showInputMessage="1" showErrorMessage="1" sqref="C94" xr:uid="{00000000-0002-0000-0000-000002000000}">
      <formula1>"300000,350000,400000,500000,600000,700000,800000,900000,1000000,1200000,1400000,1500000,1600000"</formula1>
    </dataValidation>
    <dataValidation type="list" allowBlank="1" showInputMessage="1" showErrorMessage="1" sqref="F109"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48:H48 G35:H35" xr:uid="{00000000-0002-0000-0000-000005000000}">
      <formula1>"Yes,No"</formula1>
    </dataValidation>
    <dataValidation type="list" allowBlank="1" showInputMessage="1" showErrorMessage="1" sqref="C109" xr:uid="{00000000-0002-0000-0000-000006000000}">
      <formula1>"Sale /         Rehab /           PAP,Sale / Mhada,Sale / Landowner"</formula1>
    </dataValidation>
  </dataValidation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5" manualBreakCount="5">
    <brk id="24" max="16383" man="1"/>
    <brk id="98" max="16383" man="1"/>
    <brk id="182" max="8" man="1"/>
    <brk id="228" max="16383" man="1"/>
    <brk id="27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4" sqref="A4:C5"/>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0" t="s">
        <v>69</v>
      </c>
      <c r="B3" s="110"/>
      <c r="C3" s="110"/>
      <c r="D3" s="110"/>
      <c r="E3" s="110"/>
      <c r="F3" s="110"/>
      <c r="G3" s="110"/>
      <c r="H3" s="110"/>
      <c r="I3" s="110"/>
    </row>
    <row r="4" spans="1:11" s="1" customFormat="1" ht="20.25" customHeight="1" x14ac:dyDescent="0.3">
      <c r="A4" s="183">
        <v>1</v>
      </c>
      <c r="B4" s="183"/>
      <c r="C4" s="183"/>
      <c r="D4" s="184" t="s">
        <v>4</v>
      </c>
      <c r="E4" s="27" t="s">
        <v>118</v>
      </c>
      <c r="F4" s="159" t="s">
        <v>105</v>
      </c>
      <c r="G4" s="159"/>
      <c r="H4" s="27" t="s">
        <v>119</v>
      </c>
      <c r="I4" s="27" t="s">
        <v>120</v>
      </c>
      <c r="J4" s="12"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4"/>
    </row>
    <row r="5" spans="1:11" s="1" customFormat="1" ht="20.25" x14ac:dyDescent="0.3">
      <c r="A5" s="183"/>
      <c r="B5" s="183"/>
      <c r="C5" s="183"/>
      <c r="D5" s="184"/>
      <c r="E5" s="27">
        <v>3</v>
      </c>
      <c r="F5" s="159">
        <v>1</v>
      </c>
      <c r="G5" s="159"/>
      <c r="H5" s="27">
        <v>0</v>
      </c>
      <c r="I5" s="27">
        <f ca="1">--TRIM(RIGHT(SUBSTITUTE(LEFT(A4,_xlfn.AGGREGATE(16,6,FIND({0,1,2,3,4,5,6,7,8,9},A4,ROW(INDIRECT("1:"&amp;LEN(A4)))),1))," ",REPT(" ",LEN(A4))),LEN(A4)))</f>
        <v>1</v>
      </c>
      <c r="J5" s="13" t="s">
        <v>124</v>
      </c>
      <c r="K5" s="14"/>
    </row>
    <row r="6" spans="1:11" s="1" customFormat="1" ht="20.25" customHeight="1" x14ac:dyDescent="0.3">
      <c r="A6" s="160" t="s">
        <v>122</v>
      </c>
      <c r="B6" s="160"/>
      <c r="C6" s="160" t="s">
        <v>136</v>
      </c>
      <c r="D6" s="160"/>
      <c r="E6" s="28" t="s">
        <v>137</v>
      </c>
      <c r="F6" s="160" t="s">
        <v>123</v>
      </c>
      <c r="G6" s="160"/>
      <c r="H6" s="24" t="s">
        <v>121</v>
      </c>
      <c r="I6" s="24"/>
      <c r="J6" s="16" t="s">
        <v>138</v>
      </c>
      <c r="K6" s="15">
        <f ca="1">I5*25%</f>
        <v>0.25</v>
      </c>
    </row>
    <row r="7" spans="1:11" s="1" customFormat="1" ht="20.25" customHeight="1" x14ac:dyDescent="0.3">
      <c r="A7" s="148" t="s">
        <v>139</v>
      </c>
      <c r="B7" s="148"/>
      <c r="C7" s="159">
        <f ca="1">K8</f>
        <v>1</v>
      </c>
      <c r="D7" s="159"/>
      <c r="E7" s="26">
        <f ca="1">((100/I5)*C7)/100</f>
        <v>1</v>
      </c>
      <c r="F7" s="148">
        <f ca="1">(((C7/I5*10)+(C8/I5*25)+(25/(F5+H5+I5)*C9)+(5/(I5)*C10)+(2.5/(I5)*C11)+(2.5/(I5)*C12)+(5/I5*C13)+(2.5/I5*C14)+(2.5/I5*C15)+(5/I5*C16)+(10/I5*C17)+(5/I5*C18))/100)</f>
        <v>0.35</v>
      </c>
      <c r="G7" s="148"/>
      <c r="H7" s="148" t="str">
        <f ca="1">J4</f>
        <v>Excavation work Completed. Plinth work completed</v>
      </c>
      <c r="I7" s="148"/>
      <c r="J7" s="16" t="s">
        <v>125</v>
      </c>
      <c r="K7" s="20">
        <f ca="1">I5*50%</f>
        <v>0.5</v>
      </c>
    </row>
    <row r="8" spans="1:11" s="1" customFormat="1" ht="20.25" x14ac:dyDescent="0.3">
      <c r="A8" s="148" t="s">
        <v>106</v>
      </c>
      <c r="B8" s="148"/>
      <c r="C8" s="182">
        <f ca="1">K16</f>
        <v>1</v>
      </c>
      <c r="D8" s="159"/>
      <c r="E8" s="26">
        <f ca="1">((100/I5)*C8)/100</f>
        <v>1</v>
      </c>
      <c r="F8" s="148"/>
      <c r="G8" s="148"/>
      <c r="H8" s="148"/>
      <c r="I8" s="148"/>
      <c r="J8" s="16" t="s">
        <v>126</v>
      </c>
      <c r="K8" s="20">
        <f ca="1">I5</f>
        <v>1</v>
      </c>
    </row>
    <row r="9" spans="1:11" s="1" customFormat="1" ht="21" customHeight="1" x14ac:dyDescent="0.35">
      <c r="A9" s="148" t="s">
        <v>140</v>
      </c>
      <c r="B9" s="148"/>
      <c r="C9" s="159">
        <v>0</v>
      </c>
      <c r="D9" s="159"/>
      <c r="E9" s="26">
        <f ca="1">((100/(F5+H5+I5))*C9)/100</f>
        <v>0</v>
      </c>
      <c r="F9" s="148"/>
      <c r="G9" s="148"/>
      <c r="H9" s="148"/>
      <c r="I9" s="148"/>
      <c r="J9" s="16" t="s">
        <v>127</v>
      </c>
      <c r="K9" s="21">
        <f ca="1">(IF(E5&gt;1,(I5/(E5+2)),I5*0.2))</f>
        <v>0.2</v>
      </c>
    </row>
    <row r="10" spans="1:11" s="1" customFormat="1" ht="21" customHeight="1" x14ac:dyDescent="0.35">
      <c r="A10" s="148" t="s">
        <v>141</v>
      </c>
      <c r="B10" s="148"/>
      <c r="C10" s="159">
        <v>0</v>
      </c>
      <c r="D10" s="159"/>
      <c r="E10" s="26">
        <f ca="1">((100/I5)*C10)/100</f>
        <v>0</v>
      </c>
      <c r="F10" s="148"/>
      <c r="G10" s="148"/>
      <c r="H10" s="148"/>
      <c r="I10" s="148"/>
      <c r="J10" s="16" t="s">
        <v>128</v>
      </c>
      <c r="K10" s="21">
        <f ca="1">(IF(E5&gt;1,(I5/(E5+2)+K9),I5*0.2+K9))</f>
        <v>0.4</v>
      </c>
    </row>
    <row r="11" spans="1:11" s="1" customFormat="1" ht="21" customHeight="1" x14ac:dyDescent="0.35">
      <c r="A11" s="104" t="s">
        <v>142</v>
      </c>
      <c r="B11" s="105"/>
      <c r="C11" s="159">
        <v>0</v>
      </c>
      <c r="D11" s="159"/>
      <c r="E11" s="26">
        <f ca="1">((100/I5)*C11)/100</f>
        <v>0</v>
      </c>
      <c r="F11" s="148"/>
      <c r="G11" s="148"/>
      <c r="H11" s="148"/>
      <c r="I11" s="148"/>
      <c r="J11" s="16" t="s">
        <v>143</v>
      </c>
      <c r="K11" s="21">
        <f ca="1">(IF(E5&gt;1,(I5/(E5+2)+K10),0))</f>
        <v>0.60000000000000009</v>
      </c>
    </row>
    <row r="12" spans="1:11" s="1" customFormat="1" ht="21" customHeight="1" x14ac:dyDescent="0.35">
      <c r="A12" s="104" t="s">
        <v>175</v>
      </c>
      <c r="B12" s="105"/>
      <c r="C12" s="159">
        <v>0</v>
      </c>
      <c r="D12" s="159"/>
      <c r="E12" s="26">
        <f ca="1">((100/I5)*C12)/100</f>
        <v>0</v>
      </c>
      <c r="F12" s="148"/>
      <c r="G12" s="148"/>
      <c r="H12" s="148"/>
      <c r="I12" s="148"/>
      <c r="J12" s="16" t="s">
        <v>144</v>
      </c>
      <c r="K12" s="21">
        <f ca="1">(IF(E5&gt;2,(I5/(E5+2)+K11),0))</f>
        <v>0.8</v>
      </c>
    </row>
    <row r="13" spans="1:11" s="1" customFormat="1" ht="57.75" customHeight="1" x14ac:dyDescent="0.35">
      <c r="A13" s="104" t="s">
        <v>172</v>
      </c>
      <c r="B13" s="105"/>
      <c r="C13" s="159">
        <v>0</v>
      </c>
      <c r="D13" s="159"/>
      <c r="E13" s="26">
        <f ca="1">((100/(I5))*C13)/100</f>
        <v>0</v>
      </c>
      <c r="F13" s="148"/>
      <c r="G13" s="148"/>
      <c r="H13" s="148"/>
      <c r="I13" s="148"/>
      <c r="J13" s="16" t="s">
        <v>146</v>
      </c>
      <c r="K13" s="22">
        <f>(IF(E5&gt;3,(I5/(E5+2)+K12),0))</f>
        <v>0</v>
      </c>
    </row>
    <row r="14" spans="1:11" s="1" customFormat="1" ht="21" x14ac:dyDescent="0.35">
      <c r="A14" s="148" t="s">
        <v>145</v>
      </c>
      <c r="B14" s="148"/>
      <c r="C14" s="159">
        <v>0</v>
      </c>
      <c r="D14" s="159"/>
      <c r="E14" s="26">
        <f ca="1">((100/(I5))*C14)/100</f>
        <v>0</v>
      </c>
      <c r="F14" s="148"/>
      <c r="G14" s="148"/>
      <c r="H14" s="148"/>
      <c r="I14" s="148"/>
      <c r="J14" s="16" t="s">
        <v>147</v>
      </c>
      <c r="K14" s="21">
        <f>(IF(E5&gt;4,(I5/(E5+2)+K13),0))</f>
        <v>0</v>
      </c>
    </row>
    <row r="15" spans="1:11" s="1" customFormat="1" ht="21" customHeight="1" x14ac:dyDescent="0.35">
      <c r="A15" s="148" t="s">
        <v>174</v>
      </c>
      <c r="B15" s="148"/>
      <c r="C15" s="159">
        <v>0</v>
      </c>
      <c r="D15" s="159"/>
      <c r="E15" s="26">
        <f ca="1">((100/I5)*C15)/100</f>
        <v>0</v>
      </c>
      <c r="F15" s="148"/>
      <c r="G15" s="148"/>
      <c r="H15" s="148"/>
      <c r="I15" s="148"/>
      <c r="J15" s="16" t="s">
        <v>129</v>
      </c>
      <c r="K15" s="21">
        <f>(IF(E5=1,(I5/(E5+3)+K10),IF(E5=0,(I5*0.3+K10),IF(E5&gt;1,0))))</f>
        <v>0</v>
      </c>
    </row>
    <row r="16" spans="1:11" s="1" customFormat="1" ht="21.75" thickBot="1" x14ac:dyDescent="0.4">
      <c r="A16" s="148" t="s">
        <v>173</v>
      </c>
      <c r="B16" s="148"/>
      <c r="C16" s="159">
        <v>0</v>
      </c>
      <c r="D16" s="159"/>
      <c r="E16" s="26">
        <f ca="1">((100/I5)*C16)/100</f>
        <v>0</v>
      </c>
      <c r="F16" s="148"/>
      <c r="G16" s="148"/>
      <c r="H16" s="148"/>
      <c r="I16" s="148"/>
      <c r="J16" s="18" t="s">
        <v>130</v>
      </c>
      <c r="K16" s="23">
        <f ca="1">(IF(E5&gt;1.5,(I5/(E5+2)+K10+MAX(0,K11-K10)+MAX(0,K12-K11)+MAX(0,K13-K12)+MAX(0,K14-K13)+MAX(0,K15-K14)),IF(E5=1,(I5/(E5+3)+K15),IF(E5=0,I5*0.3+K15))))</f>
        <v>1</v>
      </c>
    </row>
    <row r="17" spans="1:9" s="1" customFormat="1" ht="20.25" x14ac:dyDescent="0.25">
      <c r="A17" s="148" t="s">
        <v>148</v>
      </c>
      <c r="B17" s="148"/>
      <c r="C17" s="159">
        <v>0</v>
      </c>
      <c r="D17" s="159"/>
      <c r="E17" s="26">
        <f ca="1">((100/(I5))*C17)/100</f>
        <v>0</v>
      </c>
      <c r="F17" s="148"/>
      <c r="G17" s="148"/>
      <c r="H17" s="148"/>
      <c r="I17" s="148"/>
    </row>
    <row r="18" spans="1:9" s="1" customFormat="1" ht="20.25" x14ac:dyDescent="0.25">
      <c r="A18" s="148" t="s">
        <v>149</v>
      </c>
      <c r="B18" s="148"/>
      <c r="C18" s="159">
        <v>0</v>
      </c>
      <c r="D18" s="159"/>
      <c r="E18" s="26">
        <f ca="1">((100/(I5))*C18)/100</f>
        <v>0</v>
      </c>
      <c r="F18" s="148"/>
      <c r="G18" s="148"/>
      <c r="H18" s="148"/>
      <c r="I18" s="148"/>
    </row>
    <row r="23" spans="1:9" x14ac:dyDescent="0.25">
      <c r="B23" s="181" t="s">
        <v>176</v>
      </c>
      <c r="C23" s="181"/>
      <c r="D23" s="181"/>
      <c r="E23" s="181"/>
      <c r="F23" s="181"/>
      <c r="G23" s="181"/>
    </row>
    <row r="24" spans="1:9" ht="14.45" customHeight="1" x14ac:dyDescent="0.25">
      <c r="B24" s="176" t="s">
        <v>177</v>
      </c>
      <c r="C24" s="176" t="s">
        <v>178</v>
      </c>
      <c r="D24" s="179" t="s">
        <v>179</v>
      </c>
      <c r="E24" s="180" t="s">
        <v>180</v>
      </c>
      <c r="F24" s="177" t="s">
        <v>181</v>
      </c>
      <c r="G24" s="176" t="s">
        <v>182</v>
      </c>
    </row>
    <row r="25" spans="1:9" x14ac:dyDescent="0.25">
      <c r="B25" s="176"/>
      <c r="C25" s="176"/>
      <c r="D25" s="179"/>
      <c r="E25" s="180"/>
      <c r="F25" s="177"/>
      <c r="G25" s="176"/>
    </row>
    <row r="26" spans="1:9" x14ac:dyDescent="0.25">
      <c r="B26" s="40" t="s">
        <v>183</v>
      </c>
      <c r="C26" s="41">
        <v>10</v>
      </c>
      <c r="D26" s="41">
        <v>1</v>
      </c>
      <c r="E26" s="42"/>
      <c r="F26" s="43">
        <f>((E26/D26)*0.05)*100</f>
        <v>0</v>
      </c>
      <c r="G26" s="43">
        <f t="shared" ref="G26:G37" si="0">((E26/D26)*(C26/100))*100</f>
        <v>0</v>
      </c>
    </row>
    <row r="27" spans="1:9" x14ac:dyDescent="0.25">
      <c r="B27" s="40" t="s">
        <v>184</v>
      </c>
      <c r="C27" s="42">
        <v>10</v>
      </c>
      <c r="D27" s="42">
        <v>1</v>
      </c>
      <c r="E27" s="42"/>
      <c r="F27" s="43">
        <f>((E27/D27)*0.05)*100</f>
        <v>0</v>
      </c>
      <c r="G27" s="43">
        <f t="shared" si="0"/>
        <v>0</v>
      </c>
    </row>
    <row r="28" spans="1:9" x14ac:dyDescent="0.25">
      <c r="B28" s="40" t="s">
        <v>185</v>
      </c>
      <c r="C28" s="42">
        <v>15</v>
      </c>
      <c r="D28" s="42">
        <v>1</v>
      </c>
      <c r="E28" s="42"/>
      <c r="F28" s="43">
        <f>((E28/D28)*0.15)*100</f>
        <v>0</v>
      </c>
      <c r="G28" s="43">
        <f t="shared" si="0"/>
        <v>0</v>
      </c>
    </row>
    <row r="29" spans="1:9" x14ac:dyDescent="0.25">
      <c r="B29" s="44" t="s">
        <v>186</v>
      </c>
      <c r="C29" s="42">
        <v>25</v>
      </c>
      <c r="D29" s="42">
        <v>40</v>
      </c>
      <c r="E29" s="42"/>
      <c r="F29" s="43">
        <f>((E29/D29)*0.25)*100</f>
        <v>0</v>
      </c>
      <c r="G29" s="43">
        <f t="shared" si="0"/>
        <v>0</v>
      </c>
    </row>
    <row r="30" spans="1:9" x14ac:dyDescent="0.25">
      <c r="B30" s="44" t="s">
        <v>187</v>
      </c>
      <c r="C30" s="42">
        <v>5</v>
      </c>
      <c r="D30" s="42">
        <v>39</v>
      </c>
      <c r="E30" s="42"/>
      <c r="F30" s="43">
        <f>((E30/D30)*0.05)*100</f>
        <v>0</v>
      </c>
      <c r="G30" s="43">
        <f t="shared" si="0"/>
        <v>0</v>
      </c>
    </row>
    <row r="31" spans="1:9" ht="30" x14ac:dyDescent="0.25">
      <c r="B31" s="44" t="s">
        <v>188</v>
      </c>
      <c r="C31" s="42">
        <v>2.5</v>
      </c>
      <c r="D31" s="42">
        <v>39</v>
      </c>
      <c r="E31" s="42"/>
      <c r="F31" s="43">
        <f>((E31/D31)*0.025)*100</f>
        <v>0</v>
      </c>
      <c r="G31" s="43">
        <f t="shared" si="0"/>
        <v>0</v>
      </c>
    </row>
    <row r="32" spans="1:9" ht="30" x14ac:dyDescent="0.25">
      <c r="B32" s="44" t="s">
        <v>189</v>
      </c>
      <c r="C32" s="42">
        <v>2.5</v>
      </c>
      <c r="D32" s="42">
        <v>39</v>
      </c>
      <c r="E32" s="42"/>
      <c r="F32" s="43">
        <f>((E32/D32)*0.025)*100</f>
        <v>0</v>
      </c>
      <c r="G32" s="43">
        <f t="shared" si="0"/>
        <v>0</v>
      </c>
    </row>
    <row r="33" spans="1:7" ht="45" x14ac:dyDescent="0.25">
      <c r="B33" s="45" t="s">
        <v>190</v>
      </c>
      <c r="C33" s="42">
        <v>5</v>
      </c>
      <c r="D33" s="42">
        <v>39</v>
      </c>
      <c r="E33" s="42"/>
      <c r="F33" s="43">
        <f>((E33/D33)*0.05)*100</f>
        <v>0</v>
      </c>
      <c r="G33" s="43">
        <f t="shared" si="0"/>
        <v>0</v>
      </c>
    </row>
    <row r="34" spans="1:7" ht="30" x14ac:dyDescent="0.25">
      <c r="B34" s="45" t="s">
        <v>191</v>
      </c>
      <c r="C34" s="42">
        <v>5</v>
      </c>
      <c r="D34" s="42">
        <v>39</v>
      </c>
      <c r="E34" s="42"/>
      <c r="F34" s="43">
        <f>((E34/D34)*0.1)*100</f>
        <v>0</v>
      </c>
      <c r="G34" s="43">
        <f t="shared" si="0"/>
        <v>0</v>
      </c>
    </row>
    <row r="35" spans="1:7" ht="30" x14ac:dyDescent="0.25">
      <c r="B35" s="45" t="s">
        <v>192</v>
      </c>
      <c r="C35" s="42">
        <v>5</v>
      </c>
      <c r="D35" s="42">
        <v>39</v>
      </c>
      <c r="E35" s="42"/>
      <c r="F35" s="43">
        <f>((E35/D35)*0.05)*100</f>
        <v>0</v>
      </c>
      <c r="G35" s="43">
        <f t="shared" si="0"/>
        <v>0</v>
      </c>
    </row>
    <row r="36" spans="1:7" ht="60" x14ac:dyDescent="0.25">
      <c r="B36" s="45" t="s">
        <v>193</v>
      </c>
      <c r="C36" s="42">
        <v>10</v>
      </c>
      <c r="D36" s="42">
        <v>39</v>
      </c>
      <c r="E36" s="42"/>
      <c r="F36" s="43">
        <f>((E36/D36)*0.1)*100</f>
        <v>0</v>
      </c>
      <c r="G36" s="43">
        <f t="shared" si="0"/>
        <v>0</v>
      </c>
    </row>
    <row r="37" spans="1:7" ht="45" x14ac:dyDescent="0.25">
      <c r="B37" s="45" t="s">
        <v>194</v>
      </c>
      <c r="C37" s="42">
        <v>5</v>
      </c>
      <c r="D37" s="42">
        <v>39</v>
      </c>
      <c r="E37" s="42"/>
      <c r="F37" s="43">
        <f>((E37/D37)*0.1)*100</f>
        <v>0</v>
      </c>
      <c r="G37" s="43">
        <f t="shared" si="0"/>
        <v>0</v>
      </c>
    </row>
    <row r="38" spans="1:7" ht="15.75" x14ac:dyDescent="0.25">
      <c r="B38" s="46" t="s">
        <v>195</v>
      </c>
      <c r="C38" s="47">
        <f>SUM(C26:C37)</f>
        <v>100</v>
      </c>
      <c r="D38" s="46"/>
      <c r="E38" s="46"/>
      <c r="F38" s="47">
        <f>SUM(F26:F37)</f>
        <v>0</v>
      </c>
      <c r="G38" s="47">
        <f>SUM(G26:G37)</f>
        <v>0</v>
      </c>
    </row>
    <row r="39" spans="1:7" x14ac:dyDescent="0.25">
      <c r="B39" s="177" t="s">
        <v>196</v>
      </c>
      <c r="C39" s="177"/>
      <c r="D39" s="177"/>
      <c r="E39" s="177"/>
      <c r="F39" s="177"/>
      <c r="G39" s="177"/>
    </row>
    <row r="40" spans="1:7" x14ac:dyDescent="0.25">
      <c r="B40" s="178" t="s">
        <v>197</v>
      </c>
      <c r="C40" s="178"/>
      <c r="D40" s="178"/>
      <c r="E40" s="178" t="s">
        <v>198</v>
      </c>
      <c r="F40" s="178"/>
      <c r="G40" s="178"/>
    </row>
    <row r="41" spans="1:7" x14ac:dyDescent="0.25">
      <c r="B41" s="174" t="s">
        <v>199</v>
      </c>
      <c r="C41" s="174"/>
      <c r="D41" s="174"/>
      <c r="E41" s="174" t="s">
        <v>200</v>
      </c>
      <c r="F41" s="174"/>
      <c r="G41" s="174"/>
    </row>
    <row r="42" spans="1:7" x14ac:dyDescent="0.25">
      <c r="B42" s="174" t="s">
        <v>201</v>
      </c>
      <c r="C42" s="174"/>
      <c r="D42" s="174"/>
      <c r="E42" s="174" t="s">
        <v>202</v>
      </c>
      <c r="F42" s="174"/>
      <c r="G42" s="174"/>
    </row>
    <row r="43" spans="1:7" x14ac:dyDescent="0.25">
      <c r="B43" s="175" t="s">
        <v>203</v>
      </c>
      <c r="C43" s="175"/>
      <c r="D43" s="175"/>
      <c r="E43" s="175" t="s">
        <v>204</v>
      </c>
      <c r="F43" s="175"/>
      <c r="G43" s="175"/>
    </row>
    <row r="45" spans="1:7" ht="15.75" thickBot="1" x14ac:dyDescent="0.3"/>
    <row r="46" spans="1:7" ht="17.25" thickTop="1" thickBot="1" x14ac:dyDescent="0.3">
      <c r="A46" s="48" t="s">
        <v>205</v>
      </c>
      <c r="B46" s="48" t="s">
        <v>177</v>
      </c>
      <c r="C46" s="49" t="s">
        <v>206</v>
      </c>
      <c r="D46" s="49" t="s">
        <v>207</v>
      </c>
      <c r="E46" s="49" t="s">
        <v>208</v>
      </c>
    </row>
    <row r="47" spans="1:7" ht="31.5" thickTop="1" thickBot="1" x14ac:dyDescent="0.3">
      <c r="A47" s="50">
        <v>1</v>
      </c>
      <c r="B47" s="51" t="s">
        <v>209</v>
      </c>
      <c r="C47" s="52">
        <v>0</v>
      </c>
      <c r="D47" s="53">
        <v>0.1</v>
      </c>
      <c r="E47" s="52">
        <v>0.1</v>
      </c>
    </row>
    <row r="48" spans="1:7" ht="31.5" thickTop="1" thickBot="1" x14ac:dyDescent="0.3">
      <c r="A48" s="50">
        <v>2</v>
      </c>
      <c r="B48" s="51" t="s">
        <v>210</v>
      </c>
      <c r="C48" s="52" t="s">
        <v>211</v>
      </c>
      <c r="D48" s="53" t="s">
        <v>212</v>
      </c>
      <c r="E48" s="52">
        <v>0.3</v>
      </c>
    </row>
    <row r="49" spans="1:5" ht="61.5" thickTop="1" thickBot="1" x14ac:dyDescent="0.3">
      <c r="A49" s="50">
        <v>3</v>
      </c>
      <c r="B49" s="51" t="s">
        <v>213</v>
      </c>
      <c r="C49" s="52" t="s">
        <v>214</v>
      </c>
      <c r="D49" s="53" t="s">
        <v>215</v>
      </c>
      <c r="E49" s="52">
        <v>0.45</v>
      </c>
    </row>
    <row r="50" spans="1:5" ht="76.5" thickTop="1" thickBot="1" x14ac:dyDescent="0.3">
      <c r="A50" s="50">
        <v>4</v>
      </c>
      <c r="B50" s="51" t="s">
        <v>216</v>
      </c>
      <c r="C50" s="52" t="s">
        <v>217</v>
      </c>
      <c r="D50" s="53" t="s">
        <v>218</v>
      </c>
      <c r="E50" s="52">
        <v>0.7</v>
      </c>
    </row>
    <row r="51" spans="1:5" ht="76.5" thickTop="1" thickBot="1" x14ac:dyDescent="0.3">
      <c r="A51" s="50">
        <v>5</v>
      </c>
      <c r="B51" s="51" t="s">
        <v>219</v>
      </c>
      <c r="C51" s="52" t="s">
        <v>220</v>
      </c>
      <c r="D51" s="53" t="s">
        <v>221</v>
      </c>
      <c r="E51" s="52">
        <v>0.75</v>
      </c>
    </row>
    <row r="52" spans="1:5" ht="76.5" thickTop="1" thickBot="1" x14ac:dyDescent="0.3">
      <c r="A52" s="50">
        <v>6</v>
      </c>
      <c r="B52" s="51" t="s">
        <v>222</v>
      </c>
      <c r="C52" s="52" t="s">
        <v>223</v>
      </c>
      <c r="D52" s="53" t="s">
        <v>224</v>
      </c>
      <c r="E52" s="52">
        <v>0.8</v>
      </c>
    </row>
    <row r="53" spans="1:5" ht="121.5" thickTop="1" thickBot="1" x14ac:dyDescent="0.3">
      <c r="A53" s="50">
        <v>7</v>
      </c>
      <c r="B53" s="51" t="s">
        <v>225</v>
      </c>
      <c r="C53" s="52" t="s">
        <v>226</v>
      </c>
      <c r="D53" s="53" t="s">
        <v>227</v>
      </c>
      <c r="E53" s="52">
        <v>0.85</v>
      </c>
    </row>
    <row r="54" spans="1:5" ht="211.5" thickTop="1" thickBot="1" x14ac:dyDescent="0.3">
      <c r="A54" s="50">
        <v>8</v>
      </c>
      <c r="B54" s="51" t="s">
        <v>228</v>
      </c>
      <c r="C54" s="52" t="s">
        <v>229</v>
      </c>
      <c r="D54" s="53" t="s">
        <v>230</v>
      </c>
      <c r="E54" s="52">
        <v>0.95</v>
      </c>
    </row>
    <row r="55" spans="1:5" ht="91.5" thickTop="1" thickBot="1" x14ac:dyDescent="0.3">
      <c r="A55" s="50">
        <v>9</v>
      </c>
      <c r="B55" s="51" t="s">
        <v>231</v>
      </c>
      <c r="C55" s="52" t="s">
        <v>232</v>
      </c>
      <c r="D55" s="53" t="s">
        <v>233</v>
      </c>
      <c r="E55" s="52">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Construction table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madhurapanchal77@gmail.com</cp:lastModifiedBy>
  <cp:lastPrinted>2025-08-07T12:14:47Z</cp:lastPrinted>
  <dcterms:created xsi:type="dcterms:W3CDTF">2010-11-23T11:42:48Z</dcterms:created>
  <dcterms:modified xsi:type="dcterms:W3CDTF">2025-08-07T12:16:29Z</dcterms:modified>
</cp:coreProperties>
</file>