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359E2CBF-74CD-42CD-9C6D-2CA901905298}" xr6:coauthVersionLast="36" xr6:coauthVersionMax="47" xr10:uidLastSave="{00000000-0000-0000-0000-000000000000}"/>
  <bookViews>
    <workbookView xWindow="0" yWindow="0" windowWidth="20490" windowHeight="68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Report!$A$1:$H$290</definedName>
  </definedNames>
  <calcPr calcId="191029"/>
</workbook>
</file>

<file path=xl/calcChain.xml><?xml version="1.0" encoding="utf-8"?>
<calcChain xmlns="http://schemas.openxmlformats.org/spreadsheetml/2006/main">
  <c r="I3" i="3" l="1"/>
  <c r="E124" i="3" l="1"/>
  <c r="G152" i="3"/>
  <c r="F152" i="3"/>
  <c r="F151" i="3"/>
  <c r="E152" i="3"/>
  <c r="G151" i="3"/>
  <c r="E151" i="3"/>
  <c r="I151" i="3"/>
  <c r="F150" i="3"/>
  <c r="E150" i="3"/>
  <c r="F149" i="3"/>
  <c r="E149" i="3"/>
  <c r="F147" i="3"/>
  <c r="E147" i="3"/>
  <c r="F145" i="3"/>
  <c r="E145" i="3"/>
  <c r="F144" i="3"/>
  <c r="E144" i="3"/>
  <c r="F143" i="3"/>
  <c r="E143" i="3"/>
  <c r="F142" i="3"/>
  <c r="E142" i="3"/>
  <c r="F141" i="3"/>
  <c r="E141" i="3"/>
  <c r="F136" i="3"/>
  <c r="F128" i="3"/>
  <c r="F138" i="3"/>
  <c r="E138" i="3"/>
  <c r="F139" i="3"/>
  <c r="E139" i="3"/>
  <c r="F137" i="3"/>
  <c r="E137" i="3"/>
  <c r="E136" i="3"/>
  <c r="F135" i="3"/>
  <c r="E135" i="3"/>
  <c r="F134" i="3"/>
  <c r="E134" i="3"/>
  <c r="F133" i="3"/>
  <c r="E133" i="3"/>
  <c r="F131" i="3"/>
  <c r="E131" i="3"/>
  <c r="E128" i="3"/>
  <c r="F129" i="3"/>
  <c r="E129" i="3"/>
  <c r="F127" i="3"/>
  <c r="E127" i="3"/>
  <c r="E125" i="3"/>
  <c r="F125" i="3"/>
  <c r="F124" i="3"/>
  <c r="Q133" i="3"/>
  <c r="P133" i="3"/>
  <c r="Q132" i="3"/>
  <c r="P132" i="3"/>
  <c r="Q131" i="3"/>
  <c r="P131" i="3"/>
  <c r="Q130" i="3"/>
  <c r="P130" i="3"/>
  <c r="Q129" i="3"/>
  <c r="P129" i="3"/>
  <c r="Q128" i="3"/>
  <c r="P128" i="3"/>
  <c r="Q127" i="3"/>
  <c r="P127" i="3"/>
  <c r="K131" i="3"/>
  <c r="J131" i="3"/>
  <c r="I131" i="3"/>
  <c r="J128" i="3"/>
  <c r="J127" i="3"/>
  <c r="I127" i="3"/>
  <c r="K127" i="3" s="1"/>
  <c r="J124" i="3"/>
  <c r="I124" i="3"/>
  <c r="E106" i="3"/>
  <c r="E105" i="3"/>
  <c r="E104" i="3"/>
  <c r="E103" i="3"/>
  <c r="E102" i="3"/>
  <c r="E101" i="3"/>
  <c r="E100" i="3"/>
  <c r="E99" i="3"/>
  <c r="E98" i="3"/>
  <c r="E97" i="3"/>
  <c r="E87" i="3" s="1"/>
  <c r="I58" i="3"/>
  <c r="K124" i="3" l="1"/>
  <c r="I120" i="3"/>
  <c r="G83" i="3"/>
  <c r="G82" i="3"/>
  <c r="D167" i="3"/>
  <c r="D165" i="3"/>
  <c r="E88" i="3"/>
  <c r="I128" i="3"/>
  <c r="E91" i="3" l="1"/>
  <c r="E92" i="3" s="1"/>
  <c r="E93" i="3" s="1"/>
  <c r="I95" i="3"/>
  <c r="I156" i="3"/>
  <c r="I148" i="3"/>
  <c r="I140" i="3"/>
  <c r="I132" i="3"/>
  <c r="I123" i="3"/>
  <c r="I122" i="3"/>
  <c r="I121" i="3"/>
  <c r="I119" i="3"/>
  <c r="I108" i="3"/>
  <c r="I107" i="3"/>
  <c r="H152" i="3"/>
  <c r="H151" i="3"/>
  <c r="H150" i="3"/>
  <c r="H149" i="3"/>
  <c r="U149" i="3"/>
  <c r="V149" i="3"/>
  <c r="V150" i="3" l="1"/>
  <c r="V151" i="3" s="1"/>
  <c r="V152" i="3" s="1"/>
  <c r="V153" i="3" s="1"/>
  <c r="V154" i="3" s="1"/>
  <c r="V155" i="3" s="1"/>
  <c r="U150" i="3"/>
  <c r="T149" i="3"/>
  <c r="H147" i="3"/>
  <c r="I147" i="3" s="1"/>
  <c r="H145" i="3"/>
  <c r="H144" i="3"/>
  <c r="I144" i="3" s="1"/>
  <c r="H143" i="3"/>
  <c r="H142" i="3"/>
  <c r="H141" i="3"/>
  <c r="A110" i="3"/>
  <c r="A111" i="3" s="1"/>
  <c r="A112" i="3" s="1"/>
  <c r="A113" i="3" s="1"/>
  <c r="A114" i="3" s="1"/>
  <c r="A115" i="3" s="1"/>
  <c r="A116" i="3" s="1"/>
  <c r="A117" i="3" s="1"/>
  <c r="A118" i="3" s="1"/>
  <c r="H106" i="3"/>
  <c r="H105" i="3"/>
  <c r="C19" i="3"/>
  <c r="U141" i="3"/>
  <c r="V141" i="3"/>
  <c r="U151" i="3" l="1"/>
  <c r="T150" i="3"/>
  <c r="T141" i="3"/>
  <c r="U142" i="3"/>
  <c r="V142" i="3"/>
  <c r="V143" i="3" s="1"/>
  <c r="V144" i="3" s="1"/>
  <c r="V145" i="3" s="1"/>
  <c r="V146" i="3" s="1"/>
  <c r="V147" i="3" s="1"/>
  <c r="H97" i="3"/>
  <c r="T151" i="3" l="1"/>
  <c r="U152" i="3"/>
  <c r="U143" i="3"/>
  <c r="T142"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T152" i="3"/>
  <c r="U153" i="3"/>
  <c r="U144" i="3"/>
  <c r="T143" i="3"/>
  <c r="L42" i="6"/>
  <c r="K42" i="6" s="1"/>
  <c r="E44" i="6"/>
  <c r="D42" i="6"/>
  <c r="D44" i="6" s="1"/>
  <c r="U154" i="3" l="1"/>
  <c r="T153" i="3"/>
  <c r="T144" i="3"/>
  <c r="U145" i="3"/>
  <c r="C26" i="3"/>
  <c r="C18" i="3"/>
  <c r="H139" i="3"/>
  <c r="I139" i="3" s="1"/>
  <c r="H138" i="3"/>
  <c r="H137" i="3"/>
  <c r="H136" i="3"/>
  <c r="I136" i="3" s="1"/>
  <c r="H135" i="3"/>
  <c r="H134" i="3"/>
  <c r="H133" i="3"/>
  <c r="H131" i="3"/>
  <c r="H129" i="3"/>
  <c r="H128" i="3"/>
  <c r="H127" i="3"/>
  <c r="H125" i="3"/>
  <c r="H124" i="3"/>
  <c r="H98" i="3"/>
  <c r="H99" i="3"/>
  <c r="H100" i="3"/>
  <c r="H101" i="3"/>
  <c r="H102" i="3"/>
  <c r="H103" i="3"/>
  <c r="H104" i="3"/>
  <c r="G87" i="3" l="1"/>
  <c r="G88" i="3" s="1"/>
  <c r="G91" i="3"/>
  <c r="G92" i="3" s="1"/>
  <c r="U155" i="3"/>
  <c r="T155" i="3" s="1"/>
  <c r="T154" i="3"/>
  <c r="U146" i="3"/>
  <c r="T145" i="3"/>
  <c r="A61" i="3"/>
  <c r="D62" i="3" s="1"/>
  <c r="G93" i="3" l="1"/>
  <c r="U147" i="3"/>
  <c r="T147" i="3" s="1"/>
  <c r="T146"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98" i="3"/>
  <c r="A99" i="3" s="1"/>
  <c r="A100" i="3" s="1"/>
  <c r="A101" i="3" s="1"/>
  <c r="A102" i="3" s="1"/>
  <c r="A103" i="3" s="1"/>
  <c r="A104" i="3" s="1"/>
  <c r="A105" i="3" s="1"/>
  <c r="A106" i="3" s="1"/>
  <c r="F7" i="4" l="1"/>
  <c r="J4" i="4" s="1"/>
  <c r="H7" i="4" s="1"/>
  <c r="G4" i="3" l="1"/>
  <c r="D166" i="3" l="1"/>
  <c r="G84" i="3"/>
  <c r="J71" i="3"/>
  <c r="J70" i="3"/>
  <c r="H62" i="3"/>
  <c r="C64" i="3" l="1"/>
  <c r="C65" i="3"/>
  <c r="J66" i="3"/>
  <c r="D71" i="3"/>
  <c r="D68" i="3"/>
  <c r="D66" i="3"/>
  <c r="J64" i="3"/>
  <c r="D75" i="3"/>
  <c r="D73" i="3"/>
  <c r="D70" i="3"/>
  <c r="D67" i="3"/>
  <c r="J65" i="3"/>
  <c r="J63" i="3"/>
  <c r="D74" i="3"/>
  <c r="D72" i="3"/>
  <c r="D69" i="3"/>
  <c r="J67" i="3" l="1"/>
  <c r="J72" i="3" s="1"/>
  <c r="D64" i="3" l="1"/>
  <c r="J68" i="3"/>
  <c r="J69" i="3" l="1"/>
  <c r="J73" i="3" l="1"/>
  <c r="V133" i="3"/>
  <c r="U124" i="3"/>
  <c r="U133" i="3"/>
  <c r="V124" i="3"/>
  <c r="U126" i="3" l="1"/>
  <c r="V126" i="3"/>
  <c r="E64" i="3"/>
  <c r="G76" i="3" s="1"/>
  <c r="T133" i="3"/>
  <c r="U134" i="3"/>
  <c r="V134" i="3"/>
  <c r="V135" i="3" s="1"/>
  <c r="V136" i="3" s="1"/>
  <c r="V137" i="3" s="1"/>
  <c r="V138" i="3" s="1"/>
  <c r="V139" i="3" s="1"/>
  <c r="V125" i="3"/>
  <c r="V127" i="3" s="1"/>
  <c r="V128" i="3" s="1"/>
  <c r="V129" i="3" s="1"/>
  <c r="V130" i="3" s="1"/>
  <c r="V131" i="3" s="1"/>
  <c r="U125" i="3"/>
  <c r="T124" i="3"/>
  <c r="T126" i="3" l="1"/>
  <c r="D65" i="3"/>
  <c r="I61" i="3"/>
  <c r="G64" i="3" s="1"/>
  <c r="T134" i="3"/>
  <c r="U135" i="3"/>
  <c r="T135" i="3" s="1"/>
  <c r="U127" i="3"/>
  <c r="T125" i="3"/>
  <c r="U136" i="3" l="1"/>
  <c r="T136" i="3" s="1"/>
  <c r="U128" i="3"/>
  <c r="T127" i="3"/>
  <c r="U137" i="3" l="1"/>
  <c r="T137" i="3" s="1"/>
  <c r="U129" i="3"/>
  <c r="T128" i="3"/>
  <c r="U138" i="3" l="1"/>
  <c r="T138" i="3" s="1"/>
  <c r="U130" i="3"/>
  <c r="T129" i="3"/>
  <c r="U139" i="3" l="1"/>
  <c r="T139" i="3" s="1"/>
  <c r="U131" i="3"/>
  <c r="T130" i="3"/>
  <c r="T13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C20" authorId="0" shapeId="0" xr:uid="{00000000-0006-0000-0000-000006000000}">
      <text>
        <r>
          <rPr>
            <b/>
            <sz val="16"/>
            <color indexed="81"/>
            <rFont val="Tahoma"/>
            <family val="2"/>
          </rPr>
          <t>From RERA</t>
        </r>
      </text>
    </comment>
    <comment ref="G20" authorId="0" shapeId="0" xr:uid="{00000000-0006-0000-0000-000007000000}">
      <text>
        <r>
          <rPr>
            <b/>
            <sz val="16"/>
            <color indexed="81"/>
            <rFont val="Tahoma"/>
            <family val="2"/>
          </rPr>
          <t>From RERA</t>
        </r>
      </text>
    </comment>
    <comment ref="G21" authorId="0" shapeId="0" xr:uid="{00000000-0006-0000-0000-000008000000}">
      <text>
        <r>
          <rPr>
            <b/>
            <sz val="16"/>
            <color indexed="81"/>
            <rFont val="Tahoma"/>
            <family val="2"/>
          </rPr>
          <t>From RERA</t>
        </r>
      </text>
    </comment>
    <comment ref="G27" authorId="0" shapeId="0" xr:uid="{00000000-0006-0000-0000-000009000000}">
      <text>
        <r>
          <rPr>
            <b/>
            <sz val="12"/>
            <color indexed="81"/>
            <rFont val="Tahoma"/>
            <family val="2"/>
          </rPr>
          <t>SACHIN:</t>
        </r>
        <r>
          <rPr>
            <sz val="12"/>
            <color indexed="81"/>
            <rFont val="Tahoma"/>
            <family val="2"/>
          </rPr>
          <t xml:space="preserve">
Road size should be in metre</t>
        </r>
      </text>
    </comment>
    <comment ref="G82" authorId="0" shapeId="0" xr:uid="{00000000-0006-0000-0000-00000A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<sst xmlns="http://schemas.openxmlformats.org/spreadsheetml/2006/main" count="618" uniqueCount="380">
  <si>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</si>
  <si>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</si>
  <si>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</si>
  <si>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</si>
  <si>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</si>
  <si>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</si>
  <si>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</si>
  <si>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</si>
  <si>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</si>
  <si>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</si>
  <si>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</si>
  <si>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</si>
  <si>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</si>
  <si>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</si>
  <si>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</si>
  <si>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</si>
  <si>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</si>
  <si>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</si>
  <si>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</si>
  <si>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</si>
  <si>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</si>
  <si>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</si>
  <si>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</si>
  <si>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</si>
  <si>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</si>
  <si>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</si>
  <si>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</si>
  <si>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</si>
  <si>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</si>
  <si>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</si>
  <si>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</si>
  <si>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</si>
  <si>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</si>
  <si>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</si>
  <si>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</si>
  <si>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</si>
  <si>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</si>
  <si>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</si>
  <si>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</si>
  <si>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</si>
  <si>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</si>
  <si>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</si>
  <si>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</si>
  <si>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</si>
  <si>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</si>
  <si>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</si>
  <si>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</si>
  <si>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</si>
  <si>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</si>
  <si>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</si>
  <si>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</si>
  <si>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</si>
  <si>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</si>
  <si>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</si>
  <si>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</si>
  <si>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</si>
  <si>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</si>
  <si>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</si>
  <si>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</si>
  <si>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</si>
  <si>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</si>
  <si>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</si>
  <si>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</si>
  <si>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</si>
  <si>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</si>
  <si>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</si>
  <si>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</si>
  <si>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</si>
  <si>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</si>
  <si>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</si>
  <si>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</si>
  <si>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</si>
  <si>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</si>
  <si>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</si>
  <si>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</si>
  <si>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</si>
  <si>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</si>
  <si>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</si>
  <si>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</si>
  <si>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</si>
  <si>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</si>
  <si>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</si>
  <si>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</si>
  <si>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</si>
  <si>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</si>
  <si>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</si>
  <si>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</si>
  <si>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</si>
  <si>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</si>
  <si>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</si>
  <si>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</si>
  <si>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</si>
  <si>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</si>
  <si>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</si>
  <si>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</si>
  <si>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</si>
  <si>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</si>
  <si>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</si>
  <si>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</si>
  <si>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</si>
  <si>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</si>
  <si>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</si>
  <si>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</si>
  <si>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</si>
  <si>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</si>
  <si>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</si>
  <si>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</si>
  <si>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</si>
  <si>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</si>
  <si>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</si>
  <si>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</si>
  <si>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</si>
  <si>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</si>
  <si>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</si>
  <si>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</si>
  <si>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</si>
  <si>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</si>
  <si>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</si>
  <si>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</si>
  <si>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</si>
  <si>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</si>
  <si>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</si>
  <si>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</si>
  <si>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</si>
  <si>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</si>
  <si>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</si>
  <si>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</si>
  <si>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</si>
  <si>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</si>
  <si>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</si>
  <si>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</si>
  <si>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</si>
  <si>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</si>
  <si>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</si>
  <si>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</si>
  <si>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</si>
  <si>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</si>
  <si>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</si>
  <si>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</si>
  <si>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</si>
  <si>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</si>
  <si>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</si>
  <si>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</si>
  <si>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</si>
  <si>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</si>
  <si>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</si>
  <si>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</si>
  <si>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</si>
  <si>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</si>
  <si>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</si>
  <si>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</si>
  <si>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</si>
  <si>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</si>
  <si>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</si>
  <si>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</si>
  <si>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</si>
  <si>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</si>
  <si>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</si>
  <si>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</si>
  <si>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</si>
  <si>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</si>
  <si>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</si>
  <si>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</si>
  <si>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</si>
  <si>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</si>
  <si>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</si>
  <si>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</si>
  <si>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</si>
  <si>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</si>
  <si>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</si>
  <si>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</si>
  <si>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</si>
  <si>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</si>
  <si>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</si>
  <si>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</si>
  <si>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</si>
  <si>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</si>
  <si>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</si>
  <si>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</si>
  <si>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</si>
  <si>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</si>
  <si>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</si>
  <si>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</si>
  <si>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</si>
  <si>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</si>
  <si>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</si>
  <si>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</si>
  <si>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</si>
  <si>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</si>
  <si>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</si>
  <si>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</si>
  <si>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</si>
  <si>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</si>
  <si>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</si>
  <si>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</si>
  <si>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</si>
  <si>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</si>
  <si>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</si>
  <si>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</si>
  <si>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</si>
  <si>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</si>
  <si>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</si>
  <si>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</si>
  <si>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</si>
  <si>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</si>
  <si>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</si>
  <si>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</si>
  <si>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</si>
  <si>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</si>
  <si>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</si>
  <si>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</si>
  <si>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</si>
  <si>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</si>
  <si>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</si>
  <si>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</si>
  <si>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</si>
  <si>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</si>
  <si>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</si>
  <si>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</si>
  <si>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</si>
  <si>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</si>
  <si>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</si>
  <si>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</si>
  <si>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</si>
  <si>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</si>
  <si>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</si>
  <si>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</si>
  <si>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</si>
  <si>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</si>
  <si>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</si>
  <si>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</si>
  <si>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</si>
  <si>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</si>
  <si>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</si>
  <si>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</si>
  <si>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</si>
  <si>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</si>
  <si>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</si>
  <si>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</si>
  <si>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</si>
  <si>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</si>
  <si>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</si>
  <si>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</si>
  <si>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</si>
  <si>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</si>
  <si>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</si>
  <si>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</si>
  <si>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</si>
  <si>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</si>
  <si>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</si>
  <si>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</si>
  <si>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</si>
  <si>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</si>
  <si>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</si>
  <si>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</si>
  <si>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</si>
  <si>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</si>
  <si>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</si>
  <si>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</si>
  <si>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</si>
  <si>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</si>
  <si>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</si>
  <si>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</si>
  <si>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</si>
  <si>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</si>
  <si>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</si>
  <si>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</si>
  <si>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</si>
  <si>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</si>
  <si>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</si>
  <si>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</si>
  <si>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</si>
  <si>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</si>
  <si>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</si>
  <si>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</si>
  <si>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</si>
  <si>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</si>
  <si>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</si>
  <si>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</si>
  <si>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</si>
  <si>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</si>
  <si>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</si>
  <si>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</si>
  <si>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</si>
  <si>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</si>
  <si>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</si>
  <si>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</si>
  <si>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</si>
  <si>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</si>
  <si>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</si>
  <si>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</si>
  <si>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</si>
  <si>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</si>
  <si>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</si>
  <si>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</si>
  <si>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</si>
  <si>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</si>
  <si>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</si>
  <si>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</si>
  <si>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M/s. Ellora Heritage LLP</t>
  </si>
  <si>
    <t>Mumbai-RO Thane</t>
  </si>
  <si>
    <t>Ground Floor, Office No 1, Ellora Fiesta, Plot No 8, Sector 11, Opp Juinagar Railway Station, Sanpada, Navi Mumbai, Tal. Thane, Dist. Thane 400705.</t>
  </si>
  <si>
    <t>Ellora Rainbow Life, 73/1/B, Sector 37, Kharghar, Navi Mumbai, Maharashtra 410208, 410210</t>
  </si>
  <si>
    <t>Approved Layout &amp; Floor Plans, CC, RERA certificate, Fire NOC, Airport NOC</t>
  </si>
  <si>
    <t>Panvel Municipal Corporation</t>
  </si>
  <si>
    <t>P52000078843</t>
  </si>
  <si>
    <t>ICICI Bank Limited</t>
  </si>
  <si>
    <t>Adhiraj Codename Capital City</t>
  </si>
  <si>
    <t>https://maps.app.goo.gl/v5AgMY63Y5CaDJSV6</t>
  </si>
  <si>
    <t>Rooftop Infinity Pool, Sky Lounge, Clubhouse, Gym, Yoga Deck, Jogging Track, Children's Play Area, Multipurpose Hall, Senior Citizen Zone, Landscaped Gardens etc.</t>
  </si>
  <si>
    <t>https://rainbow-life.in/</t>
  </si>
  <si>
    <t>About 4.10KM from Harmony School</t>
  </si>
  <si>
    <t>1.6 KM from Taloja Signal Bus Stop</t>
  </si>
  <si>
    <t>About 4.80KM from Tata Memorial Hospital</t>
  </si>
  <si>
    <t>1. Approx. 3.2KM from Thursday Market.
2. Approx. 3.5KM from Apna Super Market.</t>
  </si>
  <si>
    <t>24 Mt Wide DP Road</t>
  </si>
  <si>
    <t>S. No. 55</t>
  </si>
  <si>
    <t>S. No. 54</t>
  </si>
  <si>
    <t>Vastu Park Road</t>
  </si>
  <si>
    <t>Open Plot</t>
  </si>
  <si>
    <t>Mr. Suraj Khare</t>
  </si>
  <si>
    <t>G + 1st to 29th Floor</t>
  </si>
  <si>
    <t>PMC/TP/Rohinjan/73/1/B/21-24/16933/1968/2024</t>
  </si>
  <si>
    <t xml:space="preserve">CC Details
Valid Up to: </t>
  </si>
  <si>
    <t xml:space="preserve">Valid Upto Date: 
</t>
  </si>
  <si>
    <t>NAVI/WEST/B/030724/937519</t>
  </si>
  <si>
    <t>Fire NOC Details 
Valid Upto :</t>
  </si>
  <si>
    <t>G + 1st  to 36th Floor (Total Height = 124.25 Mtrs)</t>
  </si>
  <si>
    <t>Ground Floor For Commercial, Parking, Entrance Lobby &amp; Driveway</t>
  </si>
  <si>
    <t xml:space="preserve"> - </t>
  </si>
  <si>
    <t>Shop</t>
  </si>
  <si>
    <t>4th Floor For Podium Parking, Driveway, Fitness Center, Creche &amp; Driver Room</t>
  </si>
  <si>
    <t>2BHK</t>
  </si>
  <si>
    <t>3BHK</t>
  </si>
  <si>
    <t>Refuge Area</t>
  </si>
  <si>
    <t>9th to 12th, 14th to 17th, 19th to 22nd &amp; 24th to 27th Floor</t>
  </si>
  <si>
    <t>13th, 18th &amp; 23rd Floor For Residential (Part Refuge Area)</t>
  </si>
  <si>
    <t>28th Floor For Residential (Part Terrace Area)</t>
  </si>
  <si>
    <t>Terrace Area</t>
  </si>
  <si>
    <t xml:space="preserve"> -</t>
  </si>
  <si>
    <t>Chajja Area</t>
  </si>
  <si>
    <t>OK</t>
  </si>
  <si>
    <t>Rainbow Life</t>
  </si>
  <si>
    <t xml:space="preserve">2025- 26 Data not available. </t>
  </si>
  <si>
    <t>Mr. Darshan 7045263925</t>
  </si>
  <si>
    <t>Mr. Sunil Peravi</t>
  </si>
  <si>
    <t>Via Survey No. Record couldn’t Found.</t>
  </si>
  <si>
    <t>https://www.99acres.com/ellora-rainbow-life-rohinjan-navi-mumbai-npxid-r440681?nn_source=Performance&amp;nn_account=Google_99acres-NPGoogle-Account&amp;nn_campaign=22427354284_176440245103_744923251372&amp;nn_medium=22427354284_176440245103_744923251372&amp;nn_adtype=g_&amp;nn_keyword=&amp;nn_placement=&amp;gad_source=1&amp;gad_campaignid=22427354284&amp;gbraid=0AAAAADLswZUeoHO4UNQ5zlXvMXK_O5fHc&amp;gclid=Cj0KCQjw_8rBBhCFARIsAJrc9yAOeAe62ZDXMFnypifqsZDoRliMBz_a233mCWNZsiZgkkgKotgXqQ4aAgZnEALw_wcB#showModal</t>
  </si>
  <si>
    <t>https://www.rainbowlife.co.in/</t>
  </si>
  <si>
    <t>Proposed Multi Residential Development, S. No.73/1B, Rohinjan, Panvel, Navi Mumbai.</t>
  </si>
  <si>
    <t>19.083223,73.080546</t>
  </si>
  <si>
    <t>Work not yet Started.</t>
  </si>
  <si>
    <t>Not Started</t>
  </si>
  <si>
    <t>24m</t>
  </si>
  <si>
    <t xml:space="preserve">Building </t>
  </si>
  <si>
    <t>Lake</t>
  </si>
  <si>
    <t>G + 1st to 36th Floor</t>
  </si>
  <si>
    <t>PMP/NRV/16933/J.K.1968/2024</t>
  </si>
  <si>
    <t>G + 1st to 29th Floor
(No. of Residential Unit- 140 Nos.&amp; Commercial Units - 10 Nos)</t>
  </si>
  <si>
    <t>Pmc/Fire/2121/Ref.No.1723/2024/2350</t>
  </si>
  <si>
    <t>Unit Details, Nomenclature and Area Details (Residential)</t>
  </si>
  <si>
    <t>Shop Duplex with 2nd Floor</t>
  </si>
  <si>
    <t>1st Floor For Podium Parking</t>
  </si>
  <si>
    <t xml:space="preserve">2nd Floor For Commercial &amp; Parking </t>
  </si>
  <si>
    <t>Shop Duplex with Ground Floor</t>
  </si>
  <si>
    <t xml:space="preserve">3rd Floor For Podium Parking </t>
  </si>
  <si>
    <t>5th &amp; 6th Floor For Podium Parking</t>
  </si>
  <si>
    <t>7th Floor For Swimming Pool, Podium RG, Club House (Lower Level) &amp; Parking</t>
  </si>
  <si>
    <t>8th Floor For Residential (Part Refuge &amp; Club House Upper Level)</t>
  </si>
  <si>
    <t>Club House Upper Level</t>
  </si>
  <si>
    <t xml:space="preserve">We considered Gross carpet area = Net carpet + Chajja Area
</t>
  </si>
  <si>
    <t>As per RERA Site 
Flats = 140
Shop = 10</t>
  </si>
  <si>
    <t>Flat = 140 
Shop = 10</t>
  </si>
  <si>
    <t>1.30KM from Taloja Panchanand Railway Station
8.6KM from Kharghar Railway Station</t>
  </si>
  <si>
    <t>29th Floor For Recreational &amp; Terrace Area</t>
  </si>
  <si>
    <t>14000 to 15000</t>
  </si>
  <si>
    <t>Rainbow Life, Near Adhiraj Codename Capital City, Vastu Park Road, Sector 37, Kharghar, Navi Mumbai, Tal. Panvel, Dist. Raigad 410208</t>
  </si>
  <si>
    <t>Site Elevation (AMSL) = 12.63 Mtrs
Permissible Top Elevation (AMSL) = 142.63 Mtrs</t>
  </si>
  <si>
    <t>06/08/2025 at 01:09PM</t>
  </si>
  <si>
    <t>Mr. Gaurav 9321192987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</si>
</sst>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25" fillId="0" borderId="0" xfId="2" applyAlignment="1">
      <alignment vertical="top"/>
    </xf>
    <xf numFmtId="14" fontId="4" fillId="4" borderId="1" xfId="0" applyNumberFormat="1" applyFont="1" applyFill="1" applyBorder="1" applyAlignment="1">
      <alignment horizontal="left" vertical="top" wrapText="1"/>
    </xf>
    <xf numFmtId="0" fontId="9" fillId="0" borderId="0" xfId="0" applyFont="1" applyAlignment="1">
      <alignment vertical="top"/>
    </xf>
    <xf numFmtId="0" fontId="25" fillId="0" borderId="0" xfId="2"/>
    <xf numFmtId="1" fontId="3" fillId="0" borderId="0" xfId="0" applyNumberFormat="1" applyFont="1" applyAlignment="1">
      <alignment vertical="top"/>
    </xf>
    <xf numFmtId="0" fontId="8" fillId="0" borderId="0" xfId="0" applyFont="1" applyAlignment="1">
      <alignment vertical="top"/>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6" fillId="4" borderId="1" xfId="2" applyFont="1" applyFill="1" applyBorder="1" applyAlignment="1">
      <alignment horizontal="center" vertical="top" wrapText="1"/>
    </xf>
    <xf numFmtId="0" fontId="27" fillId="4" borderId="1" xfId="0" applyFont="1" applyFill="1" applyBorder="1" applyAlignment="1">
      <alignment horizontal="center" vertical="top" wrapText="1"/>
    </xf>
    <xf numFmtId="164"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6" fontId="4" fillId="4" borderId="1" xfId="0" applyNumberFormat="1" applyFont="1" applyFill="1" applyBorder="1" applyAlignment="1">
      <alignment horizontal="left" vertical="top" wrapText="1"/>
    </xf>
    <xf numFmtId="0" fontId="4" fillId="4" borderId="5"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2" fillId="2" borderId="1" xfId="0" applyFont="1" applyFill="1" applyBorder="1" applyAlignment="1">
      <alignment horizontal="center" vertical="top"/>
    </xf>
    <xf numFmtId="0" fontId="2" fillId="2" borderId="1"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9" fillId="4" borderId="2" xfId="0" applyFont="1" applyFill="1" applyBorder="1" applyAlignment="1">
      <alignment horizontal="left"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10" fillId="4" borderId="2" xfId="1" applyFont="1" applyFill="1" applyBorder="1" applyAlignment="1">
      <alignment horizontal="center" vertical="center"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4" fillId="0" borderId="1" xfId="0" applyFont="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3" fillId="0" borderId="0" xfId="0" applyNumberFormat="1" applyFont="1" applyAlignment="1">
      <alignment vertical="top"/>
    </xf>
    <xf numFmtId="14" fontId="4" fillId="4" borderId="2" xfId="0" applyNumberFormat="1" applyFont="1" applyFill="1" applyBorder="1" applyAlignment="1">
      <alignment horizontal="center"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8"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8</xdr:col>
      <xdr:colOff>145676</xdr:colOff>
      <xdr:row>9</xdr:row>
      <xdr:rowOff>11206</xdr:rowOff>
    </xdr:from>
    <xdr:to>
      <xdr:col>14</xdr:col>
      <xdr:colOff>48634</xdr:colOff>
      <xdr:row>10</xdr:row>
      <xdr:rowOff>295167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558617" y="4179794"/>
          <a:ext cx="5371429" cy="866667"/>
        </a:xfrm>
        <a:prstGeom prst="rect">
          <a:avLst/>
        </a:prstGeom>
      </xdr:spPr>
    </xdr:pic>
    <xdr:clientData/>
  </xdr:twoCellAnchor>
  <xdr:twoCellAnchor editAs="oneCell">
    <xdr:from>
      <xdr:col>8</xdr:col>
      <xdr:colOff>683559</xdr:colOff>
      <xdr:row>41</xdr:row>
      <xdr:rowOff>33617</xdr:rowOff>
    </xdr:from>
    <xdr:to>
      <xdr:col>12</xdr:col>
      <xdr:colOff>22412</xdr:colOff>
      <xdr:row>50</xdr:row>
      <xdr:rowOff>25323</xdr:rowOff>
    </xdr:to>
    <xdr:pic>
      <xdr:nvPicPr>
        <xdr:cNvPr id="3" name="Picture 2" descr="https://rainbow-life.in/public/admin/images/Ellora-Siddhi-Rainbow-Life-elevation-front-image-1-23032025133417.jpg">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096500" y="19374970"/>
          <a:ext cx="3597088"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266701</xdr:colOff>
      <xdr:row>45</xdr:row>
      <xdr:rowOff>103094</xdr:rowOff>
    </xdr:from>
    <xdr:to>
      <xdr:col>16</xdr:col>
      <xdr:colOff>490238</xdr:colOff>
      <xdr:row>57</xdr:row>
      <xdr:rowOff>134539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2198725" y="21053612"/>
          <a:ext cx="4813466" cy="3949021"/>
        </a:xfrm>
        <a:prstGeom prst="rect">
          <a:avLst/>
        </a:prstGeom>
      </xdr:spPr>
    </xdr:pic>
    <xdr:clientData/>
  </xdr:twoCellAnchor>
  <xdr:twoCellAnchor editAs="oneCell">
    <xdr:from>
      <xdr:col>9</xdr:col>
      <xdr:colOff>596152</xdr:colOff>
      <xdr:row>39</xdr:row>
      <xdr:rowOff>20170</xdr:rowOff>
    </xdr:from>
    <xdr:to>
      <xdr:col>15</xdr:col>
      <xdr:colOff>602962</xdr:colOff>
      <xdr:row>54</xdr:row>
      <xdr:rowOff>125506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2528176" y="18980523"/>
          <a:ext cx="3969210" cy="5493124"/>
        </a:xfrm>
        <a:prstGeom prst="rect">
          <a:avLst/>
        </a:prstGeom>
      </xdr:spPr>
    </xdr:pic>
    <xdr:clientData/>
  </xdr:twoCellAnchor>
  <xdr:twoCellAnchor editAs="oneCell">
    <xdr:from>
      <xdr:col>10</xdr:col>
      <xdr:colOff>407895</xdr:colOff>
      <xdr:row>40</xdr:row>
      <xdr:rowOff>44824</xdr:rowOff>
    </xdr:from>
    <xdr:to>
      <xdr:col>16</xdr:col>
      <xdr:colOff>583913</xdr:colOff>
      <xdr:row>56</xdr:row>
      <xdr:rowOff>189256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3164671" y="19274118"/>
          <a:ext cx="3941195" cy="5532220"/>
        </a:xfrm>
        <a:prstGeom prst="rect">
          <a:avLst/>
        </a:prstGeom>
      </xdr:spPr>
    </xdr:pic>
    <xdr:clientData/>
  </xdr:twoCellAnchor>
  <xdr:twoCellAnchor editAs="oneCell">
    <xdr:from>
      <xdr:col>8</xdr:col>
      <xdr:colOff>784411</xdr:colOff>
      <xdr:row>39</xdr:row>
      <xdr:rowOff>129987</xdr:rowOff>
    </xdr:from>
    <xdr:to>
      <xdr:col>12</xdr:col>
      <xdr:colOff>116652</xdr:colOff>
      <xdr:row>53</xdr:row>
      <xdr:rowOff>236358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0394576" y="19090340"/>
          <a:ext cx="3733911" cy="5216253"/>
        </a:xfrm>
        <a:prstGeom prst="rect">
          <a:avLst/>
        </a:prstGeom>
      </xdr:spPr>
    </xdr:pic>
    <xdr:clientData/>
  </xdr:twoCellAnchor>
  <xdr:twoCellAnchor editAs="oneCell">
    <xdr:from>
      <xdr:col>12</xdr:col>
      <xdr:colOff>369795</xdr:colOff>
      <xdr:row>134</xdr:row>
      <xdr:rowOff>125505</xdr:rowOff>
    </xdr:from>
    <xdr:to>
      <xdr:col>25</xdr:col>
      <xdr:colOff>172397</xdr:colOff>
      <xdr:row>150</xdr:row>
      <xdr:rowOff>163645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4381630" y="52058046"/>
          <a:ext cx="6077896" cy="4090187"/>
        </a:xfrm>
        <a:prstGeom prst="rect">
          <a:avLst/>
        </a:prstGeom>
      </xdr:spPr>
    </xdr:pic>
    <xdr:clientData/>
  </xdr:twoCellAnchor>
  <xdr:twoCellAnchor editAs="oneCell">
    <xdr:from>
      <xdr:col>8</xdr:col>
      <xdr:colOff>1792941</xdr:colOff>
      <xdr:row>86</xdr:row>
      <xdr:rowOff>89647</xdr:rowOff>
    </xdr:from>
    <xdr:to>
      <xdr:col>15</xdr:col>
      <xdr:colOff>176496</xdr:colOff>
      <xdr:row>97</xdr:row>
      <xdr:rowOff>675709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1205882" y="33830559"/>
          <a:ext cx="4457143" cy="4523809"/>
        </a:xfrm>
        <a:prstGeom prst="rect">
          <a:avLst/>
        </a:prstGeom>
      </xdr:spPr>
    </xdr:pic>
    <xdr:clientData/>
  </xdr:twoCellAnchor>
  <xdr:twoCellAnchor editAs="oneCell">
    <xdr:from>
      <xdr:col>8</xdr:col>
      <xdr:colOff>1997005</xdr:colOff>
      <xdr:row>70</xdr:row>
      <xdr:rowOff>5442</xdr:rowOff>
    </xdr:from>
    <xdr:to>
      <xdr:col>26</xdr:col>
      <xdr:colOff>180127</xdr:colOff>
      <xdr:row>84</xdr:row>
      <xdr:rowOff>244189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1607170" y="28369771"/>
          <a:ext cx="9397969" cy="4667312"/>
        </a:xfrm>
        <a:prstGeom prst="rect">
          <a:avLst/>
        </a:prstGeom>
      </xdr:spPr>
    </xdr:pic>
    <xdr:clientData/>
  </xdr:twoCellAnchor>
  <xdr:twoCellAnchor>
    <xdr:from>
      <xdr:col>8</xdr:col>
      <xdr:colOff>540443</xdr:colOff>
      <xdr:row>168</xdr:row>
      <xdr:rowOff>16969</xdr:rowOff>
    </xdr:from>
    <xdr:to>
      <xdr:col>23</xdr:col>
      <xdr:colOff>283989</xdr:colOff>
      <xdr:row>201</xdr:row>
      <xdr:rowOff>251653</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9953384" y="60237381"/>
          <a:ext cx="8842723" cy="8739948"/>
          <a:chOff x="-698352" y="0"/>
          <a:chExt cx="7814092" cy="7836000"/>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698352" y="0"/>
            <a:ext cx="7814092" cy="2880000"/>
            <a:chOff x="-698352" y="0"/>
            <a:chExt cx="7814092" cy="288000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98352" y="0"/>
              <a:ext cx="3836445" cy="288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79295" y="0"/>
              <a:ext cx="3836445" cy="2880000"/>
            </a:xfrm>
            <a:prstGeom prst="rect">
              <a:avLst/>
            </a:prstGeom>
            <a:ln>
              <a:solidFill>
                <a:schemeClr val="tx1"/>
              </a:solidFill>
            </a:ln>
          </xdr:spPr>
        </xdr:pic>
      </xdr:grpSp>
      <xdr:grpSp>
        <xdr:nvGrpSpPr>
          <xdr:cNvPr id="13" name="Group 12">
            <a:extLst>
              <a:ext uri="{FF2B5EF4-FFF2-40B4-BE49-F238E27FC236}">
                <a16:creationId xmlns:a16="http://schemas.microsoft.com/office/drawing/2014/main" id="{00000000-0008-0000-0000-00000D000000}"/>
              </a:ext>
            </a:extLst>
          </xdr:cNvPr>
          <xdr:cNvGrpSpPr/>
        </xdr:nvGrpSpPr>
        <xdr:grpSpPr>
          <a:xfrm>
            <a:off x="140996" y="3018000"/>
            <a:ext cx="6135396" cy="2880000"/>
            <a:chOff x="980343" y="3018000"/>
            <a:chExt cx="6135396" cy="2880000"/>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80343" y="3018000"/>
              <a:ext cx="2157750" cy="2880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79294" y="3018000"/>
              <a:ext cx="3836445" cy="288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00000000-0008-0000-0000-00000E000000}"/>
              </a:ext>
            </a:extLst>
          </xdr:cNvPr>
          <xdr:cNvGrpSpPr/>
        </xdr:nvGrpSpPr>
        <xdr:grpSpPr>
          <a:xfrm>
            <a:off x="520009" y="6036000"/>
            <a:ext cx="5377370" cy="1800000"/>
            <a:chOff x="1480630" y="7344000"/>
            <a:chExt cx="5377370" cy="1800000"/>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509406" y="7344000"/>
              <a:ext cx="1348594" cy="1800000"/>
            </a:xfrm>
            <a:prstGeom prst="rect">
              <a:avLst/>
            </a:prstGeom>
            <a:ln>
              <a:solidFill>
                <a:schemeClr val="tx1"/>
              </a:solidFill>
            </a:ln>
          </xdr:spPr>
        </xdr:pic>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480630" y="7344000"/>
              <a:ext cx="2397778" cy="1800000"/>
            </a:xfrm>
            <a:prstGeom prst="rect">
              <a:avLst/>
            </a:prstGeom>
            <a:ln>
              <a:solidFill>
                <a:schemeClr val="tx1"/>
              </a:solidFill>
            </a:ln>
          </xdr:spPr>
        </xdr:pic>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019610" y="7344000"/>
              <a:ext cx="1348594" cy="1800000"/>
            </a:xfrm>
            <a:prstGeom prst="rect">
              <a:avLst/>
            </a:prstGeom>
            <a:ln>
              <a:solidFill>
                <a:schemeClr val="tx1"/>
              </a:solidFill>
            </a:ln>
          </xdr:spPr>
        </xdr:pic>
      </xdr:grpSp>
    </xdr:grpSp>
    <xdr:clientData/>
  </xdr:twoCellAnchor>
  <xdr:twoCellAnchor>
    <xdr:from>
      <xdr:col>0</xdr:col>
      <xdr:colOff>447915</xdr:colOff>
      <xdr:row>209</xdr:row>
      <xdr:rowOff>170331</xdr:rowOff>
    </xdr:from>
    <xdr:to>
      <xdr:col>7</xdr:col>
      <xdr:colOff>511628</xdr:colOff>
      <xdr:row>244</xdr:row>
      <xdr:rowOff>87088</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447915" y="70957890"/>
          <a:ext cx="8300037" cy="8937492"/>
          <a:chOff x="0" y="1723292"/>
          <a:chExt cx="6858000" cy="7038157"/>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stretch>
            <a:fillRect/>
          </a:stretch>
        </xdr:blipFill>
        <xdr:spPr>
          <a:xfrm>
            <a:off x="329143" y="5535485"/>
            <a:ext cx="5940366" cy="3225964"/>
          </a:xfrm>
          <a:prstGeom prst="rect">
            <a:avLst/>
          </a:prstGeom>
          <a:ln>
            <a:solidFill>
              <a:schemeClr val="tx1"/>
            </a:solidFill>
          </a:ln>
        </xdr:spPr>
      </xdr:pic>
      <xdr:grpSp>
        <xdr:nvGrpSpPr>
          <xdr:cNvPr id="24" name="Group 23">
            <a:extLst>
              <a:ext uri="{FF2B5EF4-FFF2-40B4-BE49-F238E27FC236}">
                <a16:creationId xmlns:a16="http://schemas.microsoft.com/office/drawing/2014/main" id="{00000000-0008-0000-0000-000018000000}"/>
              </a:ext>
            </a:extLst>
          </xdr:cNvPr>
          <xdr:cNvGrpSpPr/>
        </xdr:nvGrpSpPr>
        <xdr:grpSpPr>
          <a:xfrm>
            <a:off x="0" y="1723292"/>
            <a:ext cx="6858000" cy="3712777"/>
            <a:chOff x="0" y="1723292"/>
            <a:chExt cx="6858000" cy="3712777"/>
          </a:xfrm>
        </xdr:grpSpPr>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0" y="1723292"/>
              <a:ext cx="6858000" cy="3712777"/>
            </a:xfrm>
            <a:prstGeom prst="rect">
              <a:avLst/>
            </a:prstGeom>
            <a:ln>
              <a:solidFill>
                <a:schemeClr val="tx1"/>
              </a:solidFill>
            </a:ln>
          </xdr:spPr>
        </xdr:pic>
        <xdr:sp macro="" textlink="">
          <xdr:nvSpPr>
            <xdr:cNvPr id="26" name="Freeform 25">
              <a:extLst>
                <a:ext uri="{FF2B5EF4-FFF2-40B4-BE49-F238E27FC236}">
                  <a16:creationId xmlns:a16="http://schemas.microsoft.com/office/drawing/2014/main" id="{00000000-0008-0000-0000-00001A000000}"/>
                </a:ext>
              </a:extLst>
            </xdr:cNvPr>
            <xdr:cNvSpPr/>
          </xdr:nvSpPr>
          <xdr:spPr>
            <a:xfrm rot="19523269">
              <a:off x="1980618" y="3103601"/>
              <a:ext cx="3895993" cy="2122400"/>
            </a:xfrm>
            <a:custGeom>
              <a:avLst/>
              <a:gdLst>
                <a:gd name="connsiteX0" fmla="*/ 2535818 w 3895993"/>
                <a:gd name="connsiteY0" fmla="*/ 1538879 h 2122400"/>
                <a:gd name="connsiteX1" fmla="*/ 2516676 w 3895993"/>
                <a:gd name="connsiteY1" fmla="*/ 1537598 h 2122400"/>
                <a:gd name="connsiteX2" fmla="*/ 2452038 w 3895993"/>
                <a:gd name="connsiteY2" fmla="*/ 1518061 h 2122400"/>
                <a:gd name="connsiteX3" fmla="*/ 2506670 w 3895993"/>
                <a:gd name="connsiteY3" fmla="*/ 1555767 h 2122400"/>
                <a:gd name="connsiteX4" fmla="*/ 3761687 w 3895993"/>
                <a:gd name="connsiteY4" fmla="*/ 245441 h 2122400"/>
                <a:gd name="connsiteX5" fmla="*/ 3700045 w 3895993"/>
                <a:gd name="connsiteY5" fmla="*/ 987416 h 2122400"/>
                <a:gd name="connsiteX6" fmla="*/ 3895993 w 3895993"/>
                <a:gd name="connsiteY6" fmla="*/ 1325610 h 2122400"/>
                <a:gd name="connsiteX7" fmla="*/ 2561358 w 3895993"/>
                <a:gd name="connsiteY7" fmla="*/ 2098894 h 2122400"/>
                <a:gd name="connsiteX8" fmla="*/ 2545134 w 3895993"/>
                <a:gd name="connsiteY8" fmla="*/ 2122400 h 2122400"/>
                <a:gd name="connsiteX9" fmla="*/ 0 w 3895993"/>
                <a:gd name="connsiteY9" fmla="*/ 365831 h 2122400"/>
                <a:gd name="connsiteX10" fmla="*/ 252484 w 3895993"/>
                <a:gd name="connsiteY10" fmla="*/ 0 h 2122400"/>
                <a:gd name="connsiteX11" fmla="*/ 844365 w 3895993"/>
                <a:gd name="connsiteY11" fmla="*/ 408497 h 2122400"/>
                <a:gd name="connsiteX12" fmla="*/ 789751 w 3895993"/>
                <a:gd name="connsiteY12" fmla="*/ 245441 h 2122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895993" h="2122400">
                  <a:moveTo>
                    <a:pt x="2535818" y="1538879"/>
                  </a:moveTo>
                  <a:lnTo>
                    <a:pt x="2516676" y="1537598"/>
                  </a:lnTo>
                  <a:lnTo>
                    <a:pt x="2452038" y="1518061"/>
                  </a:lnTo>
                  <a:lnTo>
                    <a:pt x="2506670" y="1555767"/>
                  </a:lnTo>
                  <a:close/>
                  <a:moveTo>
                    <a:pt x="3761687" y="245441"/>
                  </a:moveTo>
                  <a:lnTo>
                    <a:pt x="3700045" y="987416"/>
                  </a:lnTo>
                  <a:lnTo>
                    <a:pt x="3895993" y="1325610"/>
                  </a:lnTo>
                  <a:lnTo>
                    <a:pt x="2561358" y="2098894"/>
                  </a:lnTo>
                  <a:lnTo>
                    <a:pt x="2545134" y="2122400"/>
                  </a:lnTo>
                  <a:lnTo>
                    <a:pt x="0" y="365831"/>
                  </a:lnTo>
                  <a:lnTo>
                    <a:pt x="252484" y="0"/>
                  </a:lnTo>
                  <a:lnTo>
                    <a:pt x="844365" y="408497"/>
                  </a:lnTo>
                  <a:lnTo>
                    <a:pt x="789751" y="245441"/>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rot="17466208">
              <a:off x="5594628" y="4294503"/>
              <a:ext cx="1080000" cy="1080000"/>
            </a:xfrm>
            <a:prstGeom prst="rect">
              <a:avLst/>
            </a:prstGeom>
          </xdr:spPr>
        </xdr:pic>
      </xdr:grpSp>
    </xdr:grpSp>
    <xdr:clientData/>
  </xdr:twoCellAnchor>
  <xdr:twoCellAnchor editAs="oneCell">
    <xdr:from>
      <xdr:col>9</xdr:col>
      <xdr:colOff>322931</xdr:colOff>
      <xdr:row>97</xdr:row>
      <xdr:rowOff>547167</xdr:rowOff>
    </xdr:from>
    <xdr:to>
      <xdr:col>25</xdr:col>
      <xdr:colOff>196190</xdr:colOff>
      <xdr:row>103</xdr:row>
      <xdr:rowOff>754854</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0"/>
        <a:stretch>
          <a:fillRect/>
        </a:stretch>
      </xdr:blipFill>
      <xdr:spPr>
        <a:xfrm>
          <a:off x="12318988" y="38277053"/>
          <a:ext cx="8146402" cy="4997401"/>
        </a:xfrm>
        <a:prstGeom prst="rect">
          <a:avLst/>
        </a:prstGeom>
      </xdr:spPr>
    </xdr:pic>
    <xdr:clientData/>
  </xdr:twoCellAnchor>
  <xdr:twoCellAnchor editAs="oneCell">
    <xdr:from>
      <xdr:col>9</xdr:col>
      <xdr:colOff>523503</xdr:colOff>
      <xdr:row>83</xdr:row>
      <xdr:rowOff>3960</xdr:rowOff>
    </xdr:from>
    <xdr:to>
      <xdr:col>24</xdr:col>
      <xdr:colOff>70402</xdr:colOff>
      <xdr:row>96</xdr:row>
      <xdr:rowOff>742283</xdr:rowOff>
    </xdr:to>
    <xdr:pic>
      <xdr:nvPicPr>
        <xdr:cNvPr id="39" name="Picture 38">
          <a:extLst>
            <a:ext uri="{FF2B5EF4-FFF2-40B4-BE49-F238E27FC236}">
              <a16:creationId xmlns:a16="http://schemas.microsoft.com/office/drawing/2014/main" id="{DE6405BF-AA46-2844-C985-DDC1FC2D7F2D}"/>
            </a:ext>
          </a:extLst>
        </xdr:cNvPr>
        <xdr:cNvPicPr>
          <a:picLocks noChangeAspect="1"/>
        </xdr:cNvPicPr>
      </xdr:nvPicPr>
      <xdr:blipFill>
        <a:blip xmlns:r="http://schemas.openxmlformats.org/officeDocument/2006/relationships" r:embed="rId21"/>
        <a:stretch>
          <a:fillRect/>
        </a:stretch>
      </xdr:blipFill>
      <xdr:spPr>
        <a:xfrm>
          <a:off x="12519560" y="32650217"/>
          <a:ext cx="7199556" cy="4820466"/>
        </a:xfrm>
        <a:prstGeom prst="rect">
          <a:avLst/>
        </a:prstGeom>
      </xdr:spPr>
    </xdr:pic>
    <xdr:clientData/>
  </xdr:twoCellAnchor>
  <xdr:twoCellAnchor editAs="oneCell">
    <xdr:from>
      <xdr:col>9</xdr:col>
      <xdr:colOff>703146</xdr:colOff>
      <xdr:row>87</xdr:row>
      <xdr:rowOff>186775</xdr:rowOff>
    </xdr:from>
    <xdr:to>
      <xdr:col>22</xdr:col>
      <xdr:colOff>541352</xdr:colOff>
      <xdr:row>97</xdr:row>
      <xdr:rowOff>604726</xdr:rowOff>
    </xdr:to>
    <xdr:pic>
      <xdr:nvPicPr>
        <xdr:cNvPr id="40" name="Picture 39">
          <a:extLst>
            <a:ext uri="{FF2B5EF4-FFF2-40B4-BE49-F238E27FC236}">
              <a16:creationId xmlns:a16="http://schemas.microsoft.com/office/drawing/2014/main" id="{BAC109CC-81A8-0B38-73A7-F93C2A8CE15D}"/>
            </a:ext>
          </a:extLst>
        </xdr:cNvPr>
        <xdr:cNvPicPr>
          <a:picLocks noChangeAspect="1"/>
        </xdr:cNvPicPr>
      </xdr:nvPicPr>
      <xdr:blipFill>
        <a:blip xmlns:r="http://schemas.openxmlformats.org/officeDocument/2006/relationships" r:embed="rId22"/>
        <a:stretch>
          <a:fillRect/>
        </a:stretch>
      </xdr:blipFill>
      <xdr:spPr>
        <a:xfrm>
          <a:off x="12699203" y="34095775"/>
          <a:ext cx="6249892" cy="4238836"/>
        </a:xfrm>
        <a:prstGeom prst="rect">
          <a:avLst/>
        </a:prstGeom>
      </xdr:spPr>
    </xdr:pic>
    <xdr:clientData/>
  </xdr:twoCellAnchor>
  <xdr:twoCellAnchor editAs="oneCell">
    <xdr:from>
      <xdr:col>11</xdr:col>
      <xdr:colOff>119743</xdr:colOff>
      <xdr:row>121</xdr:row>
      <xdr:rowOff>119742</xdr:rowOff>
    </xdr:from>
    <xdr:to>
      <xdr:col>31</xdr:col>
      <xdr:colOff>288596</xdr:colOff>
      <xdr:row>152</xdr:row>
      <xdr:rowOff>32381</xdr:rowOff>
    </xdr:to>
    <xdr:pic>
      <xdr:nvPicPr>
        <xdr:cNvPr id="41" name="Picture 40">
          <a:extLst>
            <a:ext uri="{FF2B5EF4-FFF2-40B4-BE49-F238E27FC236}">
              <a16:creationId xmlns:a16="http://schemas.microsoft.com/office/drawing/2014/main" id="{5B40BDD8-8F39-5030-D5BB-6122794C69A9}"/>
            </a:ext>
          </a:extLst>
        </xdr:cNvPr>
        <xdr:cNvPicPr>
          <a:picLocks noChangeAspect="1"/>
        </xdr:cNvPicPr>
      </xdr:nvPicPr>
      <xdr:blipFill>
        <a:blip xmlns:r="http://schemas.openxmlformats.org/officeDocument/2006/relationships" r:embed="rId23"/>
        <a:stretch>
          <a:fillRect/>
        </a:stretch>
      </xdr:blipFill>
      <xdr:spPr>
        <a:xfrm>
          <a:off x="13563600" y="48953056"/>
          <a:ext cx="10640910" cy="7783011"/>
        </a:xfrm>
        <a:prstGeom prst="rect">
          <a:avLst/>
        </a:prstGeom>
      </xdr:spPr>
    </xdr:pic>
    <xdr:clientData/>
  </xdr:twoCellAnchor>
  <xdr:twoCellAnchor editAs="oneCell">
    <xdr:from>
      <xdr:col>29</xdr:col>
      <xdr:colOff>514102</xdr:colOff>
      <xdr:row>115</xdr:row>
      <xdr:rowOff>106879</xdr:rowOff>
    </xdr:from>
    <xdr:to>
      <xdr:col>42</xdr:col>
      <xdr:colOff>415390</xdr:colOff>
      <xdr:row>130</xdr:row>
      <xdr:rowOff>127832</xdr:rowOff>
    </xdr:to>
    <xdr:pic>
      <xdr:nvPicPr>
        <xdr:cNvPr id="42" name="Picture 41">
          <a:extLst>
            <a:ext uri="{FF2B5EF4-FFF2-40B4-BE49-F238E27FC236}">
              <a16:creationId xmlns:a16="http://schemas.microsoft.com/office/drawing/2014/main" id="{61A550FB-34E0-EA25-BBE8-2F67A5A32FC8}"/>
            </a:ext>
          </a:extLst>
        </xdr:cNvPr>
        <xdr:cNvPicPr>
          <a:picLocks noChangeAspect="1"/>
        </xdr:cNvPicPr>
      </xdr:nvPicPr>
      <xdr:blipFill>
        <a:blip xmlns:r="http://schemas.openxmlformats.org/officeDocument/2006/relationships" r:embed="rId24"/>
        <a:stretch>
          <a:fillRect/>
        </a:stretch>
      </xdr:blipFill>
      <xdr:spPr>
        <a:xfrm>
          <a:off x="23221702" y="46817479"/>
          <a:ext cx="8073738" cy="3830953"/>
        </a:xfrm>
        <a:prstGeom prst="rect">
          <a:avLst/>
        </a:prstGeom>
      </xdr:spPr>
    </xdr:pic>
    <xdr:clientData/>
  </xdr:twoCellAnchor>
  <xdr:twoCellAnchor editAs="oneCell">
    <xdr:from>
      <xdr:col>12</xdr:col>
      <xdr:colOff>200642</xdr:colOff>
      <xdr:row>148</xdr:row>
      <xdr:rowOff>69768</xdr:rowOff>
    </xdr:from>
    <xdr:to>
      <xdr:col>31</xdr:col>
      <xdr:colOff>454037</xdr:colOff>
      <xdr:row>164</xdr:row>
      <xdr:rowOff>169532</xdr:rowOff>
    </xdr:to>
    <xdr:pic>
      <xdr:nvPicPr>
        <xdr:cNvPr id="43" name="Picture 42">
          <a:extLst>
            <a:ext uri="{FF2B5EF4-FFF2-40B4-BE49-F238E27FC236}">
              <a16:creationId xmlns:a16="http://schemas.microsoft.com/office/drawing/2014/main" id="{724AA461-B595-7233-D130-57A59DE4E26E}"/>
            </a:ext>
          </a:extLst>
        </xdr:cNvPr>
        <xdr:cNvPicPr>
          <a:picLocks noChangeAspect="1"/>
        </xdr:cNvPicPr>
      </xdr:nvPicPr>
      <xdr:blipFill>
        <a:blip xmlns:r="http://schemas.openxmlformats.org/officeDocument/2006/relationships" r:embed="rId25"/>
        <a:stretch>
          <a:fillRect/>
        </a:stretch>
      </xdr:blipFill>
      <xdr:spPr>
        <a:xfrm>
          <a:off x="14202392" y="55105218"/>
          <a:ext cx="10216545" cy="3966914"/>
        </a:xfrm>
        <a:prstGeom prst="rect">
          <a:avLst/>
        </a:prstGeom>
      </xdr:spPr>
    </xdr:pic>
    <xdr:clientData/>
  </xdr:twoCellAnchor>
  <xdr:twoCellAnchor editAs="oneCell">
    <xdr:from>
      <xdr:col>14</xdr:col>
      <xdr:colOff>206827</xdr:colOff>
      <xdr:row>151</xdr:row>
      <xdr:rowOff>119741</xdr:rowOff>
    </xdr:from>
    <xdr:to>
      <xdr:col>31</xdr:col>
      <xdr:colOff>11445</xdr:colOff>
      <xdr:row>165</xdr:row>
      <xdr:rowOff>280427</xdr:rowOff>
    </xdr:to>
    <xdr:pic>
      <xdr:nvPicPr>
        <xdr:cNvPr id="44" name="Picture 43">
          <a:extLst>
            <a:ext uri="{FF2B5EF4-FFF2-40B4-BE49-F238E27FC236}">
              <a16:creationId xmlns:a16="http://schemas.microsoft.com/office/drawing/2014/main" id="{57BB6301-5603-BF8E-C59B-26D99FD6C740}"/>
            </a:ext>
          </a:extLst>
        </xdr:cNvPr>
        <xdr:cNvPicPr>
          <a:picLocks noChangeAspect="1"/>
        </xdr:cNvPicPr>
      </xdr:nvPicPr>
      <xdr:blipFill>
        <a:blip xmlns:r="http://schemas.openxmlformats.org/officeDocument/2006/relationships" r:embed="rId26"/>
        <a:stretch>
          <a:fillRect/>
        </a:stretch>
      </xdr:blipFill>
      <xdr:spPr>
        <a:xfrm>
          <a:off x="15512141" y="56573055"/>
          <a:ext cx="8415218" cy="3611458"/>
        </a:xfrm>
        <a:prstGeom prst="rect">
          <a:avLst/>
        </a:prstGeom>
      </xdr:spPr>
    </xdr:pic>
    <xdr:clientData/>
  </xdr:twoCellAnchor>
  <xdr:twoCellAnchor>
    <xdr:from>
      <xdr:col>0</xdr:col>
      <xdr:colOff>482174</xdr:colOff>
      <xdr:row>255</xdr:row>
      <xdr:rowOff>119743</xdr:rowOff>
    </xdr:from>
    <xdr:to>
      <xdr:col>7</xdr:col>
      <xdr:colOff>762000</xdr:colOff>
      <xdr:row>278</xdr:row>
      <xdr:rowOff>10305</xdr:rowOff>
    </xdr:to>
    <xdr:grpSp>
      <xdr:nvGrpSpPr>
        <xdr:cNvPr id="46" name="Group 45">
          <a:extLst>
            <a:ext uri="{FF2B5EF4-FFF2-40B4-BE49-F238E27FC236}">
              <a16:creationId xmlns:a16="http://schemas.microsoft.com/office/drawing/2014/main" id="{912AE03C-25B0-7C4A-3327-7796EB0A9050}"/>
            </a:ext>
          </a:extLst>
        </xdr:cNvPr>
        <xdr:cNvGrpSpPr/>
      </xdr:nvGrpSpPr>
      <xdr:grpSpPr>
        <a:xfrm>
          <a:off x="482174" y="82763125"/>
          <a:ext cx="8516150" cy="5818474"/>
          <a:chOff x="493059" y="85205455"/>
          <a:chExt cx="8841094" cy="7367068"/>
        </a:xfrm>
      </xdr:grpSpPr>
      <xdr:grpSp>
        <xdr:nvGrpSpPr>
          <xdr:cNvPr id="31" name="Group 30">
            <a:extLst>
              <a:ext uri="{FF2B5EF4-FFF2-40B4-BE49-F238E27FC236}">
                <a16:creationId xmlns:a16="http://schemas.microsoft.com/office/drawing/2014/main" id="{00000000-0008-0000-0000-00001F000000}"/>
              </a:ext>
            </a:extLst>
          </xdr:cNvPr>
          <xdr:cNvGrpSpPr/>
        </xdr:nvGrpSpPr>
        <xdr:grpSpPr>
          <a:xfrm>
            <a:off x="493059" y="88957308"/>
            <a:ext cx="8841094" cy="3615215"/>
            <a:chOff x="-2125436" y="4293507"/>
            <a:chExt cx="10929258" cy="5036458"/>
          </a:xfrm>
        </xdr:grpSpPr>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2125436" y="4293507"/>
              <a:ext cx="10929258" cy="5036458"/>
            </a:xfrm>
            <a:prstGeom prst="rect">
              <a:avLst/>
            </a:prstGeom>
            <a:ln>
              <a:solidFill>
                <a:schemeClr val="tx1"/>
              </a:solidFill>
            </a:ln>
          </xdr:spPr>
        </xdr:pic>
        <xdr:grpSp>
          <xdr:nvGrpSpPr>
            <xdr:cNvPr id="33" name="Group 32">
              <a:extLst>
                <a:ext uri="{FF2B5EF4-FFF2-40B4-BE49-F238E27FC236}">
                  <a16:creationId xmlns:a16="http://schemas.microsoft.com/office/drawing/2014/main" id="{00000000-0008-0000-0000-000021000000}"/>
                </a:ext>
              </a:extLst>
            </xdr:cNvPr>
            <xdr:cNvGrpSpPr/>
          </xdr:nvGrpSpPr>
          <xdr:grpSpPr>
            <a:xfrm>
              <a:off x="2605088" y="5334000"/>
              <a:ext cx="923926" cy="403860"/>
              <a:chOff x="2605088" y="5334000"/>
              <a:chExt cx="923926" cy="403860"/>
            </a:xfrm>
          </xdr:grpSpPr>
          <xdr:cxnSp macro="">
            <xdr:nvCxnSpPr>
              <xdr:cNvPr id="35" name="Straight Connector 34">
                <a:extLst>
                  <a:ext uri="{FF2B5EF4-FFF2-40B4-BE49-F238E27FC236}">
                    <a16:creationId xmlns:a16="http://schemas.microsoft.com/office/drawing/2014/main" id="{00000000-0008-0000-0000-000023000000}"/>
                  </a:ext>
                </a:extLst>
              </xdr:cNvPr>
              <xdr:cNvCxnSpPr/>
            </xdr:nvCxnSpPr>
            <xdr:spPr>
              <a:xfrm>
                <a:off x="2605088" y="5334000"/>
                <a:ext cx="389572" cy="40386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000-000024000000}"/>
                  </a:ext>
                </a:extLst>
              </xdr:cNvPr>
              <xdr:cNvCxnSpPr/>
            </xdr:nvCxnSpPr>
            <xdr:spPr>
              <a:xfrm flipH="1">
                <a:off x="2976563" y="5579269"/>
                <a:ext cx="552450" cy="158591"/>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000-000025000000}"/>
                  </a:ext>
                </a:extLst>
              </xdr:cNvPr>
              <xdr:cNvCxnSpPr/>
            </xdr:nvCxnSpPr>
            <xdr:spPr>
              <a:xfrm flipH="1" flipV="1">
                <a:off x="2605089" y="5334001"/>
                <a:ext cx="923925" cy="245269"/>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4" name="TextBox 66">
              <a:extLst>
                <a:ext uri="{FF2B5EF4-FFF2-40B4-BE49-F238E27FC236}">
                  <a16:creationId xmlns:a16="http://schemas.microsoft.com/office/drawing/2014/main" id="{00000000-0008-0000-0000-000022000000}"/>
                </a:ext>
              </a:extLst>
            </xdr:cNvPr>
            <xdr:cNvSpPr txBox="1"/>
          </xdr:nvSpPr>
          <xdr:spPr>
            <a:xfrm>
              <a:off x="2501606" y="4915057"/>
              <a:ext cx="1815152" cy="53354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Rainbow Life</a:t>
              </a:r>
              <a:endParaRPr lang="en-IN" b="1">
                <a:solidFill>
                  <a:srgbClr val="FFFF00"/>
                </a:solidFill>
              </a:endParaRPr>
            </a:p>
          </xdr:txBody>
        </xdr:sp>
      </xdr:grpSp>
      <xdr:pic>
        <xdr:nvPicPr>
          <xdr:cNvPr id="45" name="Picture 44">
            <a:extLst>
              <a:ext uri="{FF2B5EF4-FFF2-40B4-BE49-F238E27FC236}">
                <a16:creationId xmlns:a16="http://schemas.microsoft.com/office/drawing/2014/main" id="{61544D01-C182-D061-8853-2E9E793D9DCA}"/>
              </a:ext>
            </a:extLst>
          </xdr:cNvPr>
          <xdr:cNvPicPr>
            <a:picLocks noChangeAspect="1"/>
          </xdr:cNvPicPr>
        </xdr:nvPicPr>
        <xdr:blipFill>
          <a:blip xmlns:r="http://schemas.openxmlformats.org/officeDocument/2006/relationships" r:embed="rId28"/>
          <a:stretch>
            <a:fillRect/>
          </a:stretch>
        </xdr:blipFill>
        <xdr:spPr>
          <a:xfrm>
            <a:off x="1828799" y="85205455"/>
            <a:ext cx="5902038" cy="3587169"/>
          </a:xfrm>
          <a:prstGeom prst="rect">
            <a:avLst/>
          </a:prstGeom>
          <a:ln>
            <a:solidFill>
              <a:sysClr val="windowText" lastClr="000000"/>
            </a:solidFill>
          </a:ln>
        </xdr:spPr>
      </xdr:pic>
    </xdr:grpSp>
    <xdr:clientData/>
  </xdr:twoCellAnchor>
  <xdr:twoCellAnchor>
    <xdr:from>
      <xdr:col>0</xdr:col>
      <xdr:colOff>257735</xdr:colOff>
      <xdr:row>167</xdr:row>
      <xdr:rowOff>224118</xdr:rowOff>
    </xdr:from>
    <xdr:to>
      <xdr:col>7</xdr:col>
      <xdr:colOff>728382</xdr:colOff>
      <xdr:row>199</xdr:row>
      <xdr:rowOff>168088</xdr:rowOff>
    </xdr:to>
    <xdr:grpSp>
      <xdr:nvGrpSpPr>
        <xdr:cNvPr id="47" name="Group 46">
          <a:extLst>
            <a:ext uri="{FF2B5EF4-FFF2-40B4-BE49-F238E27FC236}">
              <a16:creationId xmlns:a16="http://schemas.microsoft.com/office/drawing/2014/main" id="{B69F1CFF-1E3F-408C-BED7-F77B07E3A90E}"/>
            </a:ext>
          </a:extLst>
        </xdr:cNvPr>
        <xdr:cNvGrpSpPr/>
      </xdr:nvGrpSpPr>
      <xdr:grpSpPr>
        <a:xfrm>
          <a:off x="257735" y="60186794"/>
          <a:ext cx="8706971" cy="8191500"/>
          <a:chOff x="-723900" y="-87450"/>
          <a:chExt cx="7855994" cy="7631234"/>
        </a:xfrm>
      </xdr:grpSpPr>
      <xdr:pic>
        <xdr:nvPicPr>
          <xdr:cNvPr id="48" name="Picture 47">
            <a:extLst>
              <a:ext uri="{FF2B5EF4-FFF2-40B4-BE49-F238E27FC236}">
                <a16:creationId xmlns:a16="http://schemas.microsoft.com/office/drawing/2014/main" id="{4DD9B2C6-CB65-4537-B970-00DE014F94B3}"/>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723900" y="-87450"/>
            <a:ext cx="3836444" cy="2880000"/>
          </a:xfrm>
          <a:prstGeom prst="rect">
            <a:avLst/>
          </a:prstGeom>
          <a:ln>
            <a:solidFill>
              <a:schemeClr val="tx1"/>
            </a:solidFill>
          </a:ln>
        </xdr:spPr>
      </xdr:pic>
      <xdr:pic>
        <xdr:nvPicPr>
          <xdr:cNvPr id="49" name="Picture 48">
            <a:extLst>
              <a:ext uri="{FF2B5EF4-FFF2-40B4-BE49-F238E27FC236}">
                <a16:creationId xmlns:a16="http://schemas.microsoft.com/office/drawing/2014/main" id="{B82BCB0B-B107-435C-834E-4322215D1C54}"/>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295650" y="3008167"/>
            <a:ext cx="3356889" cy="2520000"/>
          </a:xfrm>
          <a:prstGeom prst="rect">
            <a:avLst/>
          </a:prstGeom>
          <a:ln>
            <a:solidFill>
              <a:schemeClr val="tx1"/>
            </a:solidFill>
          </a:ln>
        </xdr:spPr>
      </xdr:pic>
      <xdr:pic>
        <xdr:nvPicPr>
          <xdr:cNvPr id="50" name="Picture 49">
            <a:extLst>
              <a:ext uri="{FF2B5EF4-FFF2-40B4-BE49-F238E27FC236}">
                <a16:creationId xmlns:a16="http://schemas.microsoft.com/office/drawing/2014/main" id="{09260A8A-A488-4242-8396-2361F69DB6DE}"/>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284394" y="5743784"/>
            <a:ext cx="2397778" cy="1800000"/>
          </a:xfrm>
          <a:prstGeom prst="rect">
            <a:avLst/>
          </a:prstGeom>
          <a:ln>
            <a:solidFill>
              <a:schemeClr val="tx1"/>
            </a:solidFill>
          </a:ln>
        </xdr:spPr>
      </xdr:pic>
      <xdr:pic>
        <xdr:nvPicPr>
          <xdr:cNvPr id="51" name="Picture 50">
            <a:extLst>
              <a:ext uri="{FF2B5EF4-FFF2-40B4-BE49-F238E27FC236}">
                <a16:creationId xmlns:a16="http://schemas.microsoft.com/office/drawing/2014/main" id="{8839B6F7-1BA1-4721-B514-6B31FC6E1C0C}"/>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295650" y="-87450"/>
            <a:ext cx="3836444" cy="2880000"/>
          </a:xfrm>
          <a:prstGeom prst="rect">
            <a:avLst/>
          </a:prstGeom>
          <a:ln>
            <a:solidFill>
              <a:schemeClr val="tx1"/>
            </a:solidFill>
          </a:ln>
        </xdr:spPr>
      </xdr:pic>
      <xdr:pic>
        <xdr:nvPicPr>
          <xdr:cNvPr id="52" name="Picture 51">
            <a:extLst>
              <a:ext uri="{FF2B5EF4-FFF2-40B4-BE49-F238E27FC236}">
                <a16:creationId xmlns:a16="http://schemas.microsoft.com/office/drawing/2014/main" id="{943CFB96-D30B-482A-A5EB-EA0955422ED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44345" y="3008167"/>
            <a:ext cx="3356889" cy="2520000"/>
          </a:xfrm>
          <a:prstGeom prst="rect">
            <a:avLst/>
          </a:prstGeom>
          <a:ln>
            <a:solidFill>
              <a:schemeClr val="tx1"/>
            </a:solidFill>
          </a:ln>
        </xdr:spPr>
      </xdr:pic>
      <xdr:pic>
        <xdr:nvPicPr>
          <xdr:cNvPr id="53" name="Picture 52">
            <a:extLst>
              <a:ext uri="{FF2B5EF4-FFF2-40B4-BE49-F238E27FC236}">
                <a16:creationId xmlns:a16="http://schemas.microsoft.com/office/drawing/2014/main" id="{CD0F8F89-35DD-4983-8623-5E36E579256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865278" y="5743784"/>
            <a:ext cx="1348594" cy="180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rainbowlife.co.in/" TargetMode="External"/><Relationship Id="rId7" Type="http://schemas.openxmlformats.org/officeDocument/2006/relationships/vmlDrawing" Target="../drawings/vmlDrawing2.vml"/><Relationship Id="rId2" Type="http://schemas.openxmlformats.org/officeDocument/2006/relationships/hyperlink" Target="https://rainbow-life.in/" TargetMode="External"/><Relationship Id="rId1" Type="http://schemas.openxmlformats.org/officeDocument/2006/relationships/hyperlink" Target="https://maps.app.goo.gl/v5AgMY63Y5CaDJSV6"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90"/>
  <sheetViews>
    <sheetView tabSelected="1" view="pageBreakPreview" topLeftCell="A10" zoomScale="85" zoomScaleNormal="85" zoomScaleSheetLayoutView="85" zoomScalePageLayoutView="70" workbookViewId="0">
      <selection activeCell="I15" sqref="I15"/>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09" t="s">
        <v>38</v>
      </c>
      <c r="B1" s="110"/>
      <c r="C1" s="110"/>
      <c r="D1" s="110"/>
      <c r="E1" s="110"/>
      <c r="F1" s="110"/>
      <c r="G1" s="110"/>
      <c r="H1" s="111"/>
    </row>
    <row r="2" spans="1:11" ht="42" customHeight="1" x14ac:dyDescent="0.25">
      <c r="A2" s="90" t="s">
        <v>10</v>
      </c>
      <c r="B2" s="90"/>
      <c r="C2" s="94" t="s">
        <v>87</v>
      </c>
      <c r="D2" s="94"/>
      <c r="E2" s="90" t="s">
        <v>12</v>
      </c>
      <c r="F2" s="90"/>
      <c r="G2" s="103">
        <v>45874</v>
      </c>
      <c r="H2" s="103"/>
      <c r="I2" s="186">
        <v>45800</v>
      </c>
      <c r="J2" s="187">
        <v>45875</v>
      </c>
      <c r="K2" s="105"/>
    </row>
    <row r="3" spans="1:11" ht="42.75" customHeight="1" x14ac:dyDescent="0.25">
      <c r="A3" s="90" t="s">
        <v>39</v>
      </c>
      <c r="B3" s="90"/>
      <c r="C3" s="94" t="s">
        <v>342</v>
      </c>
      <c r="D3" s="94"/>
      <c r="E3" s="90" t="s">
        <v>156</v>
      </c>
      <c r="F3" s="90"/>
      <c r="G3" s="104" t="s">
        <v>378</v>
      </c>
      <c r="H3" s="94"/>
      <c r="I3" s="1">
        <f>J2-I2</f>
        <v>75</v>
      </c>
    </row>
    <row r="4" spans="1:11" ht="43.5" customHeight="1" x14ac:dyDescent="0.25">
      <c r="A4" s="90" t="s">
        <v>36</v>
      </c>
      <c r="B4" s="90"/>
      <c r="C4" s="94" t="s">
        <v>379</v>
      </c>
      <c r="D4" s="94"/>
      <c r="E4" s="90" t="s">
        <v>33</v>
      </c>
      <c r="F4" s="90"/>
      <c r="G4" s="94" t="str">
        <f ca="1">TEXT(TODAY(),"DD/MM/YYYY")</f>
        <v>06/08/2025</v>
      </c>
      <c r="H4" s="94"/>
      <c r="I4" s="94" t="s">
        <v>344</v>
      </c>
      <c r="J4" s="94"/>
    </row>
    <row r="5" spans="1:11" ht="20.25" x14ac:dyDescent="0.25">
      <c r="A5" s="113" t="s">
        <v>40</v>
      </c>
      <c r="B5" s="113"/>
      <c r="C5" s="113"/>
      <c r="D5" s="113"/>
      <c r="E5" s="113"/>
      <c r="F5" s="113"/>
      <c r="G5" s="113"/>
      <c r="H5" s="113"/>
    </row>
    <row r="6" spans="1:11" ht="43.5" customHeight="1" x14ac:dyDescent="0.25">
      <c r="A6" s="90" t="s">
        <v>29</v>
      </c>
      <c r="B6" s="90"/>
      <c r="C6" s="94" t="s">
        <v>300</v>
      </c>
      <c r="D6" s="94"/>
      <c r="E6" s="90" t="s">
        <v>35</v>
      </c>
      <c r="F6" s="90"/>
      <c r="G6" s="94" t="s">
        <v>320</v>
      </c>
      <c r="H6" s="94"/>
    </row>
    <row r="7" spans="1:11" ht="23.25" customHeight="1" x14ac:dyDescent="0.25">
      <c r="A7" s="90" t="s">
        <v>42</v>
      </c>
      <c r="B7" s="90"/>
      <c r="C7" s="94" t="s">
        <v>299</v>
      </c>
      <c r="D7" s="94"/>
      <c r="E7" s="90" t="s">
        <v>43</v>
      </c>
      <c r="F7" s="90"/>
      <c r="G7" s="94" t="s">
        <v>299</v>
      </c>
      <c r="H7" s="94"/>
    </row>
    <row r="8" spans="1:11" ht="48.75" customHeight="1" x14ac:dyDescent="0.25">
      <c r="A8" s="90" t="s">
        <v>44</v>
      </c>
      <c r="B8" s="90"/>
      <c r="C8" s="94" t="s">
        <v>301</v>
      </c>
      <c r="D8" s="94"/>
      <c r="E8" s="94"/>
      <c r="F8" s="94"/>
      <c r="G8" s="94"/>
      <c r="H8" s="94"/>
    </row>
    <row r="9" spans="1:11" ht="45" customHeight="1" x14ac:dyDescent="0.25">
      <c r="A9" s="92" t="s">
        <v>147</v>
      </c>
      <c r="B9" s="32" t="s">
        <v>41</v>
      </c>
      <c r="C9" s="94" t="s">
        <v>302</v>
      </c>
      <c r="D9" s="94"/>
      <c r="E9" s="94"/>
      <c r="F9" s="94"/>
      <c r="G9" s="94"/>
      <c r="H9" s="94"/>
    </row>
    <row r="10" spans="1:11" ht="45.75" customHeight="1" x14ac:dyDescent="0.25">
      <c r="A10" s="92"/>
      <c r="B10" s="32" t="s">
        <v>11</v>
      </c>
      <c r="C10" s="94" t="s">
        <v>349</v>
      </c>
      <c r="D10" s="94"/>
      <c r="E10" s="94"/>
      <c r="F10" s="94"/>
      <c r="G10" s="94"/>
      <c r="H10" s="94"/>
    </row>
    <row r="11" spans="1:11" ht="42" customHeight="1" x14ac:dyDescent="0.25">
      <c r="A11" s="92"/>
      <c r="B11" s="32" t="s">
        <v>5</v>
      </c>
      <c r="C11" s="94" t="s">
        <v>376</v>
      </c>
      <c r="D11" s="94"/>
      <c r="E11" s="94"/>
      <c r="F11" s="94"/>
      <c r="G11" s="94"/>
      <c r="H11" s="94"/>
    </row>
    <row r="12" spans="1:11" ht="40.5" customHeight="1" x14ac:dyDescent="0.25">
      <c r="A12" s="90" t="s">
        <v>34</v>
      </c>
      <c r="B12" s="90"/>
      <c r="C12" s="94" t="s">
        <v>303</v>
      </c>
      <c r="D12" s="94"/>
      <c r="E12" s="94"/>
      <c r="F12" s="94"/>
      <c r="G12" s="94"/>
      <c r="H12" s="94"/>
    </row>
    <row r="13" spans="1:11" ht="20.100000000000001" customHeight="1" x14ac:dyDescent="0.25">
      <c r="A13" s="113" t="s">
        <v>45</v>
      </c>
      <c r="B13" s="113"/>
      <c r="C13" s="113"/>
      <c r="D13" s="113"/>
      <c r="E13" s="113"/>
      <c r="F13" s="113"/>
      <c r="G13" s="113"/>
      <c r="H13" s="113"/>
    </row>
    <row r="14" spans="1:11" ht="41.25" customHeight="1" x14ac:dyDescent="0.25">
      <c r="A14" s="90" t="s">
        <v>27</v>
      </c>
      <c r="B14" s="90" t="s">
        <v>4</v>
      </c>
      <c r="C14" s="94" t="s">
        <v>88</v>
      </c>
      <c r="D14" s="94"/>
      <c r="E14" s="90" t="s">
        <v>46</v>
      </c>
      <c r="F14" s="90" t="s">
        <v>4</v>
      </c>
      <c r="G14" s="94" t="s">
        <v>304</v>
      </c>
      <c r="H14" s="94"/>
    </row>
    <row r="15" spans="1:11" ht="41.25" customHeight="1" x14ac:dyDescent="0.25">
      <c r="A15" s="90" t="s">
        <v>47</v>
      </c>
      <c r="B15" s="90" t="s">
        <v>4</v>
      </c>
      <c r="C15" s="94" t="s">
        <v>305</v>
      </c>
      <c r="D15" s="94"/>
      <c r="E15" s="90" t="s">
        <v>48</v>
      </c>
      <c r="F15" s="90" t="s">
        <v>4</v>
      </c>
      <c r="G15" s="103">
        <v>47848</v>
      </c>
      <c r="H15" s="94"/>
    </row>
    <row r="16" spans="1:11" ht="41.25" customHeight="1" x14ac:dyDescent="0.25">
      <c r="A16" s="90" t="s">
        <v>49</v>
      </c>
      <c r="B16" s="90" t="s">
        <v>4</v>
      </c>
      <c r="C16" s="103">
        <v>45672</v>
      </c>
      <c r="D16" s="94"/>
      <c r="E16" s="90" t="s">
        <v>50</v>
      </c>
      <c r="F16" s="90" t="s">
        <v>4</v>
      </c>
      <c r="G16" s="157" t="s">
        <v>352</v>
      </c>
      <c r="H16" s="94"/>
    </row>
    <row r="17" spans="1:9" ht="41.25" customHeight="1" x14ac:dyDescent="0.25">
      <c r="A17" s="90" t="s">
        <v>51</v>
      </c>
      <c r="B17" s="90" t="s">
        <v>4</v>
      </c>
      <c r="C17" s="103">
        <v>47848</v>
      </c>
      <c r="D17" s="94"/>
      <c r="E17" s="90" t="s">
        <v>52</v>
      </c>
      <c r="F17" s="90" t="s">
        <v>4</v>
      </c>
      <c r="G17" s="94" t="s">
        <v>306</v>
      </c>
      <c r="H17" s="94"/>
    </row>
    <row r="18" spans="1:9" ht="41.25" customHeight="1" x14ac:dyDescent="0.25">
      <c r="A18" s="90" t="s">
        <v>53</v>
      </c>
      <c r="B18" s="90" t="s">
        <v>4</v>
      </c>
      <c r="C18" s="94"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4"/>
      <c r="E18" s="90" t="s">
        <v>94</v>
      </c>
      <c r="F18" s="90" t="s">
        <v>4</v>
      </c>
      <c r="G18" s="94">
        <v>5000</v>
      </c>
      <c r="H18" s="94"/>
    </row>
    <row r="19" spans="1:9" ht="41.25" customHeight="1" x14ac:dyDescent="0.25">
      <c r="A19" s="90" t="s">
        <v>54</v>
      </c>
      <c r="B19" s="90" t="s">
        <v>4</v>
      </c>
      <c r="C19" s="102">
        <f>3925.32/G19</f>
        <v>1.100000840696433</v>
      </c>
      <c r="D19" s="102"/>
      <c r="E19" s="90" t="s">
        <v>239</v>
      </c>
      <c r="F19" s="90" t="s">
        <v>4</v>
      </c>
      <c r="G19" s="94">
        <v>3568.47</v>
      </c>
      <c r="H19" s="94"/>
    </row>
    <row r="20" spans="1:9" ht="41.25" customHeight="1" x14ac:dyDescent="0.25">
      <c r="A20" s="90" t="s">
        <v>92</v>
      </c>
      <c r="B20" s="90" t="s">
        <v>4</v>
      </c>
      <c r="C20" s="94">
        <v>15020.62</v>
      </c>
      <c r="D20" s="94"/>
      <c r="E20" s="90" t="s">
        <v>93</v>
      </c>
      <c r="F20" s="90" t="s">
        <v>4</v>
      </c>
      <c r="G20" s="94">
        <v>14984.55</v>
      </c>
      <c r="H20" s="94"/>
    </row>
    <row r="21" spans="1:9" ht="67.150000000000006" customHeight="1" x14ac:dyDescent="0.25">
      <c r="A21" s="90" t="s">
        <v>56</v>
      </c>
      <c r="B21" s="90" t="s">
        <v>4</v>
      </c>
      <c r="C21" s="94" t="s">
        <v>372</v>
      </c>
      <c r="D21" s="94"/>
      <c r="E21" s="90" t="s">
        <v>55</v>
      </c>
      <c r="F21" s="90" t="s">
        <v>4</v>
      </c>
      <c r="G21" s="94" t="s">
        <v>371</v>
      </c>
      <c r="H21" s="94"/>
    </row>
    <row r="22" spans="1:9" ht="41.25" customHeight="1" x14ac:dyDescent="0.25">
      <c r="A22" s="90" t="s">
        <v>160</v>
      </c>
      <c r="B22" s="90" t="s">
        <v>4</v>
      </c>
      <c r="C22" s="94" t="s">
        <v>350</v>
      </c>
      <c r="D22" s="94"/>
      <c r="E22" s="90" t="s">
        <v>161</v>
      </c>
      <c r="F22" s="90" t="s">
        <v>4</v>
      </c>
      <c r="G22" s="94" t="s">
        <v>307</v>
      </c>
      <c r="H22" s="94"/>
    </row>
    <row r="23" spans="1:9" ht="21.6" customHeight="1" x14ac:dyDescent="0.25">
      <c r="A23" s="90" t="s">
        <v>158</v>
      </c>
      <c r="B23" s="90" t="s">
        <v>4</v>
      </c>
      <c r="C23" s="100" t="s">
        <v>308</v>
      </c>
      <c r="D23" s="101"/>
      <c r="E23" s="101"/>
      <c r="F23" s="101"/>
      <c r="G23" s="101"/>
      <c r="H23" s="101"/>
    </row>
    <row r="24" spans="1:9" ht="63.75" customHeight="1" x14ac:dyDescent="0.25">
      <c r="A24" s="90" t="s">
        <v>25</v>
      </c>
      <c r="B24" s="90" t="s">
        <v>4</v>
      </c>
      <c r="C24" s="94" t="s">
        <v>309</v>
      </c>
      <c r="D24" s="94"/>
      <c r="E24" s="94"/>
      <c r="F24" s="94"/>
      <c r="G24" s="94"/>
      <c r="H24" s="94"/>
      <c r="I24" s="69" t="s">
        <v>310</v>
      </c>
    </row>
    <row r="25" spans="1:9" ht="24" customHeight="1" x14ac:dyDescent="0.25">
      <c r="A25" s="113" t="s">
        <v>20</v>
      </c>
      <c r="B25" s="113"/>
      <c r="C25" s="113"/>
      <c r="D25" s="113"/>
      <c r="E25" s="113"/>
      <c r="F25" s="113"/>
      <c r="G25" s="113"/>
      <c r="H25" s="113"/>
    </row>
    <row r="26" spans="1:9" ht="43.5" customHeight="1" x14ac:dyDescent="0.25">
      <c r="A26" s="90" t="s">
        <v>26</v>
      </c>
      <c r="B26" s="90" t="s">
        <v>4</v>
      </c>
      <c r="C26" s="94" t="str">
        <f>IF(AND(G26="Upper"),"Developed","Developing")</f>
        <v>Developing</v>
      </c>
      <c r="D26" s="94"/>
      <c r="E26" s="90" t="s">
        <v>13</v>
      </c>
      <c r="F26" s="90" t="s">
        <v>4</v>
      </c>
      <c r="G26" s="94" t="s">
        <v>162</v>
      </c>
      <c r="H26" s="94"/>
    </row>
    <row r="27" spans="1:9" ht="43.5" customHeight="1" x14ac:dyDescent="0.25">
      <c r="A27" s="90" t="s">
        <v>14</v>
      </c>
      <c r="B27" s="90" t="s">
        <v>4</v>
      </c>
      <c r="C27" s="94" t="s">
        <v>97</v>
      </c>
      <c r="D27" s="94"/>
      <c r="E27" s="90" t="s">
        <v>148</v>
      </c>
      <c r="F27" s="90" t="s">
        <v>4</v>
      </c>
      <c r="G27" s="94" t="s">
        <v>353</v>
      </c>
      <c r="H27" s="94"/>
    </row>
    <row r="28" spans="1:9" ht="43.5" customHeight="1" x14ac:dyDescent="0.25">
      <c r="A28" s="90" t="s">
        <v>23</v>
      </c>
      <c r="B28" s="90" t="s">
        <v>4</v>
      </c>
      <c r="C28" s="94" t="s">
        <v>96</v>
      </c>
      <c r="D28" s="94"/>
      <c r="E28" s="90" t="s">
        <v>16</v>
      </c>
      <c r="F28" s="90" t="s">
        <v>4</v>
      </c>
      <c r="G28" s="94" t="s">
        <v>312</v>
      </c>
      <c r="H28" s="94"/>
    </row>
    <row r="29" spans="1:9" ht="43.5" customHeight="1" x14ac:dyDescent="0.25">
      <c r="A29" s="90" t="s">
        <v>106</v>
      </c>
      <c r="B29" s="90" t="s">
        <v>4</v>
      </c>
      <c r="C29" s="94" t="s">
        <v>311</v>
      </c>
      <c r="D29" s="94"/>
      <c r="E29" s="90" t="s">
        <v>107</v>
      </c>
      <c r="F29" s="90" t="s">
        <v>4</v>
      </c>
      <c r="G29" s="94" t="s">
        <v>313</v>
      </c>
      <c r="H29" s="94"/>
    </row>
    <row r="30" spans="1:9" ht="104.25" customHeight="1" x14ac:dyDescent="0.25">
      <c r="A30" s="90" t="s">
        <v>17</v>
      </c>
      <c r="B30" s="90" t="s">
        <v>4</v>
      </c>
      <c r="C30" s="94" t="s">
        <v>314</v>
      </c>
      <c r="D30" s="94"/>
      <c r="E30" s="90" t="s">
        <v>15</v>
      </c>
      <c r="F30" s="90" t="s">
        <v>4</v>
      </c>
      <c r="G30" s="94" t="s">
        <v>373</v>
      </c>
      <c r="H30" s="94"/>
    </row>
    <row r="31" spans="1:9" ht="20.25" x14ac:dyDescent="0.25">
      <c r="A31" s="90" t="s">
        <v>112</v>
      </c>
      <c r="B31" s="90" t="s">
        <v>4</v>
      </c>
      <c r="C31" s="94" t="s">
        <v>113</v>
      </c>
      <c r="D31" s="94"/>
      <c r="E31" s="90" t="s">
        <v>114</v>
      </c>
      <c r="F31" s="90" t="s">
        <v>4</v>
      </c>
      <c r="G31" s="94" t="s">
        <v>113</v>
      </c>
      <c r="H31" s="94"/>
    </row>
    <row r="32" spans="1:9" ht="21.75" customHeight="1" x14ac:dyDescent="0.25">
      <c r="A32" s="90" t="s">
        <v>115</v>
      </c>
      <c r="B32" s="90" t="s">
        <v>4</v>
      </c>
      <c r="C32" s="94" t="s">
        <v>113</v>
      </c>
      <c r="D32" s="94"/>
      <c r="E32" s="94"/>
      <c r="F32" s="94"/>
      <c r="G32" s="94"/>
      <c r="H32" s="94"/>
    </row>
    <row r="33" spans="1:15" ht="20.25" x14ac:dyDescent="0.25">
      <c r="A33" s="114" t="s">
        <v>37</v>
      </c>
      <c r="B33" s="114"/>
      <c r="C33" s="114"/>
      <c r="D33" s="114"/>
      <c r="E33" s="114"/>
      <c r="F33" s="114"/>
      <c r="G33" s="114"/>
      <c r="H33" s="114"/>
    </row>
    <row r="34" spans="1:15" ht="43.5" customHeight="1" x14ac:dyDescent="0.25">
      <c r="A34" s="90" t="s">
        <v>18</v>
      </c>
      <c r="B34" s="90"/>
      <c r="C34" s="94" t="s">
        <v>98</v>
      </c>
      <c r="D34" s="94"/>
      <c r="E34" s="90" t="s">
        <v>19</v>
      </c>
      <c r="F34" s="90" t="s">
        <v>4</v>
      </c>
      <c r="G34" s="94" t="s">
        <v>99</v>
      </c>
      <c r="H34" s="94"/>
    </row>
    <row r="35" spans="1:15" ht="43.5" customHeight="1" x14ac:dyDescent="0.25">
      <c r="A35" s="90" t="s">
        <v>22</v>
      </c>
      <c r="B35" s="90"/>
      <c r="C35" s="94" t="s">
        <v>99</v>
      </c>
      <c r="D35" s="94"/>
      <c r="E35" s="90" t="s">
        <v>32</v>
      </c>
      <c r="F35" s="90" t="s">
        <v>4</v>
      </c>
      <c r="G35" s="94" t="s">
        <v>99</v>
      </c>
      <c r="H35" s="94"/>
    </row>
    <row r="36" spans="1:15" ht="20.25" x14ac:dyDescent="0.25">
      <c r="A36" s="90" t="s">
        <v>31</v>
      </c>
      <c r="B36" s="90"/>
      <c r="C36" s="94" t="s">
        <v>100</v>
      </c>
      <c r="D36" s="94"/>
      <c r="E36" s="90" t="s">
        <v>21</v>
      </c>
      <c r="F36" s="90" t="s">
        <v>4</v>
      </c>
      <c r="G36" s="94" t="s">
        <v>101</v>
      </c>
      <c r="H36" s="94"/>
    </row>
    <row r="37" spans="1:15" ht="20.25" x14ac:dyDescent="0.25">
      <c r="A37" s="113" t="s">
        <v>0</v>
      </c>
      <c r="B37" s="113"/>
      <c r="C37" s="113"/>
      <c r="D37" s="113"/>
      <c r="E37" s="113"/>
      <c r="F37" s="113"/>
      <c r="G37" s="113"/>
      <c r="H37" s="113"/>
    </row>
    <row r="38" spans="1:15" ht="20.25" x14ac:dyDescent="0.25">
      <c r="A38" s="91" t="s">
        <v>0</v>
      </c>
      <c r="B38" s="91"/>
      <c r="C38" s="91" t="s">
        <v>227</v>
      </c>
      <c r="D38" s="91"/>
      <c r="E38" s="91"/>
      <c r="F38" s="91" t="s">
        <v>7</v>
      </c>
      <c r="G38" s="91"/>
      <c r="H38" s="91"/>
      <c r="J38" s="98" t="s">
        <v>1</v>
      </c>
      <c r="K38" s="99"/>
      <c r="L38" s="2" t="s">
        <v>6</v>
      </c>
      <c r="M38" s="98" t="s">
        <v>2</v>
      </c>
      <c r="N38" s="99"/>
      <c r="O38" s="2" t="s">
        <v>3</v>
      </c>
    </row>
    <row r="39" spans="1:15" ht="20.25" x14ac:dyDescent="0.25">
      <c r="A39" s="92" t="s">
        <v>2</v>
      </c>
      <c r="B39" s="92"/>
      <c r="C39" s="93" t="s">
        <v>317</v>
      </c>
      <c r="D39" s="93"/>
      <c r="E39" s="93"/>
      <c r="F39" s="93" t="s">
        <v>319</v>
      </c>
      <c r="G39" s="93"/>
      <c r="H39" s="93"/>
    </row>
    <row r="40" spans="1:15" ht="20.25" x14ac:dyDescent="0.25">
      <c r="A40" s="92" t="s">
        <v>3</v>
      </c>
      <c r="B40" s="92"/>
      <c r="C40" s="93" t="s">
        <v>315</v>
      </c>
      <c r="D40" s="93"/>
      <c r="E40" s="93"/>
      <c r="F40" s="93" t="s">
        <v>318</v>
      </c>
      <c r="G40" s="93"/>
      <c r="H40" s="93"/>
    </row>
    <row r="41" spans="1:15" ht="21" customHeight="1" x14ac:dyDescent="0.25">
      <c r="A41" s="92" t="s">
        <v>1</v>
      </c>
      <c r="B41" s="92"/>
      <c r="C41" s="93" t="s">
        <v>316</v>
      </c>
      <c r="D41" s="93"/>
      <c r="E41" s="93"/>
      <c r="F41" s="93" t="s">
        <v>355</v>
      </c>
      <c r="G41" s="93"/>
      <c r="H41" s="93"/>
    </row>
    <row r="42" spans="1:15" ht="20.25" x14ac:dyDescent="0.25">
      <c r="A42" s="92" t="s">
        <v>6</v>
      </c>
      <c r="B42" s="92"/>
      <c r="C42" s="93" t="s">
        <v>315</v>
      </c>
      <c r="D42" s="93"/>
      <c r="E42" s="93"/>
      <c r="F42" s="93" t="s">
        <v>318</v>
      </c>
      <c r="G42" s="93"/>
      <c r="H42" s="93"/>
    </row>
    <row r="43" spans="1:15" ht="51" customHeight="1" x14ac:dyDescent="0.25">
      <c r="A43" s="90" t="s">
        <v>228</v>
      </c>
      <c r="B43" s="90"/>
      <c r="C43" s="94" t="s">
        <v>96</v>
      </c>
      <c r="D43" s="94"/>
      <c r="E43" s="94"/>
      <c r="F43" s="94"/>
      <c r="G43" s="94"/>
      <c r="H43" s="94"/>
    </row>
    <row r="44" spans="1:15" ht="20.25" x14ac:dyDescent="0.25">
      <c r="A44" s="113" t="s">
        <v>57</v>
      </c>
      <c r="B44" s="113"/>
      <c r="C44" s="113"/>
      <c r="D44" s="113"/>
      <c r="E44" s="113"/>
      <c r="F44" s="113"/>
      <c r="G44" s="113"/>
      <c r="H44" s="113"/>
    </row>
    <row r="45" spans="1:15" ht="21" customHeight="1" x14ac:dyDescent="0.25">
      <c r="A45" s="91" t="s">
        <v>58</v>
      </c>
      <c r="B45" s="91"/>
      <c r="C45" s="2" t="s">
        <v>59</v>
      </c>
      <c r="D45" s="91" t="s">
        <v>146</v>
      </c>
      <c r="E45" s="91"/>
      <c r="F45" s="91"/>
      <c r="G45" s="91" t="s">
        <v>60</v>
      </c>
      <c r="H45" s="91"/>
      <c r="I45" s="69" t="s">
        <v>348</v>
      </c>
    </row>
    <row r="46" spans="1:15" ht="20.25" x14ac:dyDescent="0.25">
      <c r="A46" s="164" t="s">
        <v>354</v>
      </c>
      <c r="B46" s="164"/>
      <c r="C46" s="31" t="s">
        <v>95</v>
      </c>
      <c r="D46" s="94" t="s">
        <v>356</v>
      </c>
      <c r="E46" s="94"/>
      <c r="F46" s="94"/>
      <c r="G46" s="94" t="s">
        <v>321</v>
      </c>
      <c r="H46" s="94"/>
      <c r="I46" s="72" t="s">
        <v>347</v>
      </c>
    </row>
    <row r="47" spans="1:15" ht="20.25" x14ac:dyDescent="0.25">
      <c r="A47" s="113" t="s">
        <v>61</v>
      </c>
      <c r="B47" s="113"/>
      <c r="C47" s="113"/>
      <c r="D47" s="113"/>
      <c r="E47" s="113"/>
      <c r="F47" s="113"/>
      <c r="G47" s="113"/>
      <c r="H47" s="113"/>
    </row>
    <row r="48" spans="1:15" ht="42.75" customHeight="1" x14ac:dyDescent="0.25">
      <c r="A48" s="90" t="s">
        <v>62</v>
      </c>
      <c r="B48" s="90" t="s">
        <v>4</v>
      </c>
      <c r="C48" s="94" t="s">
        <v>96</v>
      </c>
      <c r="D48" s="94"/>
      <c r="E48" s="94"/>
      <c r="F48" s="94"/>
      <c r="G48" s="94"/>
      <c r="H48" s="94"/>
    </row>
    <row r="49" spans="1:10" ht="44.25" customHeight="1" x14ac:dyDescent="0.25">
      <c r="A49" s="90" t="s">
        <v>63</v>
      </c>
      <c r="B49" s="90" t="s">
        <v>4</v>
      </c>
      <c r="C49" s="94" t="s">
        <v>357</v>
      </c>
      <c r="D49" s="94"/>
      <c r="E49" s="94"/>
      <c r="F49" s="94"/>
      <c r="G49" s="48" t="s">
        <v>229</v>
      </c>
      <c r="H49" s="70">
        <v>45509</v>
      </c>
    </row>
    <row r="50" spans="1:10" ht="44.25" customHeight="1" x14ac:dyDescent="0.25">
      <c r="A50" s="90" t="s">
        <v>64</v>
      </c>
      <c r="B50" s="90" t="s">
        <v>4</v>
      </c>
      <c r="C50" s="94" t="s">
        <v>357</v>
      </c>
      <c r="D50" s="94"/>
      <c r="E50" s="94"/>
      <c r="F50" s="94"/>
      <c r="G50" s="48" t="s">
        <v>229</v>
      </c>
      <c r="H50" s="70">
        <v>45509</v>
      </c>
    </row>
    <row r="51" spans="1:10" ht="20.25" x14ac:dyDescent="0.25">
      <c r="A51" s="90" t="s">
        <v>323</v>
      </c>
      <c r="B51" s="90"/>
      <c r="C51" s="94" t="s">
        <v>322</v>
      </c>
      <c r="D51" s="94"/>
      <c r="E51" s="94"/>
      <c r="F51" s="94"/>
      <c r="G51" s="48" t="s">
        <v>229</v>
      </c>
      <c r="H51" s="70">
        <v>45509</v>
      </c>
    </row>
    <row r="52" spans="1:10" ht="52.5" customHeight="1" x14ac:dyDescent="0.25">
      <c r="A52" s="90"/>
      <c r="B52" s="90"/>
      <c r="C52" s="95" t="s">
        <v>358</v>
      </c>
      <c r="D52" s="96"/>
      <c r="E52" s="96"/>
      <c r="F52" s="96"/>
      <c r="G52" s="96"/>
      <c r="H52" s="97"/>
    </row>
    <row r="53" spans="1:10" ht="46.5" hidden="1" customHeight="1" x14ac:dyDescent="0.25">
      <c r="A53" s="90" t="s">
        <v>65</v>
      </c>
      <c r="B53" s="90" t="s">
        <v>4</v>
      </c>
      <c r="C53" s="94"/>
      <c r="D53" s="94"/>
      <c r="E53" s="94"/>
      <c r="F53" s="94"/>
      <c r="G53" s="48" t="s">
        <v>230</v>
      </c>
      <c r="H53" s="33"/>
    </row>
    <row r="54" spans="1:10" ht="22.15" customHeight="1" x14ac:dyDescent="0.25">
      <c r="A54" s="139" t="s">
        <v>326</v>
      </c>
      <c r="B54" s="141"/>
      <c r="C54" s="94" t="s">
        <v>359</v>
      </c>
      <c r="D54" s="94"/>
      <c r="E54" s="94"/>
      <c r="F54" s="94"/>
      <c r="G54" s="48" t="s">
        <v>230</v>
      </c>
      <c r="H54" s="70">
        <v>45503</v>
      </c>
    </row>
    <row r="55" spans="1:10" ht="20.25" x14ac:dyDescent="0.25">
      <c r="A55" s="145"/>
      <c r="B55" s="147"/>
      <c r="C55" s="95" t="s">
        <v>327</v>
      </c>
      <c r="D55" s="96"/>
      <c r="E55" s="96"/>
      <c r="F55" s="96"/>
      <c r="G55" s="96"/>
      <c r="H55" s="97"/>
    </row>
    <row r="56" spans="1:10" ht="45" hidden="1" customHeight="1" x14ac:dyDescent="0.25">
      <c r="A56" s="90" t="s">
        <v>67</v>
      </c>
      <c r="B56" s="90" t="s">
        <v>4</v>
      </c>
      <c r="C56" s="94"/>
      <c r="D56" s="94"/>
      <c r="E56" s="94"/>
      <c r="F56" s="94"/>
      <c r="G56" s="48" t="s">
        <v>230</v>
      </c>
      <c r="H56" s="33"/>
    </row>
    <row r="57" spans="1:10" ht="19.899999999999999" customHeight="1" x14ac:dyDescent="0.25">
      <c r="A57" s="139" t="s">
        <v>66</v>
      </c>
      <c r="B57" s="141"/>
      <c r="C57" s="94" t="s">
        <v>325</v>
      </c>
      <c r="D57" s="94"/>
      <c r="E57" s="94"/>
      <c r="F57" s="94"/>
      <c r="G57" s="48" t="s">
        <v>230</v>
      </c>
      <c r="H57" s="70">
        <v>45397</v>
      </c>
    </row>
    <row r="58" spans="1:10" ht="46.5" customHeight="1" x14ac:dyDescent="0.25">
      <c r="A58" s="145"/>
      <c r="B58" s="147"/>
      <c r="C58" s="94" t="s">
        <v>377</v>
      </c>
      <c r="D58" s="94"/>
      <c r="E58" s="94"/>
      <c r="F58" s="94"/>
      <c r="G58" s="48" t="s">
        <v>324</v>
      </c>
      <c r="H58" s="70">
        <v>48317</v>
      </c>
      <c r="I58" s="1">
        <f>142.63-12.63</f>
        <v>130</v>
      </c>
    </row>
    <row r="59" spans="1:10" ht="45" hidden="1" customHeight="1" x14ac:dyDescent="0.25">
      <c r="A59" s="90" t="s">
        <v>68</v>
      </c>
      <c r="B59" s="90" t="s">
        <v>4</v>
      </c>
      <c r="C59" s="94"/>
      <c r="D59" s="94"/>
      <c r="E59" s="94"/>
      <c r="F59" s="94"/>
      <c r="G59" s="48" t="s">
        <v>230</v>
      </c>
      <c r="H59" s="33"/>
    </row>
    <row r="60" spans="1:10" ht="21" thickBot="1" x14ac:dyDescent="0.3">
      <c r="A60" s="113" t="s">
        <v>69</v>
      </c>
      <c r="B60" s="113"/>
      <c r="C60" s="113"/>
      <c r="D60" s="113"/>
      <c r="E60" s="113"/>
      <c r="F60" s="113"/>
      <c r="G60" s="113"/>
      <c r="H60" s="113"/>
    </row>
    <row r="61" spans="1:10" ht="20.25" customHeight="1" x14ac:dyDescent="0.3">
      <c r="A61" s="163" t="str">
        <f>CONCATENATE((IF(OR(A46="",A46="NA"),"",A46)),"= ",(IF(OR(D46="",D46="NA"),"",D46)),".")</f>
        <v>Building = G + 1st to 36th Floor.</v>
      </c>
      <c r="B61" s="163"/>
      <c r="C61" s="163"/>
      <c r="D61" s="27" t="s">
        <v>116</v>
      </c>
      <c r="E61" s="162" t="s">
        <v>103</v>
      </c>
      <c r="F61" s="162"/>
      <c r="G61" s="27" t="s">
        <v>117</v>
      </c>
      <c r="H61" s="27" t="s">
        <v>118</v>
      </c>
      <c r="I61" s="13"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Work not yet Started.</v>
      </c>
      <c r="J61" s="15"/>
    </row>
    <row r="62" spans="1:10" ht="20.25" x14ac:dyDescent="0.3">
      <c r="A62" s="163"/>
      <c r="B62" s="163"/>
      <c r="C62" s="163"/>
      <c r="D62" s="27">
        <f>IF(AND(ISNUMBER(SEARCH("1B",A61))),1,IF(AND(ISNUMBER(SEARCH("2B",A61))),2,IF(AND(ISNUMBER(SEARCH("3B",A61))),3,IF(AND(ISNUMBER(SEARCH("4B",A61))),4,IF(ISNUMBER(SEARCH("5B",A61)),5,0)))))</f>
        <v>0</v>
      </c>
      <c r="E62" s="162">
        <v>1</v>
      </c>
      <c r="F62" s="162"/>
      <c r="G62" s="27">
        <v>0</v>
      </c>
      <c r="H62" s="27">
        <f ca="1">--TRIM(RIGHT(SUBSTITUTE(LEFT(A61,_xlfn.AGGREGATE(16,6,FIND({0,1,2,3,4,5,6,7,8,9},A61,ROW(INDIRECT("1:"&amp;LEN(A61)))),1))," ",REPT(" ",LEN(A61))),LEN(A61)))</f>
        <v>36</v>
      </c>
      <c r="I62" s="14" t="s">
        <v>122</v>
      </c>
      <c r="J62" s="15"/>
    </row>
    <row r="63" spans="1:10" ht="20.25" customHeight="1" x14ac:dyDescent="0.3">
      <c r="A63" s="161" t="s">
        <v>120</v>
      </c>
      <c r="B63" s="161"/>
      <c r="C63" s="25" t="s">
        <v>130</v>
      </c>
      <c r="D63" s="25" t="s">
        <v>131</v>
      </c>
      <c r="E63" s="161" t="s">
        <v>121</v>
      </c>
      <c r="F63" s="161"/>
      <c r="G63" s="26" t="s">
        <v>119</v>
      </c>
      <c r="H63" s="26"/>
      <c r="I63" s="17" t="s">
        <v>132</v>
      </c>
      <c r="J63" s="16">
        <f ca="1">H62*25%</f>
        <v>9</v>
      </c>
    </row>
    <row r="64" spans="1:10" ht="20.25" customHeight="1" x14ac:dyDescent="0.3">
      <c r="A64" s="106" t="s">
        <v>133</v>
      </c>
      <c r="B64" s="106"/>
      <c r="C64" s="29">
        <f>J71</f>
        <v>0</v>
      </c>
      <c r="D64" s="5">
        <f ca="1">((100/H62)*C64)/100</f>
        <v>0</v>
      </c>
      <c r="E64" s="129">
        <f ca="1">(((C64/H62*10)+(C65/H62*15)+(25/(E62+G62+H62)*C66)+(5/(H62)*C67)+(2.5/(H62)*C68)+(2.5/(H62)*C69)+(5/H62*C70)+(10/H62*C71)+(2.5/H62*C72)+(2.5/H62*C73)+(10/H62*C74)+(10/H62*C75))/100)</f>
        <v>0</v>
      </c>
      <c r="F64" s="130"/>
      <c r="G64" s="106" t="str">
        <f ca="1">I61</f>
        <v>Work not yet Started.</v>
      </c>
      <c r="H64" s="106"/>
      <c r="I64" s="17" t="s">
        <v>123</v>
      </c>
      <c r="J64" s="21">
        <f ca="1">H62*50%</f>
        <v>18</v>
      </c>
    </row>
    <row r="65" spans="1:11" ht="20.25" x14ac:dyDescent="0.3">
      <c r="A65" s="106" t="s">
        <v>104</v>
      </c>
      <c r="B65" s="106"/>
      <c r="C65" s="29">
        <f>J71</f>
        <v>0</v>
      </c>
      <c r="D65" s="5">
        <f ca="1">((100/H62)*C65)/100</f>
        <v>0</v>
      </c>
      <c r="E65" s="131"/>
      <c r="F65" s="132"/>
      <c r="G65" s="106"/>
      <c r="H65" s="106"/>
      <c r="I65" s="17" t="s">
        <v>124</v>
      </c>
      <c r="J65" s="21">
        <f ca="1">H62</f>
        <v>36</v>
      </c>
    </row>
    <row r="66" spans="1:11" ht="21" customHeight="1" x14ac:dyDescent="0.35">
      <c r="A66" s="106" t="s">
        <v>134</v>
      </c>
      <c r="B66" s="106"/>
      <c r="C66" s="27">
        <v>0</v>
      </c>
      <c r="D66" s="5">
        <f ca="1">((100/(E62+G62+H62))*C66)/100</f>
        <v>0</v>
      </c>
      <c r="E66" s="131"/>
      <c r="F66" s="132"/>
      <c r="G66" s="106"/>
      <c r="H66" s="106"/>
      <c r="I66" s="17" t="s">
        <v>125</v>
      </c>
      <c r="J66" s="22">
        <f ca="1">(IF(D62&gt;1,(H62/(D62+2)),H62*0.2))</f>
        <v>7.2</v>
      </c>
    </row>
    <row r="67" spans="1:11" ht="21" customHeight="1" x14ac:dyDescent="0.35">
      <c r="A67" s="106" t="s">
        <v>135</v>
      </c>
      <c r="B67" s="106"/>
      <c r="C67" s="27">
        <v>0</v>
      </c>
      <c r="D67" s="5">
        <f ca="1">((100/H62)*C67)/100</f>
        <v>0</v>
      </c>
      <c r="E67" s="131"/>
      <c r="F67" s="132"/>
      <c r="G67" s="106"/>
      <c r="H67" s="106"/>
      <c r="I67" s="17" t="s">
        <v>126</v>
      </c>
      <c r="J67" s="22">
        <f ca="1">(IF(D62&gt;1,(H62/(D62+2)+J66),H62*0.2+J66))</f>
        <v>14.4</v>
      </c>
    </row>
    <row r="68" spans="1:11" ht="21" customHeight="1" x14ac:dyDescent="0.35">
      <c r="A68" s="117" t="s">
        <v>136</v>
      </c>
      <c r="B68" s="118"/>
      <c r="C68" s="27">
        <v>0</v>
      </c>
      <c r="D68" s="5">
        <f ca="1">((100/H62)*C68)/100</f>
        <v>0</v>
      </c>
      <c r="E68" s="131"/>
      <c r="F68" s="132"/>
      <c r="G68" s="106"/>
      <c r="H68" s="106"/>
      <c r="I68" s="17" t="s">
        <v>137</v>
      </c>
      <c r="J68" s="22">
        <f>(IF(D62&gt;1,(H62/(D62+2)+J67),0))</f>
        <v>0</v>
      </c>
    </row>
    <row r="69" spans="1:11" ht="21" customHeight="1" x14ac:dyDescent="0.35">
      <c r="A69" s="117" t="s">
        <v>168</v>
      </c>
      <c r="B69" s="118"/>
      <c r="C69" s="27">
        <v>0</v>
      </c>
      <c r="D69" s="5">
        <f ca="1">((100/H62)*C69)/100</f>
        <v>0</v>
      </c>
      <c r="E69" s="131"/>
      <c r="F69" s="132"/>
      <c r="G69" s="106"/>
      <c r="H69" s="106"/>
      <c r="I69" s="17" t="s">
        <v>138</v>
      </c>
      <c r="J69" s="22">
        <f>(IF(D62&gt;2,(H62/(D62+2)+J68),0))</f>
        <v>0</v>
      </c>
    </row>
    <row r="70" spans="1:11" ht="21" x14ac:dyDescent="0.35">
      <c r="A70" s="117" t="s">
        <v>165</v>
      </c>
      <c r="B70" s="118"/>
      <c r="C70" s="27">
        <v>0</v>
      </c>
      <c r="D70" s="5">
        <f ca="1">((100/(H62))*C70)/100</f>
        <v>0</v>
      </c>
      <c r="E70" s="131"/>
      <c r="F70" s="132"/>
      <c r="G70" s="106"/>
      <c r="H70" s="106"/>
      <c r="I70" s="17" t="s">
        <v>140</v>
      </c>
      <c r="J70" s="23">
        <f>(IF(D62&gt;3,(H62/(D62+2)+J69),0))</f>
        <v>0</v>
      </c>
    </row>
    <row r="71" spans="1:11" ht="21" x14ac:dyDescent="0.35">
      <c r="A71" s="106" t="s">
        <v>139</v>
      </c>
      <c r="B71" s="106"/>
      <c r="C71" s="27">
        <v>0</v>
      </c>
      <c r="D71" s="5">
        <f ca="1">((100/(H62))*C71)/100</f>
        <v>0</v>
      </c>
      <c r="E71" s="131"/>
      <c r="F71" s="132"/>
      <c r="G71" s="106"/>
      <c r="H71" s="106"/>
      <c r="I71" s="17" t="s">
        <v>141</v>
      </c>
      <c r="J71" s="22">
        <f>(IF(D62&gt;4,(H62/(D62+2)+J70),0))</f>
        <v>0</v>
      </c>
    </row>
    <row r="72" spans="1:11" ht="21" customHeight="1" x14ac:dyDescent="0.35">
      <c r="A72" s="106" t="s">
        <v>167</v>
      </c>
      <c r="B72" s="106"/>
      <c r="C72" s="27">
        <v>0</v>
      </c>
      <c r="D72" s="5">
        <f ca="1">((100/H62)*C72)/100</f>
        <v>0</v>
      </c>
      <c r="E72" s="131"/>
      <c r="F72" s="132"/>
      <c r="G72" s="106"/>
      <c r="H72" s="106"/>
      <c r="I72" s="17" t="s">
        <v>127</v>
      </c>
      <c r="J72" s="22">
        <f ca="1">(IF(D62=1,(H62/(D62+3)+J67),IF(D62=0,(H62*0.3+J67),IF(D62&gt;1,0))))</f>
        <v>25.2</v>
      </c>
    </row>
    <row r="73" spans="1:11" ht="21.75" thickBot="1" x14ac:dyDescent="0.4">
      <c r="A73" s="106" t="s">
        <v>166</v>
      </c>
      <c r="B73" s="106"/>
      <c r="C73" s="27">
        <v>0</v>
      </c>
      <c r="D73" s="5">
        <f ca="1">((100/H62)*C73)/100</f>
        <v>0</v>
      </c>
      <c r="E73" s="131"/>
      <c r="F73" s="132"/>
      <c r="G73" s="106"/>
      <c r="H73" s="106"/>
      <c r="I73" s="19" t="s">
        <v>128</v>
      </c>
      <c r="J73" s="24">
        <f ca="1">(IF(D62&gt;1.5,(H62/(D62+2)+J67+MAX(0,J68-J67)+MAX(0,J69-J68)+MAX(0,J70-J69)+MAX(0,J71-J70)+MAX(0,J72-J71)),IF(D62=1,(H62/(D62+3)+J72),IF(D62=0,H62*0.3+J72))))</f>
        <v>36</v>
      </c>
    </row>
    <row r="74" spans="1:11" ht="20.25" x14ac:dyDescent="0.25">
      <c r="A74" s="106" t="s">
        <v>142</v>
      </c>
      <c r="B74" s="106"/>
      <c r="C74" s="27">
        <v>0</v>
      </c>
      <c r="D74" s="5">
        <f ca="1">((100/(H62))*C74)/100</f>
        <v>0</v>
      </c>
      <c r="E74" s="131"/>
      <c r="F74" s="132"/>
      <c r="G74" s="106"/>
      <c r="H74" s="106"/>
    </row>
    <row r="75" spans="1:11" ht="20.25" x14ac:dyDescent="0.25">
      <c r="A75" s="106" t="s">
        <v>143</v>
      </c>
      <c r="B75" s="106"/>
      <c r="C75" s="27">
        <v>0</v>
      </c>
      <c r="D75" s="5">
        <f ca="1">((100/(H62))*C75)/100</f>
        <v>0</v>
      </c>
      <c r="E75" s="133"/>
      <c r="F75" s="134"/>
      <c r="G75" s="106"/>
      <c r="H75" s="106"/>
    </row>
    <row r="76" spans="1:11" ht="20.25" x14ac:dyDescent="0.3">
      <c r="A76" s="165" t="s">
        <v>129</v>
      </c>
      <c r="B76" s="166"/>
      <c r="C76" s="166"/>
      <c r="D76" s="166"/>
      <c r="E76" s="166"/>
      <c r="F76" s="166"/>
      <c r="G76" s="169">
        <f ca="1">AVERAGE(E64)</f>
        <v>0</v>
      </c>
      <c r="H76" s="170"/>
      <c r="I76" s="17"/>
      <c r="J76" s="18"/>
      <c r="K76" s="18"/>
    </row>
    <row r="77" spans="1:11" ht="20.25" x14ac:dyDescent="0.25">
      <c r="A77" s="109" t="s">
        <v>73</v>
      </c>
      <c r="B77" s="110"/>
      <c r="C77" s="110"/>
      <c r="D77" s="110"/>
      <c r="E77" s="110"/>
      <c r="F77" s="110"/>
      <c r="G77" s="110"/>
      <c r="H77" s="111"/>
    </row>
    <row r="78" spans="1:11" ht="54.75" customHeight="1" x14ac:dyDescent="0.25">
      <c r="A78" s="85" t="s">
        <v>74</v>
      </c>
      <c r="B78" s="86"/>
      <c r="C78" s="115" t="s">
        <v>108</v>
      </c>
      <c r="D78" s="116"/>
      <c r="E78" s="85" t="s">
        <v>144</v>
      </c>
      <c r="F78" s="86" t="s">
        <v>4</v>
      </c>
      <c r="G78" s="112" t="s">
        <v>157</v>
      </c>
      <c r="H78" s="112"/>
    </row>
    <row r="79" spans="1:11" ht="44.25" customHeight="1" x14ac:dyDescent="0.25">
      <c r="A79" s="85" t="s">
        <v>154</v>
      </c>
      <c r="B79" s="86"/>
      <c r="C79" s="115" t="s">
        <v>375</v>
      </c>
      <c r="D79" s="116"/>
      <c r="E79" s="85" t="s">
        <v>155</v>
      </c>
      <c r="F79" s="86" t="s">
        <v>4</v>
      </c>
      <c r="G79" s="94" t="s">
        <v>145</v>
      </c>
      <c r="H79" s="94"/>
    </row>
    <row r="80" spans="1:11" ht="20.25" x14ac:dyDescent="0.25">
      <c r="A80" s="85" t="s">
        <v>75</v>
      </c>
      <c r="B80" s="86"/>
      <c r="C80" s="95">
        <v>600000</v>
      </c>
      <c r="D80" s="97"/>
      <c r="E80" s="85" t="s">
        <v>102</v>
      </c>
      <c r="F80" s="86" t="s">
        <v>4</v>
      </c>
      <c r="G80" s="115" t="s">
        <v>109</v>
      </c>
      <c r="H80" s="116"/>
    </row>
    <row r="81" spans="1:150 16226:16383" ht="20.25" x14ac:dyDescent="0.25">
      <c r="A81" s="109" t="s">
        <v>72</v>
      </c>
      <c r="B81" s="110"/>
      <c r="C81" s="110"/>
      <c r="D81" s="110"/>
      <c r="E81" s="110"/>
      <c r="F81" s="110"/>
      <c r="G81" s="110"/>
      <c r="H81" s="111"/>
    </row>
    <row r="82" spans="1:150 16226:16383" ht="20.25" customHeight="1" x14ac:dyDescent="0.25">
      <c r="A82" s="85" t="s">
        <v>8</v>
      </c>
      <c r="B82" s="87"/>
      <c r="C82" s="87"/>
      <c r="D82" s="87"/>
      <c r="E82" s="87"/>
      <c r="F82" s="86"/>
      <c r="G82" s="158">
        <f>19200/10.764</f>
        <v>1783.7235228539578</v>
      </c>
      <c r="H82" s="159"/>
      <c r="I82" s="71" t="s">
        <v>343</v>
      </c>
    </row>
    <row r="83" spans="1:150 16226:16383" ht="20.25" customHeight="1" x14ac:dyDescent="0.25">
      <c r="A83" s="85" t="s">
        <v>28</v>
      </c>
      <c r="B83" s="87"/>
      <c r="C83" s="87"/>
      <c r="D83" s="87"/>
      <c r="E83" s="87"/>
      <c r="F83" s="86" t="s">
        <v>4</v>
      </c>
      <c r="G83" s="156">
        <f>56200/10.764</f>
        <v>5221.1073950204391</v>
      </c>
      <c r="H83" s="156"/>
      <c r="I83" s="71" t="s">
        <v>346</v>
      </c>
    </row>
    <row r="84" spans="1:150 16226:16383" ht="20.25" customHeight="1" x14ac:dyDescent="0.25">
      <c r="A84" s="85" t="s">
        <v>110</v>
      </c>
      <c r="B84" s="87"/>
      <c r="C84" s="87"/>
      <c r="D84" s="87"/>
      <c r="E84" s="87"/>
      <c r="F84" s="86" t="s">
        <v>4</v>
      </c>
      <c r="G84" s="156">
        <f>G82*0.8</f>
        <v>1426.9788182831662</v>
      </c>
      <c r="H84" s="156"/>
    </row>
    <row r="85" spans="1:150 16226:16383" ht="20.25" x14ac:dyDescent="0.25">
      <c r="A85" s="153" t="s">
        <v>240</v>
      </c>
      <c r="B85" s="154"/>
      <c r="C85" s="154"/>
      <c r="D85" s="154"/>
      <c r="E85" s="154"/>
      <c r="F85" s="154"/>
      <c r="G85" s="154"/>
      <c r="H85" s="155"/>
    </row>
    <row r="86" spans="1:150 16226:16383" s="3" customFormat="1" ht="20.25" x14ac:dyDescent="0.25">
      <c r="A86" s="107" t="s">
        <v>151</v>
      </c>
      <c r="B86" s="108"/>
      <c r="C86" s="107" t="s">
        <v>152</v>
      </c>
      <c r="D86" s="108"/>
      <c r="E86" s="107" t="s">
        <v>150</v>
      </c>
      <c r="F86" s="108"/>
      <c r="G86" s="107" t="s">
        <v>163</v>
      </c>
      <c r="H86" s="108"/>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3" customFormat="1" ht="20.25" x14ac:dyDescent="0.25">
      <c r="A87" s="135" t="s">
        <v>330</v>
      </c>
      <c r="B87" s="136"/>
      <c r="C87" s="135" t="s">
        <v>339</v>
      </c>
      <c r="D87" s="136"/>
      <c r="E87" s="135">
        <f>COUNT(E97:E106)</f>
        <v>10</v>
      </c>
      <c r="F87" s="136"/>
      <c r="G87" s="135">
        <f>SUM(H97:H106)</f>
        <v>14817.29184</v>
      </c>
      <c r="H87" s="136"/>
      <c r="I87" s="71" t="s">
        <v>341</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0.25" x14ac:dyDescent="0.25">
      <c r="A88" s="107" t="s">
        <v>153</v>
      </c>
      <c r="B88" s="108"/>
      <c r="C88" s="107" t="s">
        <v>95</v>
      </c>
      <c r="D88" s="108"/>
      <c r="E88" s="107">
        <f>SUM(E87)</f>
        <v>10</v>
      </c>
      <c r="F88" s="108"/>
      <c r="G88" s="107">
        <f>SUM(G87)</f>
        <v>14817.29184</v>
      </c>
      <c r="H88" s="108"/>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ht="20.25" x14ac:dyDescent="0.25">
      <c r="A89" s="153" t="s">
        <v>360</v>
      </c>
      <c r="B89" s="154"/>
      <c r="C89" s="154"/>
      <c r="D89" s="154"/>
      <c r="E89" s="154"/>
      <c r="F89" s="154"/>
      <c r="G89" s="154"/>
      <c r="H89" s="155"/>
    </row>
    <row r="90" spans="1:150 16226:16383" s="3" customFormat="1" ht="20.25" x14ac:dyDescent="0.25">
      <c r="A90" s="107" t="s">
        <v>151</v>
      </c>
      <c r="B90" s="108"/>
      <c r="C90" s="107" t="s">
        <v>152</v>
      </c>
      <c r="D90" s="108"/>
      <c r="E90" s="107" t="s">
        <v>150</v>
      </c>
      <c r="F90" s="108"/>
      <c r="G90" s="107" t="s">
        <v>163</v>
      </c>
      <c r="H90" s="108"/>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0.25" x14ac:dyDescent="0.25">
      <c r="A91" s="135" t="s">
        <v>269</v>
      </c>
      <c r="B91" s="136"/>
      <c r="C91" s="135" t="s">
        <v>329</v>
      </c>
      <c r="D91" s="136"/>
      <c r="E91" s="135">
        <f>COUNT(E124:E125,E127:E129,E131)+COUNT(E133:E139)*16+COUNT(E141:E145,E147)*3+COUNT(E149:E152)</f>
        <v>140</v>
      </c>
      <c r="F91" s="136"/>
      <c r="G91" s="135">
        <f>SUM(H124:H125,H127:H129,H131)+SUM(H133:H139)*16+SUM(H141:H145,H147)*3+SUM(H149:H152)</f>
        <v>118161.76694399999</v>
      </c>
      <c r="H91" s="136"/>
      <c r="I91" s="71" t="s">
        <v>341</v>
      </c>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0.25" x14ac:dyDescent="0.25">
      <c r="A92" s="107" t="s">
        <v>153</v>
      </c>
      <c r="B92" s="108"/>
      <c r="C92" s="107" t="s">
        <v>95</v>
      </c>
      <c r="D92" s="108"/>
      <c r="E92" s="107">
        <f>SUM(E91)</f>
        <v>140</v>
      </c>
      <c r="F92" s="108"/>
      <c r="G92" s="107">
        <f>SUM(G91)</f>
        <v>118161.76694399999</v>
      </c>
      <c r="H92" s="108"/>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0.25" x14ac:dyDescent="0.25">
      <c r="A93" s="107" t="s">
        <v>241</v>
      </c>
      <c r="B93" s="108"/>
      <c r="C93" s="107" t="s">
        <v>95</v>
      </c>
      <c r="D93" s="108"/>
      <c r="E93" s="107">
        <f>E88+E92</f>
        <v>150</v>
      </c>
      <c r="F93" s="108"/>
      <c r="G93" s="107">
        <f>G88+G92</f>
        <v>132979.05878399999</v>
      </c>
      <c r="H93" s="10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ht="20.25" x14ac:dyDescent="0.25">
      <c r="A94" s="167" t="s">
        <v>149</v>
      </c>
      <c r="B94" s="168"/>
      <c r="C94" s="168"/>
      <c r="D94" s="168"/>
      <c r="E94" s="168"/>
      <c r="F94" s="168"/>
      <c r="G94" s="168"/>
      <c r="H94" s="155"/>
    </row>
    <row r="95" spans="1:150 16226:16383" ht="66" customHeight="1" x14ac:dyDescent="0.25">
      <c r="A95" s="49" t="s">
        <v>231</v>
      </c>
      <c r="B95" s="28" t="s">
        <v>232</v>
      </c>
      <c r="C95" s="30" t="s">
        <v>233</v>
      </c>
      <c r="D95" s="28" t="s">
        <v>89</v>
      </c>
      <c r="E95" s="28" t="s">
        <v>164</v>
      </c>
      <c r="F95" s="30" t="s">
        <v>340</v>
      </c>
      <c r="G95" s="28" t="s">
        <v>91</v>
      </c>
      <c r="H95" s="28" t="s">
        <v>90</v>
      </c>
      <c r="I95" s="1">
        <f>10.764</f>
        <v>10.763999999999999</v>
      </c>
    </row>
    <row r="96" spans="1:150 16226:16383" s="3" customFormat="1" ht="20.25" x14ac:dyDescent="0.25">
      <c r="A96" s="78" t="s">
        <v>328</v>
      </c>
      <c r="B96" s="79"/>
      <c r="C96" s="79"/>
      <c r="D96" s="79"/>
      <c r="E96" s="79"/>
      <c r="F96" s="79"/>
      <c r="G96" s="79"/>
      <c r="H96" s="8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60.75" x14ac:dyDescent="0.25">
      <c r="A97" s="81">
        <v>1</v>
      </c>
      <c r="B97" s="81"/>
      <c r="C97" s="50" t="s">
        <v>329</v>
      </c>
      <c r="D97" s="50" t="s">
        <v>361</v>
      </c>
      <c r="E97" s="6">
        <f>(100.49+100.49)*(10.764)</f>
        <v>2163.34872</v>
      </c>
      <c r="F97" s="6">
        <v>0</v>
      </c>
      <c r="G97" s="6">
        <v>0</v>
      </c>
      <c r="H97" s="6">
        <f>E97+F97+(IF(G97&lt;101,G97,IF(G97&lt;201,G97/2,IF(G97&lt;=301,G97/3,G97/4))))</f>
        <v>2163.34872</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60.75" x14ac:dyDescent="0.25">
      <c r="A98" s="88">
        <f>A97+1</f>
        <v>2</v>
      </c>
      <c r="B98" s="89"/>
      <c r="C98" s="50" t="s">
        <v>329</v>
      </c>
      <c r="D98" s="50" t="s">
        <v>361</v>
      </c>
      <c r="E98" s="6">
        <f>(76.15+76.15)*(10.764)</f>
        <v>1639.3571999999999</v>
      </c>
      <c r="F98" s="6">
        <v>0</v>
      </c>
      <c r="G98" s="6">
        <v>0</v>
      </c>
      <c r="H98" s="6">
        <f t="shared" ref="H98:H104" si="0">E98+F98+(IF(G98&lt;101,G98,IF(G98&lt;201,G98/2,IF(G98&lt;=301,G98/3,G98/4))))</f>
        <v>1639.3571999999999</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60.75" x14ac:dyDescent="0.25">
      <c r="A99" s="88">
        <f t="shared" ref="A99:A106" si="1">A98+1</f>
        <v>3</v>
      </c>
      <c r="B99" s="89"/>
      <c r="C99" s="50" t="s">
        <v>329</v>
      </c>
      <c r="D99" s="50" t="s">
        <v>361</v>
      </c>
      <c r="E99" s="6">
        <f>(92.43+92.43)*(10.764)</f>
        <v>1989.83304</v>
      </c>
      <c r="F99" s="6">
        <v>0</v>
      </c>
      <c r="G99" s="6">
        <v>0</v>
      </c>
      <c r="H99" s="6">
        <f t="shared" si="0"/>
        <v>1989.83304</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62.45" customHeight="1" x14ac:dyDescent="0.25">
      <c r="A100" s="88">
        <f t="shared" si="1"/>
        <v>4</v>
      </c>
      <c r="B100" s="89"/>
      <c r="C100" s="50" t="s">
        <v>329</v>
      </c>
      <c r="D100" s="50" t="s">
        <v>361</v>
      </c>
      <c r="E100" s="6">
        <f>(67.31+67.31)*(10.764)</f>
        <v>1449.0496799999999</v>
      </c>
      <c r="F100" s="6">
        <v>0</v>
      </c>
      <c r="G100" s="6">
        <v>0</v>
      </c>
      <c r="H100" s="6">
        <f t="shared" si="0"/>
        <v>1449.0496799999999</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62.45" customHeight="1" x14ac:dyDescent="0.25">
      <c r="A101" s="88">
        <f t="shared" si="1"/>
        <v>5</v>
      </c>
      <c r="B101" s="89"/>
      <c r="C101" s="50" t="s">
        <v>329</v>
      </c>
      <c r="D101" s="50" t="s">
        <v>361</v>
      </c>
      <c r="E101" s="6">
        <f>(61.86+61.86)*(10.764)</f>
        <v>1331.72208</v>
      </c>
      <c r="F101" s="6">
        <v>0</v>
      </c>
      <c r="G101" s="6">
        <v>0</v>
      </c>
      <c r="H101" s="6">
        <f t="shared" si="0"/>
        <v>1331.72208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62.45" customHeight="1" x14ac:dyDescent="0.25">
      <c r="A102" s="88">
        <f t="shared" si="1"/>
        <v>6</v>
      </c>
      <c r="B102" s="89"/>
      <c r="C102" s="50" t="s">
        <v>329</v>
      </c>
      <c r="D102" s="50" t="s">
        <v>361</v>
      </c>
      <c r="E102" s="6">
        <f>(48.61+48.61)*(10.764)</f>
        <v>1046.4760799999999</v>
      </c>
      <c r="F102" s="6">
        <v>0</v>
      </c>
      <c r="G102" s="6">
        <v>0</v>
      </c>
      <c r="H102" s="6">
        <f t="shared" si="0"/>
        <v>1046.4760799999999</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62.45" customHeight="1" x14ac:dyDescent="0.25">
      <c r="A103" s="88">
        <f t="shared" si="1"/>
        <v>7</v>
      </c>
      <c r="B103" s="89"/>
      <c r="C103" s="50" t="s">
        <v>329</v>
      </c>
      <c r="D103" s="50" t="s">
        <v>361</v>
      </c>
      <c r="E103" s="6">
        <f>(85.36+85.36)*(10.764)</f>
        <v>1837.6300799999999</v>
      </c>
      <c r="F103" s="6">
        <v>0</v>
      </c>
      <c r="G103" s="6">
        <v>0</v>
      </c>
      <c r="H103" s="6">
        <f t="shared" si="0"/>
        <v>1837.6300799999999</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62.45" customHeight="1" x14ac:dyDescent="0.25">
      <c r="A104" s="88">
        <f t="shared" si="1"/>
        <v>8</v>
      </c>
      <c r="B104" s="89"/>
      <c r="C104" s="50" t="s">
        <v>329</v>
      </c>
      <c r="D104" s="50" t="s">
        <v>361</v>
      </c>
      <c r="E104" s="6">
        <f>(41.08+41.08)*(10.764)</f>
        <v>884.37023999999985</v>
      </c>
      <c r="F104" s="6">
        <v>0</v>
      </c>
      <c r="G104" s="6">
        <v>0</v>
      </c>
      <c r="H104" s="6">
        <f t="shared" si="0"/>
        <v>884.37023999999985</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62.45" customHeight="1" x14ac:dyDescent="0.25">
      <c r="A105" s="88">
        <f t="shared" si="1"/>
        <v>9</v>
      </c>
      <c r="B105" s="89"/>
      <c r="C105" s="50" t="s">
        <v>329</v>
      </c>
      <c r="D105" s="50" t="s">
        <v>361</v>
      </c>
      <c r="E105" s="6">
        <f>(51.92+51.92)*(10.764)</f>
        <v>1117.7337600000001</v>
      </c>
      <c r="F105" s="6">
        <v>0</v>
      </c>
      <c r="G105" s="6">
        <v>0</v>
      </c>
      <c r="H105" s="6">
        <f t="shared" ref="H105:H106" si="2">E105+F105+(IF(G105&lt;101,G105,IF(G105&lt;201,G105/2,IF(G105&lt;=301,G105/3,G105/4))))</f>
        <v>1117.7337600000001</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62.45" customHeight="1" x14ac:dyDescent="0.25">
      <c r="A106" s="88">
        <f t="shared" si="1"/>
        <v>10</v>
      </c>
      <c r="B106" s="89"/>
      <c r="C106" s="50" t="s">
        <v>329</v>
      </c>
      <c r="D106" s="50" t="s">
        <v>361</v>
      </c>
      <c r="E106" s="6">
        <f>(63.07+63.07)*(10.764)</f>
        <v>1357.7709599999998</v>
      </c>
      <c r="F106" s="6">
        <v>0</v>
      </c>
      <c r="G106" s="6">
        <v>0</v>
      </c>
      <c r="H106" s="6">
        <f t="shared" si="2"/>
        <v>1357.7709599999998</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78" t="s">
        <v>362</v>
      </c>
      <c r="B107" s="79"/>
      <c r="C107" s="79"/>
      <c r="D107" s="79"/>
      <c r="E107" s="79"/>
      <c r="F107" s="79"/>
      <c r="G107" s="79"/>
      <c r="H107" s="80"/>
      <c r="I107" s="1">
        <f>1</f>
        <v>1</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78" t="s">
        <v>363</v>
      </c>
      <c r="B108" s="79"/>
      <c r="C108" s="79"/>
      <c r="D108" s="79"/>
      <c r="E108" s="79"/>
      <c r="F108" s="79"/>
      <c r="G108" s="79"/>
      <c r="H108" s="80"/>
      <c r="I108" s="1">
        <f>1</f>
        <v>1</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81">
        <v>1</v>
      </c>
      <c r="B109" s="81"/>
      <c r="C109" s="50" t="s">
        <v>329</v>
      </c>
      <c r="D109" s="75" t="s">
        <v>364</v>
      </c>
      <c r="E109" s="76"/>
      <c r="F109" s="76"/>
      <c r="G109" s="76"/>
      <c r="H109" s="7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x14ac:dyDescent="0.25">
      <c r="A110" s="88">
        <f>A109+1</f>
        <v>2</v>
      </c>
      <c r="B110" s="89"/>
      <c r="C110" s="50" t="s">
        <v>329</v>
      </c>
      <c r="D110" s="75" t="s">
        <v>364</v>
      </c>
      <c r="E110" s="76"/>
      <c r="F110" s="76"/>
      <c r="G110" s="76"/>
      <c r="H110" s="7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x14ac:dyDescent="0.25">
      <c r="A111" s="88">
        <f t="shared" ref="A111:A118" si="3">A110+1</f>
        <v>3</v>
      </c>
      <c r="B111" s="89"/>
      <c r="C111" s="50" t="s">
        <v>329</v>
      </c>
      <c r="D111" s="75" t="s">
        <v>364</v>
      </c>
      <c r="E111" s="76"/>
      <c r="F111" s="76"/>
      <c r="G111" s="76"/>
      <c r="H111" s="77"/>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88">
        <f t="shared" si="3"/>
        <v>4</v>
      </c>
      <c r="B112" s="89"/>
      <c r="C112" s="50" t="s">
        <v>329</v>
      </c>
      <c r="D112" s="75" t="s">
        <v>364</v>
      </c>
      <c r="E112" s="76"/>
      <c r="F112" s="76"/>
      <c r="G112" s="76"/>
      <c r="H112" s="7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88">
        <f t="shared" si="3"/>
        <v>5</v>
      </c>
      <c r="B113" s="89"/>
      <c r="C113" s="50" t="s">
        <v>329</v>
      </c>
      <c r="D113" s="75" t="s">
        <v>364</v>
      </c>
      <c r="E113" s="76"/>
      <c r="F113" s="76"/>
      <c r="G113" s="76"/>
      <c r="H113" s="77"/>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88">
        <f t="shared" si="3"/>
        <v>6</v>
      </c>
      <c r="B114" s="89"/>
      <c r="C114" s="50" t="s">
        <v>329</v>
      </c>
      <c r="D114" s="75" t="s">
        <v>364</v>
      </c>
      <c r="E114" s="76"/>
      <c r="F114" s="76"/>
      <c r="G114" s="76"/>
      <c r="H114" s="7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88">
        <f t="shared" si="3"/>
        <v>7</v>
      </c>
      <c r="B115" s="89"/>
      <c r="C115" s="50" t="s">
        <v>329</v>
      </c>
      <c r="D115" s="75" t="s">
        <v>364</v>
      </c>
      <c r="E115" s="76"/>
      <c r="F115" s="76"/>
      <c r="G115" s="76"/>
      <c r="H115" s="77"/>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88">
        <f t="shared" si="3"/>
        <v>8</v>
      </c>
      <c r="B116" s="89"/>
      <c r="C116" s="50" t="s">
        <v>329</v>
      </c>
      <c r="D116" s="75" t="s">
        <v>364</v>
      </c>
      <c r="E116" s="76"/>
      <c r="F116" s="76"/>
      <c r="G116" s="76"/>
      <c r="H116" s="7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25">
      <c r="A117" s="88">
        <f t="shared" si="3"/>
        <v>9</v>
      </c>
      <c r="B117" s="89"/>
      <c r="C117" s="50" t="s">
        <v>329</v>
      </c>
      <c r="D117" s="75" t="s">
        <v>364</v>
      </c>
      <c r="E117" s="76"/>
      <c r="F117" s="76"/>
      <c r="G117" s="76"/>
      <c r="H117" s="77"/>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88">
        <f t="shared" si="3"/>
        <v>10</v>
      </c>
      <c r="B118" s="89"/>
      <c r="C118" s="50" t="s">
        <v>329</v>
      </c>
      <c r="D118" s="75" t="s">
        <v>364</v>
      </c>
      <c r="E118" s="76"/>
      <c r="F118" s="76"/>
      <c r="G118" s="76"/>
      <c r="H118" s="77"/>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78" t="s">
        <v>365</v>
      </c>
      <c r="B119" s="79"/>
      <c r="C119" s="79"/>
      <c r="D119" s="79"/>
      <c r="E119" s="79"/>
      <c r="F119" s="79"/>
      <c r="G119" s="79"/>
      <c r="H119" s="80"/>
      <c r="I119" s="1">
        <f>1</f>
        <v>1</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78" t="s">
        <v>331</v>
      </c>
      <c r="B120" s="79"/>
      <c r="C120" s="79"/>
      <c r="D120" s="79"/>
      <c r="E120" s="79"/>
      <c r="F120" s="79"/>
      <c r="G120" s="79"/>
      <c r="H120" s="80"/>
      <c r="I120" s="73">
        <f>E124+F124</f>
        <v>766.69280999999989</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78" t="s">
        <v>366</v>
      </c>
      <c r="B121" s="79"/>
      <c r="C121" s="79"/>
      <c r="D121" s="79"/>
      <c r="E121" s="79"/>
      <c r="F121" s="79"/>
      <c r="G121" s="79"/>
      <c r="H121" s="80"/>
      <c r="I121" s="1">
        <f>1</f>
        <v>1</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78" t="s">
        <v>367</v>
      </c>
      <c r="B122" s="79"/>
      <c r="C122" s="79"/>
      <c r="D122" s="79"/>
      <c r="E122" s="79"/>
      <c r="F122" s="79"/>
      <c r="G122" s="79"/>
      <c r="H122" s="80"/>
      <c r="I122" s="1">
        <f>1</f>
        <v>1</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82" t="s">
        <v>368</v>
      </c>
      <c r="B123" s="83"/>
      <c r="C123" s="83"/>
      <c r="D123" s="83"/>
      <c r="E123" s="83"/>
      <c r="F123" s="83"/>
      <c r="G123" s="83"/>
      <c r="H123" s="84"/>
      <c r="I123" s="1">
        <f>1</f>
        <v>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81">
        <v>1</v>
      </c>
      <c r="B124" s="81"/>
      <c r="C124" s="50" t="s">
        <v>329</v>
      </c>
      <c r="D124" s="50" t="s">
        <v>332</v>
      </c>
      <c r="E124" s="6">
        <f>(65.97)*(10.764)</f>
        <v>710.10107999999991</v>
      </c>
      <c r="F124" s="6">
        <f>(0.6*3.05+0.6*3.05+0.75*2.13)*(10.764)</f>
        <v>56.591729999999991</v>
      </c>
      <c r="G124" s="6">
        <v>0</v>
      </c>
      <c r="H124" s="6">
        <f>E124+F124+(IF(G124&lt;101,G124,IF(G124&lt;201,G124/2,IF(G124&lt;=301,G124/3,G124/4))))</f>
        <v>766.69280999999989</v>
      </c>
      <c r="I124" s="74">
        <f>3.05*5.5+1.06*3.19+2.13*3.05+3.05*3.05+3.05*3.5+2.14*1.37+1.37*2.14+4.1*0.9+1.1</f>
        <v>57.283999999999999</v>
      </c>
      <c r="J124" s="74">
        <f>3.05*1.5</f>
        <v>4.5749999999999993</v>
      </c>
      <c r="K124" s="74">
        <f>I124+J124</f>
        <v>61.858999999999995</v>
      </c>
      <c r="L124" s="1"/>
      <c r="M124" s="1"/>
      <c r="N124" s="1"/>
      <c r="O124" s="1"/>
      <c r="P124" s="1"/>
      <c r="Q124" s="1"/>
      <c r="R124" s="1"/>
      <c r="S124" s="1"/>
      <c r="T124" s="20" t="e">
        <f t="shared" ref="T124:T131" ca="1" si="4">U124&amp;""&amp;",..,"&amp;""&amp;V124</f>
        <v>#REF!</v>
      </c>
      <c r="U124" s="20" t="e">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#REF!</v>
      </c>
      <c r="V124" s="20">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801</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81">
        <v>2</v>
      </c>
      <c r="B125" s="81"/>
      <c r="C125" s="50" t="s">
        <v>329</v>
      </c>
      <c r="D125" s="50" t="s">
        <v>332</v>
      </c>
      <c r="E125" s="6">
        <f>(65.97)*(10.764)</f>
        <v>710.10107999999991</v>
      </c>
      <c r="F125" s="6">
        <f>(0.6*3.05+0.6*3.05+0.75*2.13)*(10.764)</f>
        <v>56.591729999999991</v>
      </c>
      <c r="G125" s="6">
        <v>0</v>
      </c>
      <c r="H125" s="6">
        <f t="shared" ref="H125:H131" si="5">E125+F125+(IF(G125&lt;101,G125,IF(G125&lt;201,G125/2,IF(G125&lt;=301,G125/3,G125/4))))</f>
        <v>766.69280999999989</v>
      </c>
      <c r="I125" s="1"/>
      <c r="J125" s="1"/>
      <c r="K125" s="1"/>
      <c r="L125" s="1"/>
      <c r="M125" s="1"/>
      <c r="N125" s="1"/>
      <c r="O125" s="1"/>
      <c r="P125" s="1"/>
      <c r="Q125" s="1"/>
      <c r="R125" s="1"/>
      <c r="S125" s="1"/>
      <c r="T125" s="20" t="e">
        <f t="shared" ca="1" si="4"/>
        <v>#REF!</v>
      </c>
      <c r="U125" s="20" t="e">
        <f ca="1">U124+1</f>
        <v>#REF!</v>
      </c>
      <c r="V125" s="20">
        <f ca="1">V124+1</f>
        <v>802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81" t="s">
        <v>339</v>
      </c>
      <c r="B126" s="81"/>
      <c r="C126" s="50" t="s">
        <v>329</v>
      </c>
      <c r="D126" s="160" t="s">
        <v>369</v>
      </c>
      <c r="E126" s="76"/>
      <c r="F126" s="76"/>
      <c r="G126" s="76"/>
      <c r="H126" s="77"/>
      <c r="I126" s="1"/>
      <c r="J126" s="1"/>
      <c r="K126" s="1"/>
      <c r="L126" s="1"/>
      <c r="M126" s="1"/>
      <c r="N126" s="1"/>
      <c r="O126" s="1"/>
      <c r="P126" s="1"/>
      <c r="Q126" s="1"/>
      <c r="R126" s="1"/>
      <c r="S126" s="1"/>
      <c r="T126" s="20" t="e">
        <f t="shared" ref="T126" ca="1" si="6">U126&amp;""&amp;",..,"&amp;""&amp;V126</f>
        <v>#REF!</v>
      </c>
      <c r="U126" s="20" t="e">
        <f ca="1">U124+1</f>
        <v>#REF!</v>
      </c>
      <c r="V126" s="20">
        <f ca="1">V124+1</f>
        <v>802</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81">
        <v>3</v>
      </c>
      <c r="B127" s="81"/>
      <c r="C127" s="50" t="s">
        <v>329</v>
      </c>
      <c r="D127" s="50" t="s">
        <v>333</v>
      </c>
      <c r="E127" s="6">
        <f>(83.3)*(10.764)</f>
        <v>896.64119999999991</v>
      </c>
      <c r="F127" s="6">
        <f>(0.6*6+0.75*2.13+3.04*0.6)*(10.764)</f>
        <v>75.579425999999998</v>
      </c>
      <c r="G127" s="6">
        <v>0</v>
      </c>
      <c r="H127" s="6">
        <f t="shared" si="5"/>
        <v>972.22062599999992</v>
      </c>
      <c r="I127" s="74">
        <f>3.04*5.62+1.32*2.42+2.13*3.05+2.74*3.05+3.04*4.1+3.04*3.93+1.37*2.13+2.13*1.37+2.13*1.37+0.6*2.4+4.1*0.9+1.4*1</f>
        <v>74.828199999999995</v>
      </c>
      <c r="J127" s="74">
        <f>3.4*1.34</f>
        <v>4.556</v>
      </c>
      <c r="K127" s="74">
        <f>I127+J127</f>
        <v>79.384199999999993</v>
      </c>
      <c r="L127" s="1"/>
      <c r="M127" s="1"/>
      <c r="N127" s="1"/>
      <c r="O127" s="50" t="s">
        <v>332</v>
      </c>
      <c r="P127" s="6">
        <f>(3.05*5.5+1.06*3.19+2.13*3.05+3.05*3.05+3.05*3.5+2.14*1.37+1.37*2.14+4.1*0.9+1.1)*(10.764)</f>
        <v>616.60497599999997</v>
      </c>
      <c r="Q127" s="6">
        <f>(0.6*3.05+0.6*3.05+0.75*2.13+3.05*1.5)*(10.764)</f>
        <v>105.83702999999998</v>
      </c>
      <c r="R127" s="1"/>
      <c r="S127" s="1"/>
      <c r="T127" s="20" t="e">
        <f t="shared" ca="1" si="4"/>
        <v>#REF!</v>
      </c>
      <c r="U127" s="20" t="e">
        <f ca="1">U125+1</f>
        <v>#REF!</v>
      </c>
      <c r="V127" s="20">
        <f ca="1">V125+1</f>
        <v>803</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81">
        <v>4</v>
      </c>
      <c r="B128" s="81"/>
      <c r="C128" s="50" t="s">
        <v>329</v>
      </c>
      <c r="D128" s="50" t="s">
        <v>333</v>
      </c>
      <c r="E128" s="6">
        <f>(81.31)*(10.764)</f>
        <v>875.22083999999995</v>
      </c>
      <c r="F128" s="6">
        <f>(0.6*6+0.75*2.13+3.04*0.6)*(10.764)</f>
        <v>75.579425999999998</v>
      </c>
      <c r="G128" s="6">
        <v>0</v>
      </c>
      <c r="H128" s="6">
        <f t="shared" si="5"/>
        <v>950.80026599999997</v>
      </c>
      <c r="I128" s="1">
        <f>3.04*5.93+1.32*2.42+2.13*3.05+2.74*3.05+3.04*4.1+3.04*3.93+1.37*2.13+2.13*1.37+2.13*1.37+0.6*2.4+4.1*0.9+1.1*1</f>
        <v>75.47059999999999</v>
      </c>
      <c r="J128" s="1">
        <f>3.4*1.34</f>
        <v>4.556</v>
      </c>
      <c r="K128" s="1"/>
      <c r="L128" s="1"/>
      <c r="M128" s="1"/>
      <c r="N128" s="1"/>
      <c r="O128" s="50" t="s">
        <v>332</v>
      </c>
      <c r="P128" s="6">
        <f>(3.05*5.5+1.06*3.19+2.13*3.05+3.05*3.05+3.05*3.5+2.14*1.37+1.37*2.14+4.1*0.9+1.1)*(10.764)</f>
        <v>616.60497599999997</v>
      </c>
      <c r="Q128" s="6">
        <f>(0.6*3.05+0.6*3.05+0.75*2.13+3.05*1.5)*(10.764)</f>
        <v>105.83702999999998</v>
      </c>
      <c r="R128" s="1"/>
      <c r="S128" s="1"/>
      <c r="T128" s="20" t="e">
        <f t="shared" ca="1" si="4"/>
        <v>#REF!</v>
      </c>
      <c r="U128" s="20" t="e">
        <f t="shared" ref="U128:U131" ca="1" si="7">U127+1</f>
        <v>#REF!</v>
      </c>
      <c r="V128" s="20">
        <f t="shared" ref="V128:V131" ca="1" si="8">V127+1</f>
        <v>804</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81">
        <v>5</v>
      </c>
      <c r="B129" s="81"/>
      <c r="C129" s="50" t="s">
        <v>329</v>
      </c>
      <c r="D129" s="50" t="s">
        <v>333</v>
      </c>
      <c r="E129" s="6">
        <f>(83.3)*(10.764)</f>
        <v>896.64119999999991</v>
      </c>
      <c r="F129" s="6">
        <f>(0.6*6+0.75*2.13+3.04*0.6)*(10.764)</f>
        <v>75.579425999999998</v>
      </c>
      <c r="G129" s="6">
        <v>0</v>
      </c>
      <c r="H129" s="6">
        <f t="shared" si="5"/>
        <v>972.22062599999992</v>
      </c>
      <c r="I129" s="1"/>
      <c r="J129" s="1"/>
      <c r="K129" s="1"/>
      <c r="L129" s="1"/>
      <c r="M129" s="1"/>
      <c r="N129" s="1"/>
      <c r="O129" s="50" t="s">
        <v>333</v>
      </c>
      <c r="P129" s="6">
        <f>(3.04*5.62+1.32*2.42+2.13*3.05+2.74*3.05+3.04*4.1+3.04*3.93+1.37*2.13+2.13*1.37+2.13*1.37+0.6*2.4+4.1*0.9+1.4*1)*(10.764)</f>
        <v>805.45074479999994</v>
      </c>
      <c r="Q129" s="6">
        <f>(0.6*6+0.75*2.13+3.04*0.6+3.04*1.34)*(10.764)</f>
        <v>119.42765639999998</v>
      </c>
      <c r="R129" s="1"/>
      <c r="S129" s="1"/>
      <c r="T129" s="20" t="e">
        <f t="shared" ca="1" si="4"/>
        <v>#REF!</v>
      </c>
      <c r="U129" s="20" t="e">
        <f t="shared" ca="1" si="7"/>
        <v>#REF!</v>
      </c>
      <c r="V129" s="20">
        <f t="shared" ca="1" si="8"/>
        <v>805</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81">
        <v>6</v>
      </c>
      <c r="B130" s="81"/>
      <c r="C130" s="50" t="s">
        <v>329</v>
      </c>
      <c r="D130" s="75" t="s">
        <v>334</v>
      </c>
      <c r="E130" s="76"/>
      <c r="F130" s="76"/>
      <c r="G130" s="76"/>
      <c r="H130" s="77"/>
      <c r="I130" s="1"/>
      <c r="J130" s="1"/>
      <c r="K130" s="1"/>
      <c r="L130" s="1"/>
      <c r="M130" s="1"/>
      <c r="N130" s="1"/>
      <c r="O130" s="50" t="s">
        <v>333</v>
      </c>
      <c r="P130" s="6">
        <f>(3.04*5.93+2.13*3.05+2.74*3.05+3.04*4.1+3.04*3.93+1.37*2.13+2.13*1.37+2.13*1.37+0.6*2.2+5.5*0.9+1.4*1)*(10.764)</f>
        <v>793.48117679999996</v>
      </c>
      <c r="Q130" s="6">
        <f>(0.6*5.5+0.75*2.13+3.04*0.6+3.04*1.2)*(10.764)</f>
        <v>111.61729799999998</v>
      </c>
      <c r="R130" s="1"/>
      <c r="S130" s="1"/>
      <c r="T130" s="20" t="e">
        <f t="shared" ca="1" si="4"/>
        <v>#REF!</v>
      </c>
      <c r="U130" s="20" t="e">
        <f t="shared" ca="1" si="7"/>
        <v>#REF!</v>
      </c>
      <c r="V130" s="20">
        <f t="shared" ca="1" si="8"/>
        <v>806</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81">
        <v>7</v>
      </c>
      <c r="B131" s="81"/>
      <c r="C131" s="50" t="s">
        <v>329</v>
      </c>
      <c r="D131" s="50" t="s">
        <v>332</v>
      </c>
      <c r="E131" s="6">
        <f>(62.28)*(10.764)</f>
        <v>670.38191999999992</v>
      </c>
      <c r="F131" s="6">
        <f>(0.75*2.13+3.05*0.6+3.05*0.6)*(10.764)</f>
        <v>56.591729999999991</v>
      </c>
      <c r="G131" s="6">
        <v>0</v>
      </c>
      <c r="H131" s="6">
        <f t="shared" si="5"/>
        <v>726.97364999999991</v>
      </c>
      <c r="I131" s="74">
        <f>3.05*5.18+0.51*3.19+2.13*3.05+3.05*3.05+3.05*3.47+2.14*1.37+1.37*2.14+5.1*0.9+1.1*1</f>
        <v>55.362000000000002</v>
      </c>
      <c r="J131" s="74">
        <f>3.4*1.21</f>
        <v>4.1139999999999999</v>
      </c>
      <c r="K131" s="74">
        <f>I131+J131</f>
        <v>59.475999999999999</v>
      </c>
      <c r="L131" s="1"/>
      <c r="M131" s="1"/>
      <c r="N131" s="1"/>
      <c r="O131" s="50" t="s">
        <v>333</v>
      </c>
      <c r="P131" s="6">
        <f>(3.04*5.62+1.32*2.42+2.13*3.05+2.74*3.05+3.04*4.1+3.04*3.93+1.37*2.13+2.13*1.37+2.13*1.37+0.6*2.4+4.1*0.9+1.4*1)*(10.764)</f>
        <v>805.45074479999994</v>
      </c>
      <c r="Q131" s="6">
        <f>(0.6*6+0.75*2.13+3.04*0.6+3.04*1.34)*(10.764)</f>
        <v>119.42765639999998</v>
      </c>
      <c r="R131" s="1"/>
      <c r="S131" s="1"/>
      <c r="T131" s="20" t="e">
        <f t="shared" ca="1" si="4"/>
        <v>#REF!</v>
      </c>
      <c r="U131" s="20" t="e">
        <f t="shared" ca="1" si="7"/>
        <v>#REF!</v>
      </c>
      <c r="V131" s="20">
        <f t="shared" ca="1" si="8"/>
        <v>807</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82" t="s">
        <v>335</v>
      </c>
      <c r="B132" s="83"/>
      <c r="C132" s="83"/>
      <c r="D132" s="83"/>
      <c r="E132" s="83"/>
      <c r="F132" s="83"/>
      <c r="G132" s="83"/>
      <c r="H132" s="84"/>
      <c r="I132" s="1">
        <f>4+4+4+4</f>
        <v>16</v>
      </c>
      <c r="J132" s="1"/>
      <c r="K132" s="1"/>
      <c r="L132" s="1"/>
      <c r="M132" s="1"/>
      <c r="N132" s="1"/>
      <c r="O132" s="50" t="s">
        <v>332</v>
      </c>
      <c r="P132" s="6">
        <f>(3.05*5.18+0.51*3.19+2.13*3.05+3.05*3.05+3.05*3.47+2.14*1.37+1.37*2.14+5.1*0.9+1.1*1)*(10.764)</f>
        <v>595.91656799999998</v>
      </c>
      <c r="Q132" s="6">
        <f>(0.75*2.13+3.05*0.6+3.05*0.6+3.05*1.21)*(10.764)</f>
        <v>96.316271999999984</v>
      </c>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81">
        <v>1</v>
      </c>
      <c r="B133" s="81"/>
      <c r="C133" s="50" t="s">
        <v>329</v>
      </c>
      <c r="D133" s="50" t="s">
        <v>332</v>
      </c>
      <c r="E133" s="6">
        <f>(65.97)*(10.764)</f>
        <v>710.10107999999991</v>
      </c>
      <c r="F133" s="6">
        <f>(0.6*3.05+0.6*3.05+0.75*2.13)*(10.764)</f>
        <v>56.591729999999991</v>
      </c>
      <c r="G133" s="6">
        <v>0</v>
      </c>
      <c r="H133" s="6">
        <f>E133+F133+(IF(G133&lt;101,G133,IF(G133&lt;201,G133/2,IF(G133&lt;=301,G133/3,G133/4))))</f>
        <v>766.69280999999989</v>
      </c>
      <c r="I133" s="1"/>
      <c r="J133" s="1"/>
      <c r="K133" s="1"/>
      <c r="L133" s="1"/>
      <c r="M133" s="1"/>
      <c r="N133" s="1"/>
      <c r="O133" s="50" t="s">
        <v>332</v>
      </c>
      <c r="P133" s="6">
        <f>(3.05*5.18+0.51*3.19+2.13*3.05+3.05*3.05+3.05*3.47+2.14*1.37+1.37*2.14+5.1*0.9+1.1*1)*(10.764)</f>
        <v>595.91656799999998</v>
      </c>
      <c r="Q133" s="6">
        <f>(0.75*2.13+3.05*0.6+3.05*0.6+3.05*1.21)*(10.764)</f>
        <v>96.316271999999984</v>
      </c>
      <c r="R133" s="1"/>
      <c r="S133" s="1"/>
      <c r="T133" s="20" t="str">
        <f ca="1">U133&amp;""&amp;" to "&amp;""&amp;V133</f>
        <v>91201 to 2701</v>
      </c>
      <c r="U133" s="20">
        <f ca="1">(SUMPRODUCT(MID(0&amp;(LEFT(A132,SUM(LEN(A132)-LEN(SUBSTITUTE(A132,{"0","1","2","3"},""))))), LARGE(INDEX(ISNUMBER(--MID((LEFT(A132,SUM(LEN(A132)-LEN(SUBSTITUTE(A132,{"0","1","2","3"},""))))), ROW(INDIRECT("1:"&amp;LEN((LEFT(A132,SUM(LEN(A132)-LEN(SUBSTITUTE(A132,{"0","1","2","3"},"")))))))), 1)) * ROW(INDIRECT("1:"&amp;LEN((LEFT(A132,SUM(LEN(A132)-LEN(SUBSTITUTE(A132,{"0","1","2","3"},"")))))))), 0), ROW(INDIRECT("1:"&amp;LEN((LEFT(A132,SUM(LEN(A132)-LEN(SUBSTITUTE(A132,{"0","1","2","3"},"")))))))))+1, 1) * 10^ROW(INDIRECT("1:"&amp;LEN((LEFT(A132,SUM(LEN(A132)-LEN(SUBSTITUTE(A132,{"0","1","2","3"},""))))))))/10))*100+1</f>
        <v>91201</v>
      </c>
      <c r="V133" s="20">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2701</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81">
        <v>2</v>
      </c>
      <c r="B134" s="81"/>
      <c r="C134" s="50" t="s">
        <v>329</v>
      </c>
      <c r="D134" s="50" t="s">
        <v>332</v>
      </c>
      <c r="E134" s="6">
        <f>(65.97)*(10.764)</f>
        <v>710.10107999999991</v>
      </c>
      <c r="F134" s="6">
        <f>(0.6*3.05+0.6*3.05+0.75*2.13)*(10.764)</f>
        <v>56.591729999999991</v>
      </c>
      <c r="G134" s="6">
        <v>0</v>
      </c>
      <c r="H134" s="6">
        <f t="shared" ref="H134:H139" si="9">E134+F134+(IF(G134&lt;101,G134,IF(G134&lt;201,G134/2,IF(G134&lt;=301,G134/3,G134/4))))</f>
        <v>766.69280999999989</v>
      </c>
      <c r="I134" s="1"/>
      <c r="J134" s="1"/>
      <c r="K134" s="1"/>
      <c r="L134" s="1"/>
      <c r="M134" s="1"/>
      <c r="N134" s="1"/>
      <c r="O134" s="1"/>
      <c r="P134" s="1"/>
      <c r="Q134" s="1"/>
      <c r="R134" s="1"/>
      <c r="S134" s="1"/>
      <c r="T134" s="20" t="str">
        <f t="shared" ref="T134:T139" ca="1" si="10">U134&amp;""&amp;" to "&amp;""&amp;V134</f>
        <v>91202 to 2702</v>
      </c>
      <c r="U134" s="20">
        <f ca="1">U133+1</f>
        <v>91202</v>
      </c>
      <c r="V134" s="20">
        <f ca="1">V133+1</f>
        <v>2702</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81">
        <v>3</v>
      </c>
      <c r="B135" s="81"/>
      <c r="C135" s="50" t="s">
        <v>329</v>
      </c>
      <c r="D135" s="50" t="s">
        <v>333</v>
      </c>
      <c r="E135" s="6">
        <f>(83.3)*(10.764)</f>
        <v>896.64119999999991</v>
      </c>
      <c r="F135" s="6">
        <f>(0.6*6+0.75*2.13+3.04*0.6)*(10.764)</f>
        <v>75.579425999999998</v>
      </c>
      <c r="G135" s="6">
        <v>0</v>
      </c>
      <c r="H135" s="6">
        <f t="shared" si="9"/>
        <v>972.22062599999992</v>
      </c>
      <c r="I135" s="1"/>
      <c r="J135" s="1"/>
      <c r="K135" s="1"/>
      <c r="L135" s="1"/>
      <c r="M135" s="1"/>
      <c r="N135" s="1"/>
      <c r="O135" s="1"/>
      <c r="P135" s="1"/>
      <c r="Q135" s="1"/>
      <c r="R135" s="1"/>
      <c r="S135" s="1"/>
      <c r="T135" s="20" t="str">
        <f t="shared" ca="1" si="10"/>
        <v>91203 to 2703</v>
      </c>
      <c r="U135" s="20">
        <f t="shared" ref="U135:U139" ca="1" si="11">U134+1</f>
        <v>91203</v>
      </c>
      <c r="V135" s="20">
        <f t="shared" ref="V135:V139" ca="1" si="12">V134+1</f>
        <v>2703</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81">
        <v>4</v>
      </c>
      <c r="B136" s="81"/>
      <c r="C136" s="50" t="s">
        <v>329</v>
      </c>
      <c r="D136" s="50" t="s">
        <v>333</v>
      </c>
      <c r="E136" s="6">
        <f>(81.31)*(10.764)</f>
        <v>875.22083999999995</v>
      </c>
      <c r="F136" s="6">
        <f>(0.6*6+0.75*2.13+3.04*0.6)*(10.764)</f>
        <v>75.579425999999998</v>
      </c>
      <c r="G136" s="6">
        <v>0</v>
      </c>
      <c r="H136" s="6">
        <f t="shared" si="9"/>
        <v>950.80026599999997</v>
      </c>
      <c r="I136" s="1">
        <f>14500000/H136</f>
        <v>15250.311257275143</v>
      </c>
      <c r="J136" s="1"/>
      <c r="K136" s="1"/>
      <c r="L136" s="1"/>
      <c r="M136" s="1"/>
      <c r="N136" s="1"/>
      <c r="O136" s="1"/>
      <c r="P136" s="1"/>
      <c r="Q136" s="1"/>
      <c r="R136" s="1"/>
      <c r="S136" s="1"/>
      <c r="T136" s="20" t="str">
        <f t="shared" ca="1" si="10"/>
        <v>91204 to 2704</v>
      </c>
      <c r="U136" s="20">
        <f t="shared" ca="1" si="11"/>
        <v>91204</v>
      </c>
      <c r="V136" s="20">
        <f t="shared" ca="1" si="12"/>
        <v>2704</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1">
        <v>5</v>
      </c>
      <c r="B137" s="81"/>
      <c r="C137" s="50" t="s">
        <v>329</v>
      </c>
      <c r="D137" s="50" t="s">
        <v>333</v>
      </c>
      <c r="E137" s="6">
        <f>(83.3)*(10.764)</f>
        <v>896.64119999999991</v>
      </c>
      <c r="F137" s="6">
        <f>(0.6*6+0.75*2.13+3.04*0.6)*(10.764)</f>
        <v>75.579425999999998</v>
      </c>
      <c r="G137" s="6">
        <v>0</v>
      </c>
      <c r="H137" s="6">
        <f t="shared" si="9"/>
        <v>972.22062599999992</v>
      </c>
      <c r="I137" s="1"/>
      <c r="J137" s="1"/>
      <c r="K137" s="1"/>
      <c r="L137" s="1"/>
      <c r="M137" s="1"/>
      <c r="N137" s="1"/>
      <c r="O137" s="1"/>
      <c r="P137" s="1"/>
      <c r="Q137" s="1"/>
      <c r="R137" s="1"/>
      <c r="S137" s="1"/>
      <c r="T137" s="20" t="str">
        <f t="shared" ca="1" si="10"/>
        <v>91205 to 2705</v>
      </c>
      <c r="U137" s="20">
        <f t="shared" ca="1" si="11"/>
        <v>91205</v>
      </c>
      <c r="V137" s="20">
        <f t="shared" ca="1" si="12"/>
        <v>2705</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81">
        <v>6</v>
      </c>
      <c r="B138" s="81"/>
      <c r="C138" s="50" t="s">
        <v>329</v>
      </c>
      <c r="D138" s="50" t="s">
        <v>332</v>
      </c>
      <c r="E138" s="6">
        <f>(62.28)*(10.764)</f>
        <v>670.38191999999992</v>
      </c>
      <c r="F138" s="6">
        <f>(0.75*2.13+3.05*0.6+3.05*0.6)*(10.764)</f>
        <v>56.591729999999991</v>
      </c>
      <c r="G138" s="6">
        <v>0</v>
      </c>
      <c r="H138" s="6">
        <f t="shared" si="9"/>
        <v>726.97364999999991</v>
      </c>
      <c r="I138" s="1"/>
      <c r="J138" s="1"/>
      <c r="K138" s="1"/>
      <c r="L138" s="1"/>
      <c r="M138" s="1"/>
      <c r="N138" s="1"/>
      <c r="O138" s="1"/>
      <c r="P138" s="1"/>
      <c r="Q138" s="1"/>
      <c r="R138" s="1"/>
      <c r="S138" s="1"/>
      <c r="T138" s="20" t="str">
        <f t="shared" ca="1" si="10"/>
        <v>91206 to 2706</v>
      </c>
      <c r="U138" s="20">
        <f t="shared" ca="1" si="11"/>
        <v>91206</v>
      </c>
      <c r="V138" s="20">
        <f t="shared" ca="1" si="12"/>
        <v>2706</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1">
        <v>7</v>
      </c>
      <c r="B139" s="81"/>
      <c r="C139" s="50" t="s">
        <v>329</v>
      </c>
      <c r="D139" s="50" t="s">
        <v>332</v>
      </c>
      <c r="E139" s="6">
        <f>(62.28)*(10.764)</f>
        <v>670.38191999999992</v>
      </c>
      <c r="F139" s="6">
        <f>(0.75*2.13+3.05*0.6+3.05*0.6)*(10.764)</f>
        <v>56.591729999999991</v>
      </c>
      <c r="G139" s="6">
        <v>0</v>
      </c>
      <c r="H139" s="6">
        <f t="shared" si="9"/>
        <v>726.97364999999991</v>
      </c>
      <c r="I139" s="1">
        <f>11300000/H139</f>
        <v>15543.892134192211</v>
      </c>
      <c r="J139" s="1"/>
      <c r="K139" s="1"/>
      <c r="L139" s="1"/>
      <c r="M139" s="1"/>
      <c r="N139" s="1"/>
      <c r="O139" s="1"/>
      <c r="P139" s="1"/>
      <c r="Q139" s="1"/>
      <c r="R139" s="1"/>
      <c r="S139" s="1"/>
      <c r="T139" s="20" t="str">
        <f t="shared" ca="1" si="10"/>
        <v>91207 to 2707</v>
      </c>
      <c r="U139" s="20">
        <f t="shared" ca="1" si="11"/>
        <v>91207</v>
      </c>
      <c r="V139" s="20">
        <f t="shared" ca="1" si="12"/>
        <v>2707</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82" t="s">
        <v>336</v>
      </c>
      <c r="B140" s="83"/>
      <c r="C140" s="83"/>
      <c r="D140" s="83"/>
      <c r="E140" s="83"/>
      <c r="F140" s="83"/>
      <c r="G140" s="83"/>
      <c r="H140" s="84"/>
      <c r="I140" s="1">
        <f>3</f>
        <v>3</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1">
        <v>1</v>
      </c>
      <c r="B141" s="81"/>
      <c r="C141" s="50" t="s">
        <v>329</v>
      </c>
      <c r="D141" s="50" t="s">
        <v>332</v>
      </c>
      <c r="E141" s="6">
        <f>(65.97)*(10.764)</f>
        <v>710.10107999999991</v>
      </c>
      <c r="F141" s="6">
        <f>(0.6*3.05+0.6*3.05+0.75*2.13)*(10.764)</f>
        <v>56.591729999999991</v>
      </c>
      <c r="G141" s="6">
        <v>0</v>
      </c>
      <c r="H141" s="6">
        <f>E141+F141+(IF(G141&lt;101,G141,IF(G141&lt;201,G141/2,IF(G141&lt;=301,G141/3,G141/4))))</f>
        <v>766.69280999999989</v>
      </c>
      <c r="I141" s="1"/>
      <c r="J141" s="1"/>
      <c r="K141" s="1"/>
      <c r="L141" s="1"/>
      <c r="M141" s="1"/>
      <c r="N141" s="1"/>
      <c r="O141" s="1"/>
      <c r="P141" s="1"/>
      <c r="Q141" s="1"/>
      <c r="R141" s="1"/>
      <c r="S141" s="1"/>
      <c r="T141" s="20" t="str">
        <f t="shared" ref="T141:T147" ca="1" si="13">U141&amp;""&amp;",..,"&amp;""&amp;V141</f>
        <v>1301,..,2301</v>
      </c>
      <c r="U141" s="20">
        <f ca="1">(SUMPRODUCT(MID(0&amp;(LEFT(A140,SUM(LEN(A140)-LEN(SUBSTITUTE(A140,{"0","1","2","3"},""))))), LARGE(INDEX(ISNUMBER(--MID((LEFT(A140,SUM(LEN(A140)-LEN(SUBSTITUTE(A140,{"0","1","2","3"},""))))), ROW(INDIRECT("1:"&amp;LEN((LEFT(A140,SUM(LEN(A140)-LEN(SUBSTITUTE(A140,{"0","1","2","3"},"")))))))), 1)) * ROW(INDIRECT("1:"&amp;LEN((LEFT(A140,SUM(LEN(A140)-LEN(SUBSTITUTE(A140,{"0","1","2","3"},"")))))))), 0), ROW(INDIRECT("1:"&amp;LEN((LEFT(A140,SUM(LEN(A140)-LEN(SUBSTITUTE(A140,{"0","1","2","3"},"")))))))))+1, 1) * 10^ROW(INDIRECT("1:"&amp;LEN((LEFT(A140,SUM(LEN(A140)-LEN(SUBSTITUTE(A140,{"0","1","2","3"},""))))))))/10))*100+1</f>
        <v>1301</v>
      </c>
      <c r="V141" s="20">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2301</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1">
        <v>2</v>
      </c>
      <c r="B142" s="81"/>
      <c r="C142" s="50" t="s">
        <v>329</v>
      </c>
      <c r="D142" s="50" t="s">
        <v>332</v>
      </c>
      <c r="E142" s="6">
        <f>(65.97)*(10.764)</f>
        <v>710.10107999999991</v>
      </c>
      <c r="F142" s="6">
        <f>(0.6*3.05+0.6*3.05+0.75*2.13)*(10.764)</f>
        <v>56.591729999999991</v>
      </c>
      <c r="G142" s="6">
        <v>0</v>
      </c>
      <c r="H142" s="6">
        <f t="shared" ref="H142:H145" si="14">E142+F142+(IF(G142&lt;101,G142,IF(G142&lt;201,G142/2,IF(G142&lt;=301,G142/3,G142/4))))</f>
        <v>766.69280999999989</v>
      </c>
      <c r="I142" s="1"/>
      <c r="J142" s="1"/>
      <c r="K142" s="1"/>
      <c r="L142" s="1"/>
      <c r="M142" s="1"/>
      <c r="N142" s="1"/>
      <c r="O142" s="1"/>
      <c r="P142" s="1"/>
      <c r="Q142" s="1"/>
      <c r="R142" s="1"/>
      <c r="S142" s="1"/>
      <c r="T142" s="20" t="str">
        <f t="shared" ca="1" si="13"/>
        <v>1302,..,2302</v>
      </c>
      <c r="U142" s="20">
        <f ca="1">U141+1</f>
        <v>1302</v>
      </c>
      <c r="V142" s="20">
        <f ca="1">V141+1</f>
        <v>2302</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81">
        <v>3</v>
      </c>
      <c r="B143" s="81"/>
      <c r="C143" s="50" t="s">
        <v>329</v>
      </c>
      <c r="D143" s="50" t="s">
        <v>333</v>
      </c>
      <c r="E143" s="6">
        <f>(83.3)*(10.764)</f>
        <v>896.64119999999991</v>
      </c>
      <c r="F143" s="6">
        <f>(0.6*6+0.75*2.13+3.04*0.6)*(10.764)</f>
        <v>75.579425999999998</v>
      </c>
      <c r="G143" s="6">
        <v>0</v>
      </c>
      <c r="H143" s="6">
        <f t="shared" si="14"/>
        <v>972.22062599999992</v>
      </c>
      <c r="I143" s="1"/>
      <c r="J143" s="1"/>
      <c r="K143" s="1"/>
      <c r="L143" s="1"/>
      <c r="M143" s="1"/>
      <c r="N143" s="1"/>
      <c r="O143" s="1"/>
      <c r="P143" s="1"/>
      <c r="Q143" s="1"/>
      <c r="R143" s="1"/>
      <c r="S143" s="1"/>
      <c r="T143" s="20" t="str">
        <f t="shared" ca="1" si="13"/>
        <v>1303,..,2303</v>
      </c>
      <c r="U143" s="20">
        <f t="shared" ref="U143:V147" ca="1" si="15">U142+1</f>
        <v>1303</v>
      </c>
      <c r="V143" s="20">
        <f t="shared" ca="1" si="15"/>
        <v>2303</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81">
        <v>4</v>
      </c>
      <c r="B144" s="81"/>
      <c r="C144" s="50" t="s">
        <v>329</v>
      </c>
      <c r="D144" s="50" t="s">
        <v>333</v>
      </c>
      <c r="E144" s="6">
        <f>(81.31)*(10.764)</f>
        <v>875.22083999999995</v>
      </c>
      <c r="F144" s="6">
        <f>(0.6*6+0.75*2.13+3.04*0.6)*(10.764)</f>
        <v>75.579425999999998</v>
      </c>
      <c r="G144" s="6">
        <v>0</v>
      </c>
      <c r="H144" s="6">
        <f t="shared" si="14"/>
        <v>950.80026599999997</v>
      </c>
      <c r="I144" s="1">
        <f>14424300/H144</f>
        <v>15170.694115056127</v>
      </c>
      <c r="J144" s="1"/>
      <c r="K144" s="1"/>
      <c r="L144" s="1"/>
      <c r="M144" s="1"/>
      <c r="N144" s="1"/>
      <c r="O144" s="1"/>
      <c r="P144" s="1"/>
      <c r="Q144" s="1"/>
      <c r="R144" s="1"/>
      <c r="S144" s="1"/>
      <c r="T144" s="20" t="str">
        <f t="shared" ca="1" si="13"/>
        <v>1304,..,2304</v>
      </c>
      <c r="U144" s="20">
        <f t="shared" ca="1" si="15"/>
        <v>1304</v>
      </c>
      <c r="V144" s="20">
        <f t="shared" ca="1" si="15"/>
        <v>2304</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1">
        <v>5</v>
      </c>
      <c r="B145" s="81"/>
      <c r="C145" s="50" t="s">
        <v>329</v>
      </c>
      <c r="D145" s="50" t="s">
        <v>333</v>
      </c>
      <c r="E145" s="6">
        <f>(83.3)*(10.764)</f>
        <v>896.64119999999991</v>
      </c>
      <c r="F145" s="6">
        <f>(0.6*6+0.75*2.13+3.04*0.6)*(10.764)</f>
        <v>75.579425999999998</v>
      </c>
      <c r="G145" s="6">
        <v>0</v>
      </c>
      <c r="H145" s="6">
        <f t="shared" si="14"/>
        <v>972.22062599999992</v>
      </c>
      <c r="I145" s="1"/>
      <c r="J145" s="1"/>
      <c r="K145" s="1"/>
      <c r="L145" s="1"/>
      <c r="M145" s="1"/>
      <c r="N145" s="1"/>
      <c r="O145" s="1"/>
      <c r="P145" s="1"/>
      <c r="Q145" s="1"/>
      <c r="R145" s="1"/>
      <c r="S145" s="1"/>
      <c r="T145" s="20" t="str">
        <f t="shared" ca="1" si="13"/>
        <v>1305,..,2305</v>
      </c>
      <c r="U145" s="20">
        <f t="shared" ca="1" si="15"/>
        <v>1305</v>
      </c>
      <c r="V145" s="20">
        <f t="shared" ca="1" si="15"/>
        <v>2305</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1">
        <v>6</v>
      </c>
      <c r="B146" s="81"/>
      <c r="C146" s="50" t="s">
        <v>329</v>
      </c>
      <c r="D146" s="75" t="s">
        <v>334</v>
      </c>
      <c r="E146" s="76"/>
      <c r="F146" s="76"/>
      <c r="G146" s="76"/>
      <c r="H146" s="77"/>
      <c r="I146" s="1"/>
      <c r="J146" s="1"/>
      <c r="K146" s="1"/>
      <c r="L146" s="1"/>
      <c r="M146" s="1"/>
      <c r="N146" s="1"/>
      <c r="O146" s="1"/>
      <c r="P146" s="1"/>
      <c r="Q146" s="1"/>
      <c r="R146" s="1"/>
      <c r="S146" s="1"/>
      <c r="T146" s="20" t="str">
        <f t="shared" ca="1" si="13"/>
        <v>1306,..,2306</v>
      </c>
      <c r="U146" s="20">
        <f t="shared" ca="1" si="15"/>
        <v>1306</v>
      </c>
      <c r="V146" s="20">
        <f t="shared" ca="1" si="15"/>
        <v>2306</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1">
        <v>7</v>
      </c>
      <c r="B147" s="81"/>
      <c r="C147" s="50" t="s">
        <v>329</v>
      </c>
      <c r="D147" s="50" t="s">
        <v>332</v>
      </c>
      <c r="E147" s="6">
        <f>(62.28)*(10.764)</f>
        <v>670.38191999999992</v>
      </c>
      <c r="F147" s="6">
        <f>(0.75*2.13+3.05*0.6+3.05*0.6)*(10.764)</f>
        <v>56.591729999999991</v>
      </c>
      <c r="G147" s="6">
        <v>0</v>
      </c>
      <c r="H147" s="6">
        <f t="shared" ref="H147" si="16">E147+F147+(IF(G147&lt;101,G147,IF(G147&lt;201,G147/2,IF(G147&lt;=301,G147/3,G147/4))))</f>
        <v>726.97364999999991</v>
      </c>
      <c r="I147" s="1">
        <f>11178000/H147</f>
        <v>15376.073121769959</v>
      </c>
      <c r="J147" s="1"/>
      <c r="K147" s="1"/>
      <c r="L147" s="1"/>
      <c r="M147" s="1"/>
      <c r="N147" s="1"/>
      <c r="O147" s="1"/>
      <c r="P147" s="1"/>
      <c r="Q147" s="1"/>
      <c r="R147" s="1"/>
      <c r="S147" s="1"/>
      <c r="T147" s="20" t="str">
        <f t="shared" ca="1" si="13"/>
        <v>1307,..,2307</v>
      </c>
      <c r="U147" s="20">
        <f t="shared" ca="1" si="15"/>
        <v>1307</v>
      </c>
      <c r="V147" s="20">
        <f t="shared" ca="1" si="15"/>
        <v>2307</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82" t="s">
        <v>337</v>
      </c>
      <c r="B148" s="83"/>
      <c r="C148" s="83"/>
      <c r="D148" s="83"/>
      <c r="E148" s="83"/>
      <c r="F148" s="83"/>
      <c r="G148" s="83"/>
      <c r="H148" s="84"/>
      <c r="I148" s="1">
        <f>1</f>
        <v>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81">
        <v>1</v>
      </c>
      <c r="B149" s="81"/>
      <c r="C149" s="50" t="s">
        <v>329</v>
      </c>
      <c r="D149" s="50" t="s">
        <v>332</v>
      </c>
      <c r="E149" s="6">
        <f>(65.97)*(10.764)</f>
        <v>710.10107999999991</v>
      </c>
      <c r="F149" s="6">
        <f>(0.6*3.05+0.6*3.05+0.75*2.13)*(10.764)</f>
        <v>56.591729999999991</v>
      </c>
      <c r="G149" s="6">
        <v>0</v>
      </c>
      <c r="H149" s="6">
        <f>E149+F149+(IF(G149&lt;101,G149,IF(G149&lt;201,G149/2,IF(G149&lt;=301,G149/3,G149/4))))</f>
        <v>766.69280999999989</v>
      </c>
      <c r="I149" s="1"/>
      <c r="J149" s="1"/>
      <c r="K149" s="1"/>
      <c r="L149" s="1"/>
      <c r="M149" s="1"/>
      <c r="N149" s="1"/>
      <c r="O149" s="1"/>
      <c r="P149" s="1"/>
      <c r="Q149" s="1"/>
      <c r="R149" s="1"/>
      <c r="S149" s="1"/>
      <c r="T149" s="20" t="str">
        <f ca="1">U149&amp;""&amp;" to "&amp;""&amp;V149</f>
        <v>201 to 2801</v>
      </c>
      <c r="U149" s="20">
        <f ca="1">(SUMPRODUCT(MID(0&amp;(LEFT(A148,SUM(LEN(A148)-LEN(SUBSTITUTE(A148,{"0","1","2","3"},""))))), LARGE(INDEX(ISNUMBER(--MID((LEFT(A148,SUM(LEN(A148)-LEN(SUBSTITUTE(A148,{"0","1","2","3"},""))))), ROW(INDIRECT("1:"&amp;LEN((LEFT(A148,SUM(LEN(A148)-LEN(SUBSTITUTE(A148,{"0","1","2","3"},"")))))))), 1)) * ROW(INDIRECT("1:"&amp;LEN((LEFT(A148,SUM(LEN(A148)-LEN(SUBSTITUTE(A148,{"0","1","2","3"},"")))))))), 0), ROW(INDIRECT("1:"&amp;LEN((LEFT(A148,SUM(LEN(A148)-LEN(SUBSTITUTE(A148,{"0","1","2","3"},"")))))))))+1, 1) * 10^ROW(INDIRECT("1:"&amp;LEN((LEFT(A148,SUM(LEN(A148)-LEN(SUBSTITUTE(A148,{"0","1","2","3"},""))))))))/10))*100+1</f>
        <v>201</v>
      </c>
      <c r="V149" s="20">
        <f ca="1">(SUMPRODUCT(MID(0&amp;(--TRIM(RIGHT(SUBSTITUTE(LEFT(A148,_xlfn.AGGREGATE(16,6,FIND({0,1,2,3,4,5,6,7,8,9},A148,ROW(INDIRECT("1:"&amp;LEN(A148)))),1)),"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2801</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81">
        <v>2</v>
      </c>
      <c r="B150" s="81"/>
      <c r="C150" s="50" t="s">
        <v>329</v>
      </c>
      <c r="D150" s="50" t="s">
        <v>332</v>
      </c>
      <c r="E150" s="6">
        <f>(65.97)*(10.764)</f>
        <v>710.10107999999991</v>
      </c>
      <c r="F150" s="6">
        <f>(0.6*3.05+0.6*3.05+0.75*2.13)*(10.764)</f>
        <v>56.591729999999991</v>
      </c>
      <c r="G150" s="6">
        <v>0</v>
      </c>
      <c r="H150" s="6">
        <f t="shared" ref="H150:H152" si="17">E150+F150+(IF(G150&lt;101,G150,IF(G150&lt;201,G150/2,IF(G150&lt;=301,G150/3,G150/4))))</f>
        <v>766.69280999999989</v>
      </c>
      <c r="I150" s="1"/>
      <c r="J150" s="1"/>
      <c r="K150" s="1"/>
      <c r="L150" s="1"/>
      <c r="M150" s="1"/>
      <c r="N150" s="1"/>
      <c r="O150" s="1"/>
      <c r="P150" s="1"/>
      <c r="Q150" s="1"/>
      <c r="R150" s="1"/>
      <c r="S150" s="1"/>
      <c r="T150" s="20" t="str">
        <f t="shared" ref="T150:T155" ca="1" si="18">U150&amp;""&amp;" to "&amp;""&amp;V150</f>
        <v>202 to 2802</v>
      </c>
      <c r="U150" s="20">
        <f ca="1">U149+1</f>
        <v>202</v>
      </c>
      <c r="V150" s="20">
        <f ca="1">V149+1</f>
        <v>2802</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81">
        <v>3</v>
      </c>
      <c r="B151" s="81"/>
      <c r="C151" s="50" t="s">
        <v>329</v>
      </c>
      <c r="D151" s="50" t="s">
        <v>332</v>
      </c>
      <c r="E151" s="6">
        <f>(83.3-8.77)*(10.764)</f>
        <v>802.24091999999996</v>
      </c>
      <c r="F151" s="6">
        <f>(0.6*3.04+0.75*2.13+3.04*0.6)*(10.764)</f>
        <v>56.462561999999991</v>
      </c>
      <c r="G151" s="6">
        <f>(8.77)*(10.764)</f>
        <v>94.400279999999995</v>
      </c>
      <c r="H151" s="6">
        <f t="shared" si="17"/>
        <v>953.10376199999985</v>
      </c>
      <c r="I151" s="1">
        <f>2.75*3.05</f>
        <v>8.3874999999999993</v>
      </c>
      <c r="J151" s="1"/>
      <c r="K151" s="1"/>
      <c r="L151" s="1"/>
      <c r="M151" s="1"/>
      <c r="N151" s="1"/>
      <c r="O151" s="1"/>
      <c r="P151" s="1"/>
      <c r="Q151" s="1"/>
      <c r="R151" s="1"/>
      <c r="S151" s="1"/>
      <c r="T151" s="20" t="str">
        <f t="shared" ca="1" si="18"/>
        <v>203 to 2803</v>
      </c>
      <c r="U151" s="20">
        <f t="shared" ref="U151:V155" ca="1" si="19">U150+1</f>
        <v>203</v>
      </c>
      <c r="V151" s="20">
        <f t="shared" ca="1" si="19"/>
        <v>2803</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81">
        <v>4</v>
      </c>
      <c r="B152" s="81"/>
      <c r="C152" s="50" t="s">
        <v>329</v>
      </c>
      <c r="D152" s="50" t="s">
        <v>332</v>
      </c>
      <c r="E152" s="6">
        <f>(81.31-8.77)*(10.764)</f>
        <v>780.82056</v>
      </c>
      <c r="F152" s="6">
        <f>(0.6*3.04+0.75*2.13+3.04*0.6)*(10.764)</f>
        <v>56.462561999999991</v>
      </c>
      <c r="G152" s="6">
        <f>(8.77)*(10.764)</f>
        <v>94.400279999999995</v>
      </c>
      <c r="H152" s="6">
        <f t="shared" si="17"/>
        <v>931.683402</v>
      </c>
      <c r="I152" s="1"/>
      <c r="J152" s="1"/>
      <c r="K152" s="1"/>
      <c r="L152" s="1"/>
      <c r="M152" s="1"/>
      <c r="N152" s="1"/>
      <c r="O152" s="1"/>
      <c r="P152" s="1"/>
      <c r="Q152" s="1"/>
      <c r="R152" s="1"/>
      <c r="S152" s="1"/>
      <c r="T152" s="20" t="str">
        <f t="shared" ca="1" si="18"/>
        <v>204 to 2804</v>
      </c>
      <c r="U152" s="20">
        <f t="shared" ca="1" si="19"/>
        <v>204</v>
      </c>
      <c r="V152" s="20">
        <f t="shared" ca="1" si="19"/>
        <v>2804</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81">
        <v>5</v>
      </c>
      <c r="B153" s="81"/>
      <c r="C153" s="50" t="s">
        <v>329</v>
      </c>
      <c r="D153" s="120" t="s">
        <v>338</v>
      </c>
      <c r="E153" s="121"/>
      <c r="F153" s="121"/>
      <c r="G153" s="121"/>
      <c r="H153" s="122"/>
      <c r="I153" s="1"/>
      <c r="J153" s="1"/>
      <c r="K153" s="1"/>
      <c r="L153" s="1"/>
      <c r="M153" s="1"/>
      <c r="N153" s="1"/>
      <c r="O153" s="1"/>
      <c r="P153" s="1"/>
      <c r="Q153" s="1"/>
      <c r="R153" s="1"/>
      <c r="S153" s="1"/>
      <c r="T153" s="20" t="str">
        <f t="shared" ca="1" si="18"/>
        <v>205 to 2805</v>
      </c>
      <c r="U153" s="20">
        <f t="shared" ca="1" si="19"/>
        <v>205</v>
      </c>
      <c r="V153" s="20">
        <f t="shared" ca="1" si="19"/>
        <v>2805</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1">
        <v>6</v>
      </c>
      <c r="B154" s="81"/>
      <c r="C154" s="50" t="s">
        <v>329</v>
      </c>
      <c r="D154" s="123"/>
      <c r="E154" s="124"/>
      <c r="F154" s="124"/>
      <c r="G154" s="124"/>
      <c r="H154" s="125"/>
      <c r="I154" s="1"/>
      <c r="J154" s="1"/>
      <c r="K154" s="1"/>
      <c r="L154" s="1"/>
      <c r="M154" s="1"/>
      <c r="N154" s="1"/>
      <c r="O154" s="1"/>
      <c r="P154" s="1"/>
      <c r="Q154" s="1"/>
      <c r="R154" s="1"/>
      <c r="S154" s="1"/>
      <c r="T154" s="20" t="str">
        <f t="shared" ca="1" si="18"/>
        <v>206 to 2806</v>
      </c>
      <c r="U154" s="20">
        <f t="shared" ca="1" si="19"/>
        <v>206</v>
      </c>
      <c r="V154" s="20">
        <f t="shared" ca="1" si="19"/>
        <v>2806</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81">
        <v>7</v>
      </c>
      <c r="B155" s="81"/>
      <c r="C155" s="50" t="s">
        <v>329</v>
      </c>
      <c r="D155" s="126"/>
      <c r="E155" s="127"/>
      <c r="F155" s="127"/>
      <c r="G155" s="127"/>
      <c r="H155" s="128"/>
      <c r="I155" s="1"/>
      <c r="J155" s="1"/>
      <c r="K155" s="1"/>
      <c r="L155" s="1"/>
      <c r="M155" s="1"/>
      <c r="N155" s="1"/>
      <c r="O155" s="1"/>
      <c r="P155" s="1"/>
      <c r="Q155" s="1"/>
      <c r="R155" s="1"/>
      <c r="S155" s="1"/>
      <c r="T155" s="20" t="str">
        <f t="shared" ca="1" si="18"/>
        <v>207 to 2807</v>
      </c>
      <c r="U155" s="20">
        <f t="shared" ca="1" si="19"/>
        <v>207</v>
      </c>
      <c r="V155" s="20">
        <f t="shared" ca="1" si="19"/>
        <v>2807</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82" t="s">
        <v>374</v>
      </c>
      <c r="B156" s="83"/>
      <c r="C156" s="83"/>
      <c r="D156" s="83"/>
      <c r="E156" s="83"/>
      <c r="F156" s="83"/>
      <c r="G156" s="83"/>
      <c r="H156" s="84"/>
      <c r="I156" s="1">
        <f>1</f>
        <v>1</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ht="20.25" x14ac:dyDescent="0.25">
      <c r="A157" s="113" t="s">
        <v>70</v>
      </c>
      <c r="B157" s="113"/>
      <c r="C157" s="113"/>
      <c r="D157" s="113"/>
      <c r="E157" s="113"/>
      <c r="F157" s="113"/>
      <c r="G157" s="113"/>
      <c r="H157" s="113"/>
    </row>
    <row r="158" spans="1:150 16226:16383" ht="20.25" x14ac:dyDescent="0.25">
      <c r="A158" s="2" t="s">
        <v>234</v>
      </c>
      <c r="B158" s="95" t="s">
        <v>351</v>
      </c>
      <c r="C158" s="96"/>
      <c r="D158" s="96"/>
      <c r="E158" s="96"/>
      <c r="F158" s="96"/>
      <c r="G158" s="96"/>
      <c r="H158" s="97"/>
    </row>
    <row r="159" spans="1:150 16226:16383" ht="20.25" x14ac:dyDescent="0.25">
      <c r="A159" s="2" t="s">
        <v>234</v>
      </c>
      <c r="B159" s="95" t="s">
        <v>235</v>
      </c>
      <c r="C159" s="96"/>
      <c r="D159" s="96"/>
      <c r="E159" s="96"/>
      <c r="F159" s="96"/>
      <c r="G159" s="96"/>
      <c r="H159" s="97"/>
    </row>
    <row r="160" spans="1:150 16226:16383" ht="20.25" x14ac:dyDescent="0.25">
      <c r="A160" s="2" t="s">
        <v>234</v>
      </c>
      <c r="B160" s="95" t="s">
        <v>370</v>
      </c>
      <c r="C160" s="96"/>
      <c r="D160" s="96"/>
      <c r="E160" s="96"/>
      <c r="F160" s="96"/>
      <c r="G160" s="96"/>
      <c r="H160" s="97"/>
    </row>
    <row r="161" spans="1:8" ht="20.25" x14ac:dyDescent="0.25">
      <c r="A161" s="2" t="s">
        <v>234</v>
      </c>
      <c r="B161" s="95" t="s">
        <v>236</v>
      </c>
      <c r="C161" s="96"/>
      <c r="D161" s="96"/>
      <c r="E161" s="96"/>
      <c r="F161" s="96"/>
      <c r="G161" s="96"/>
      <c r="H161" s="97"/>
    </row>
    <row r="162" spans="1:8" ht="20.25" x14ac:dyDescent="0.25">
      <c r="A162" s="2" t="s">
        <v>234</v>
      </c>
      <c r="B162" s="95" t="s">
        <v>237</v>
      </c>
      <c r="C162" s="96"/>
      <c r="D162" s="96"/>
      <c r="E162" s="96"/>
      <c r="F162" s="96"/>
      <c r="G162" s="96"/>
      <c r="H162" s="97"/>
    </row>
    <row r="163" spans="1:8" ht="46.5" hidden="1" customHeight="1" x14ac:dyDescent="0.25">
      <c r="A163" s="2" t="s">
        <v>234</v>
      </c>
      <c r="B163" s="119" t="s">
        <v>238</v>
      </c>
      <c r="C163" s="96"/>
      <c r="D163" s="96"/>
      <c r="E163" s="96"/>
      <c r="F163" s="96"/>
      <c r="G163" s="96"/>
      <c r="H163" s="97"/>
    </row>
    <row r="164" spans="1:8" ht="20.25" x14ac:dyDescent="0.25">
      <c r="A164" s="138" t="s">
        <v>76</v>
      </c>
      <c r="B164" s="138"/>
      <c r="C164" s="138"/>
      <c r="D164" s="138"/>
      <c r="E164" s="138"/>
      <c r="F164" s="138"/>
      <c r="G164" s="138"/>
      <c r="H164" s="138"/>
    </row>
    <row r="165" spans="1:8" ht="20.25" x14ac:dyDescent="0.25">
      <c r="A165" s="90" t="s">
        <v>71</v>
      </c>
      <c r="B165" s="90"/>
      <c r="C165" s="90"/>
      <c r="D165" s="95" t="str">
        <f>C3</f>
        <v>Rainbow Life</v>
      </c>
      <c r="E165" s="96"/>
      <c r="F165" s="96"/>
      <c r="G165" s="96"/>
      <c r="H165" s="97"/>
    </row>
    <row r="166" spans="1:8" ht="40.5" customHeight="1" x14ac:dyDescent="0.25">
      <c r="A166" s="90" t="s">
        <v>105</v>
      </c>
      <c r="B166" s="90"/>
      <c r="C166" s="90"/>
      <c r="D166" s="95" t="str">
        <f>C9</f>
        <v>Ellora Rainbow Life, 73/1/B, Sector 37, Kharghar, Navi Mumbai, Maharashtra 410208, 410210</v>
      </c>
      <c r="E166" s="96"/>
      <c r="F166" s="96"/>
      <c r="G166" s="96"/>
      <c r="H166" s="97"/>
    </row>
    <row r="167" spans="1:8" ht="20.25" customHeight="1" x14ac:dyDescent="0.25">
      <c r="A167" s="148" t="s">
        <v>111</v>
      </c>
      <c r="B167" s="148"/>
      <c r="C167" s="148"/>
      <c r="D167" s="95" t="str">
        <f>G3</f>
        <v>06/08/2025 at 01:09PM</v>
      </c>
      <c r="E167" s="96"/>
      <c r="F167" s="96"/>
      <c r="G167" s="96"/>
      <c r="H167" s="97"/>
    </row>
    <row r="168" spans="1:8" ht="20.25" x14ac:dyDescent="0.25">
      <c r="A168" s="9"/>
      <c r="B168" s="10"/>
      <c r="C168" s="10"/>
      <c r="D168" s="10"/>
      <c r="E168" s="10"/>
      <c r="F168" s="10"/>
      <c r="G168" s="10"/>
      <c r="H168" s="7"/>
    </row>
    <row r="169" spans="1:8" ht="20.25" x14ac:dyDescent="0.25">
      <c r="A169" s="11"/>
      <c r="B169" s="12"/>
      <c r="C169" s="12"/>
      <c r="D169" s="12"/>
      <c r="E169" s="12"/>
      <c r="F169" s="12"/>
      <c r="G169" s="12"/>
      <c r="H169" s="8"/>
    </row>
    <row r="170" spans="1:8" ht="20.25" x14ac:dyDescent="0.25">
      <c r="A170" s="11"/>
      <c r="B170" s="12"/>
      <c r="C170" s="12"/>
      <c r="D170" s="12"/>
      <c r="E170" s="12"/>
      <c r="F170" s="12"/>
      <c r="G170" s="12"/>
      <c r="H170" s="8"/>
    </row>
    <row r="171" spans="1:8" ht="20.25" x14ac:dyDescent="0.25">
      <c r="A171" s="11"/>
      <c r="B171" s="12"/>
      <c r="C171" s="12"/>
      <c r="D171" s="12"/>
      <c r="E171" s="12"/>
      <c r="F171" s="12"/>
      <c r="G171" s="12"/>
      <c r="H171" s="8"/>
    </row>
    <row r="172" spans="1:8" ht="20.25" x14ac:dyDescent="0.25">
      <c r="A172" s="11"/>
      <c r="B172" s="12"/>
      <c r="C172" s="12"/>
      <c r="D172" s="12"/>
      <c r="E172" s="12"/>
      <c r="F172" s="12"/>
      <c r="G172" s="12"/>
      <c r="H172" s="8"/>
    </row>
    <row r="173" spans="1:8" ht="20.25" x14ac:dyDescent="0.25">
      <c r="A173" s="11"/>
      <c r="B173" s="12"/>
      <c r="C173" s="12"/>
      <c r="D173" s="12"/>
      <c r="E173" s="12"/>
      <c r="F173" s="12"/>
      <c r="G173" s="12"/>
      <c r="H173" s="8"/>
    </row>
    <row r="174" spans="1:8" ht="20.25" x14ac:dyDescent="0.25">
      <c r="A174" s="11"/>
      <c r="B174" s="12"/>
      <c r="C174" s="12"/>
      <c r="D174" s="12"/>
      <c r="E174" s="12"/>
      <c r="F174" s="12"/>
      <c r="G174" s="12"/>
      <c r="H174" s="8"/>
    </row>
    <row r="175" spans="1:8" ht="20.25" x14ac:dyDescent="0.25">
      <c r="A175" s="11"/>
      <c r="B175" s="12"/>
      <c r="C175" s="12"/>
      <c r="D175" s="12"/>
      <c r="E175" s="12"/>
      <c r="F175" s="12"/>
      <c r="G175" s="12"/>
      <c r="H175" s="8"/>
    </row>
    <row r="176" spans="1:8" ht="20.25" x14ac:dyDescent="0.25">
      <c r="A176" s="11"/>
      <c r="B176" s="12"/>
      <c r="C176" s="12"/>
      <c r="D176" s="12"/>
      <c r="E176" s="12"/>
      <c r="F176" s="12"/>
      <c r="G176" s="12"/>
      <c r="H176" s="8"/>
    </row>
    <row r="177" spans="1:8" ht="20.25" x14ac:dyDescent="0.25">
      <c r="A177" s="11"/>
      <c r="B177" s="12"/>
      <c r="C177" s="12"/>
      <c r="D177" s="12"/>
      <c r="E177" s="12"/>
      <c r="F177" s="12"/>
      <c r="G177" s="12"/>
      <c r="H177" s="8"/>
    </row>
    <row r="178" spans="1:8" ht="20.25" x14ac:dyDescent="0.25">
      <c r="A178" s="11"/>
      <c r="B178" s="12"/>
      <c r="C178" s="12"/>
      <c r="D178" s="12"/>
      <c r="E178" s="12"/>
      <c r="F178" s="12"/>
      <c r="G178" s="12"/>
      <c r="H178" s="8"/>
    </row>
    <row r="179" spans="1:8" ht="20.25" x14ac:dyDescent="0.25">
      <c r="A179" s="11"/>
      <c r="B179" s="12"/>
      <c r="C179" s="12"/>
      <c r="D179" s="12"/>
      <c r="E179" s="12"/>
      <c r="F179" s="12"/>
      <c r="G179" s="12"/>
      <c r="H179" s="8"/>
    </row>
    <row r="180" spans="1:8" ht="20.25" x14ac:dyDescent="0.25">
      <c r="A180" s="11"/>
      <c r="B180" s="12"/>
      <c r="C180" s="12"/>
      <c r="D180" s="12"/>
      <c r="E180" s="12"/>
      <c r="F180" s="12"/>
      <c r="G180" s="12"/>
      <c r="H180" s="8"/>
    </row>
    <row r="181" spans="1:8" ht="20.25" x14ac:dyDescent="0.25">
      <c r="A181" s="11"/>
      <c r="B181" s="12"/>
      <c r="C181" s="12"/>
      <c r="D181" s="12"/>
      <c r="E181" s="12"/>
      <c r="F181" s="12"/>
      <c r="G181" s="12"/>
      <c r="H181" s="8"/>
    </row>
    <row r="182" spans="1:8" ht="20.25" x14ac:dyDescent="0.25">
      <c r="A182" s="11"/>
      <c r="B182" s="12"/>
      <c r="C182" s="12"/>
      <c r="D182" s="12"/>
      <c r="E182" s="12"/>
      <c r="F182" s="12"/>
      <c r="G182" s="12"/>
      <c r="H182" s="8"/>
    </row>
    <row r="183" spans="1:8" ht="20.25" x14ac:dyDescent="0.25">
      <c r="A183" s="11"/>
      <c r="B183" s="12"/>
      <c r="C183" s="12"/>
      <c r="D183" s="12"/>
      <c r="E183" s="12"/>
      <c r="F183" s="12"/>
      <c r="G183" s="12"/>
      <c r="H183" s="8"/>
    </row>
    <row r="184" spans="1:8" ht="20.25" x14ac:dyDescent="0.25">
      <c r="A184" s="11"/>
      <c r="B184" s="12"/>
      <c r="C184" s="12"/>
      <c r="D184" s="12"/>
      <c r="E184" s="12"/>
      <c r="F184" s="12"/>
      <c r="G184" s="12"/>
      <c r="H184" s="8"/>
    </row>
    <row r="185" spans="1:8" ht="20.25" x14ac:dyDescent="0.25">
      <c r="A185" s="11"/>
      <c r="B185" s="12"/>
      <c r="C185" s="12"/>
      <c r="D185" s="12"/>
      <c r="E185" s="12"/>
      <c r="F185" s="12"/>
      <c r="G185" s="12"/>
      <c r="H185" s="8"/>
    </row>
    <row r="186" spans="1:8" ht="20.25" x14ac:dyDescent="0.25">
      <c r="A186" s="11"/>
      <c r="B186" s="12"/>
      <c r="C186" s="12"/>
      <c r="D186" s="12"/>
      <c r="E186" s="12"/>
      <c r="F186" s="12"/>
      <c r="G186" s="12"/>
      <c r="H186" s="8"/>
    </row>
    <row r="187" spans="1:8" ht="20.25" x14ac:dyDescent="0.25">
      <c r="A187" s="11"/>
      <c r="B187" s="12"/>
      <c r="C187" s="12"/>
      <c r="D187" s="12"/>
      <c r="E187" s="12"/>
      <c r="F187" s="12"/>
      <c r="G187" s="12"/>
      <c r="H187" s="8"/>
    </row>
    <row r="188" spans="1:8" ht="20.25" x14ac:dyDescent="0.25">
      <c r="A188" s="11"/>
      <c r="B188" s="12"/>
      <c r="C188" s="12"/>
      <c r="D188" s="12"/>
      <c r="E188" s="12"/>
      <c r="F188" s="12"/>
      <c r="G188" s="12"/>
      <c r="H188" s="8"/>
    </row>
    <row r="189" spans="1:8" ht="20.25" x14ac:dyDescent="0.25">
      <c r="A189" s="11"/>
      <c r="B189" s="12"/>
      <c r="C189" s="12"/>
      <c r="D189" s="12"/>
      <c r="E189" s="12"/>
      <c r="F189" s="12"/>
      <c r="G189" s="12"/>
      <c r="H189" s="8"/>
    </row>
    <row r="190" spans="1:8" ht="20.25" x14ac:dyDescent="0.25">
      <c r="A190" s="11"/>
      <c r="B190" s="12"/>
      <c r="C190" s="12"/>
      <c r="D190" s="12"/>
      <c r="E190" s="12"/>
      <c r="F190" s="12"/>
      <c r="G190" s="12"/>
      <c r="H190" s="8"/>
    </row>
    <row r="191" spans="1:8" ht="20.25" x14ac:dyDescent="0.25">
      <c r="A191" s="11"/>
      <c r="B191" s="12"/>
      <c r="C191" s="12"/>
      <c r="D191" s="12"/>
      <c r="E191" s="12"/>
      <c r="F191" s="12"/>
      <c r="G191" s="12"/>
      <c r="H191" s="8"/>
    </row>
    <row r="192" spans="1:8" ht="20.25" x14ac:dyDescent="0.25">
      <c r="A192" s="11"/>
      <c r="B192" s="12"/>
      <c r="C192" s="12"/>
      <c r="D192" s="12"/>
      <c r="E192" s="12"/>
      <c r="F192" s="12"/>
      <c r="G192" s="12"/>
      <c r="H192" s="8"/>
    </row>
    <row r="193" spans="1:8" ht="20.25" x14ac:dyDescent="0.25">
      <c r="A193" s="11"/>
      <c r="B193" s="12"/>
      <c r="C193" s="12"/>
      <c r="D193" s="12"/>
      <c r="E193" s="12"/>
      <c r="F193" s="12"/>
      <c r="G193" s="12"/>
      <c r="H193" s="8"/>
    </row>
    <row r="194" spans="1:8" ht="20.25" x14ac:dyDescent="0.25">
      <c r="A194" s="11"/>
      <c r="B194" s="12"/>
      <c r="C194" s="12"/>
      <c r="D194" s="12"/>
      <c r="E194" s="12"/>
      <c r="F194" s="12"/>
      <c r="G194" s="12"/>
      <c r="H194" s="8"/>
    </row>
    <row r="195" spans="1:8" ht="20.25" x14ac:dyDescent="0.25">
      <c r="A195" s="11"/>
      <c r="B195" s="12"/>
      <c r="C195" s="12"/>
      <c r="D195" s="12"/>
      <c r="E195" s="12"/>
      <c r="F195" s="12"/>
      <c r="G195" s="12"/>
      <c r="H195" s="8"/>
    </row>
    <row r="196" spans="1:8" ht="20.25" x14ac:dyDescent="0.25">
      <c r="A196" s="11"/>
      <c r="B196" s="12"/>
      <c r="C196" s="12"/>
      <c r="D196" s="12"/>
      <c r="E196" s="12"/>
      <c r="F196" s="12"/>
      <c r="G196" s="12"/>
      <c r="H196" s="8"/>
    </row>
    <row r="197" spans="1:8" ht="20.25" x14ac:dyDescent="0.25">
      <c r="A197" s="11"/>
      <c r="B197" s="12"/>
      <c r="C197" s="12"/>
      <c r="D197" s="12"/>
      <c r="E197" s="12"/>
      <c r="F197" s="12"/>
      <c r="G197" s="12"/>
      <c r="H197" s="8"/>
    </row>
    <row r="198" spans="1:8" ht="20.25" x14ac:dyDescent="0.25">
      <c r="A198" s="11"/>
      <c r="B198" s="12"/>
      <c r="C198" s="12"/>
      <c r="D198" s="12"/>
      <c r="E198" s="12"/>
      <c r="F198" s="12"/>
      <c r="G198" s="12"/>
      <c r="H198" s="8"/>
    </row>
    <row r="199" spans="1:8" ht="20.25" x14ac:dyDescent="0.25">
      <c r="A199" s="11"/>
      <c r="B199" s="12"/>
      <c r="C199" s="12"/>
      <c r="D199" s="12"/>
      <c r="E199" s="12"/>
      <c r="F199" s="12"/>
      <c r="G199" s="12"/>
      <c r="H199" s="8"/>
    </row>
    <row r="200" spans="1:8" ht="20.25" x14ac:dyDescent="0.25">
      <c r="A200" s="11"/>
      <c r="B200" s="12"/>
      <c r="C200" s="12"/>
      <c r="D200" s="12"/>
      <c r="E200" s="12"/>
      <c r="F200" s="12"/>
      <c r="G200" s="12"/>
      <c r="H200" s="8"/>
    </row>
    <row r="201" spans="1:8" ht="20.25" x14ac:dyDescent="0.25">
      <c r="A201" s="11"/>
      <c r="B201" s="12"/>
      <c r="C201" s="12"/>
      <c r="D201" s="12"/>
      <c r="E201" s="12"/>
      <c r="F201" s="12"/>
      <c r="G201" s="12"/>
      <c r="H201" s="8"/>
    </row>
    <row r="202" spans="1:8" ht="20.25" x14ac:dyDescent="0.25">
      <c r="A202" s="11"/>
      <c r="B202" s="12"/>
      <c r="C202" s="12"/>
      <c r="D202" s="12"/>
      <c r="E202" s="12"/>
      <c r="F202" s="12"/>
      <c r="G202" s="12"/>
      <c r="H202" s="8"/>
    </row>
    <row r="203" spans="1:8" ht="20.25" x14ac:dyDescent="0.25">
      <c r="A203" s="11"/>
      <c r="B203" s="12"/>
      <c r="C203" s="12"/>
      <c r="D203" s="12"/>
      <c r="E203" s="12"/>
      <c r="F203" s="12"/>
      <c r="G203" s="12"/>
      <c r="H203" s="8"/>
    </row>
    <row r="204" spans="1:8" ht="20.25" x14ac:dyDescent="0.25">
      <c r="A204" s="11"/>
      <c r="B204" s="12"/>
      <c r="C204" s="12"/>
      <c r="D204" s="12"/>
      <c r="E204" s="12"/>
      <c r="F204" s="12"/>
      <c r="G204" s="12"/>
      <c r="H204" s="8"/>
    </row>
    <row r="205" spans="1:8" ht="20.25" x14ac:dyDescent="0.25">
      <c r="A205" s="11"/>
      <c r="B205" s="12"/>
      <c r="C205" s="12"/>
      <c r="D205" s="12"/>
      <c r="E205" s="12"/>
      <c r="F205" s="12"/>
      <c r="G205" s="12"/>
      <c r="H205" s="8"/>
    </row>
    <row r="206" spans="1:8" ht="20.25" x14ac:dyDescent="0.25">
      <c r="A206" s="11"/>
      <c r="B206" s="12"/>
      <c r="C206" s="12"/>
      <c r="D206" s="12"/>
      <c r="E206" s="12"/>
      <c r="F206" s="12"/>
      <c r="G206" s="12"/>
      <c r="H206" s="8"/>
    </row>
    <row r="207" spans="1:8" ht="20.25" x14ac:dyDescent="0.25">
      <c r="A207" s="11"/>
      <c r="B207" s="12"/>
      <c r="C207" s="12"/>
      <c r="D207" s="12"/>
      <c r="E207" s="12"/>
      <c r="F207" s="12"/>
      <c r="G207" s="12"/>
      <c r="H207" s="8"/>
    </row>
    <row r="208" spans="1:8" ht="20.25" x14ac:dyDescent="0.25">
      <c r="A208" s="11"/>
      <c r="B208" s="12"/>
      <c r="C208" s="12"/>
      <c r="D208" s="12"/>
      <c r="E208" s="12"/>
      <c r="F208" s="12"/>
      <c r="G208" s="12"/>
      <c r="H208" s="8"/>
    </row>
    <row r="209" spans="1:8" ht="20.25" x14ac:dyDescent="0.25">
      <c r="A209" s="113" t="s">
        <v>159</v>
      </c>
      <c r="B209" s="113"/>
      <c r="C209" s="113"/>
      <c r="D209" s="113"/>
      <c r="E209" s="113"/>
      <c r="F209" s="113"/>
      <c r="G209" s="113"/>
      <c r="H209" s="113"/>
    </row>
    <row r="210" spans="1:8" ht="20.25" x14ac:dyDescent="0.25">
      <c r="A210" s="9"/>
      <c r="B210" s="10"/>
      <c r="C210" s="10"/>
      <c r="D210" s="10"/>
      <c r="E210" s="10"/>
      <c r="F210" s="10"/>
      <c r="G210" s="10"/>
      <c r="H210" s="7"/>
    </row>
    <row r="211" spans="1:8" ht="20.25" x14ac:dyDescent="0.25">
      <c r="A211" s="11"/>
      <c r="B211" s="12"/>
      <c r="C211" s="12"/>
      <c r="D211" s="12"/>
      <c r="E211" s="12"/>
      <c r="F211" s="12"/>
      <c r="G211" s="12"/>
      <c r="H211" s="8"/>
    </row>
    <row r="212" spans="1:8" ht="20.25" x14ac:dyDescent="0.25">
      <c r="A212" s="11"/>
      <c r="B212" s="12"/>
      <c r="C212" s="12"/>
      <c r="D212" s="12"/>
      <c r="E212" s="12"/>
      <c r="F212" s="12"/>
      <c r="G212" s="12"/>
      <c r="H212" s="8"/>
    </row>
    <row r="213" spans="1:8" ht="20.25" x14ac:dyDescent="0.25">
      <c r="A213" s="11"/>
      <c r="B213" s="12"/>
      <c r="C213" s="12"/>
      <c r="D213" s="12"/>
      <c r="E213" s="12"/>
      <c r="F213" s="12"/>
      <c r="G213" s="12"/>
      <c r="H213" s="8"/>
    </row>
    <row r="214" spans="1:8" ht="20.25" x14ac:dyDescent="0.25">
      <c r="A214" s="11"/>
      <c r="B214" s="12"/>
      <c r="C214" s="12"/>
      <c r="D214" s="12"/>
      <c r="E214" s="12"/>
      <c r="F214" s="12"/>
      <c r="G214" s="12"/>
      <c r="H214" s="8"/>
    </row>
    <row r="215" spans="1:8" ht="20.25" x14ac:dyDescent="0.25">
      <c r="A215" s="11"/>
      <c r="B215" s="12"/>
      <c r="C215" s="12"/>
      <c r="D215" s="12"/>
      <c r="E215" s="12"/>
      <c r="F215" s="12"/>
      <c r="G215" s="12"/>
      <c r="H215" s="8"/>
    </row>
    <row r="216" spans="1:8" ht="20.25" x14ac:dyDescent="0.25">
      <c r="A216" s="11"/>
      <c r="B216" s="12"/>
      <c r="C216" s="12"/>
      <c r="D216" s="12"/>
      <c r="E216" s="12"/>
      <c r="F216" s="12"/>
      <c r="G216" s="12"/>
      <c r="H216" s="8"/>
    </row>
    <row r="217" spans="1:8" ht="20.25" x14ac:dyDescent="0.25">
      <c r="A217" s="11"/>
      <c r="B217" s="12"/>
      <c r="C217" s="12"/>
      <c r="D217" s="12"/>
      <c r="E217" s="12"/>
      <c r="F217" s="12"/>
      <c r="G217" s="12"/>
      <c r="H217" s="8"/>
    </row>
    <row r="218" spans="1:8" ht="20.25" x14ac:dyDescent="0.25">
      <c r="A218" s="11"/>
      <c r="B218" s="12"/>
      <c r="C218" s="12"/>
      <c r="D218" s="12"/>
      <c r="E218" s="12"/>
      <c r="F218" s="12"/>
      <c r="G218" s="12"/>
      <c r="H218" s="8"/>
    </row>
    <row r="219" spans="1:8" ht="20.25" x14ac:dyDescent="0.25">
      <c r="A219" s="11"/>
      <c r="B219" s="12"/>
      <c r="C219" s="12"/>
      <c r="D219" s="12"/>
      <c r="E219" s="12"/>
      <c r="F219" s="12"/>
      <c r="G219" s="12"/>
      <c r="H219" s="8"/>
    </row>
    <row r="220" spans="1:8" ht="20.25" x14ac:dyDescent="0.25">
      <c r="A220" s="11"/>
      <c r="B220" s="12"/>
      <c r="C220" s="12"/>
      <c r="D220" s="12"/>
      <c r="E220" s="12"/>
      <c r="F220" s="12"/>
      <c r="G220" s="12"/>
      <c r="H220" s="8"/>
    </row>
    <row r="221" spans="1:8" ht="20.25" x14ac:dyDescent="0.25">
      <c r="A221" s="11"/>
      <c r="B221" s="12"/>
      <c r="C221" s="12"/>
      <c r="D221" s="12"/>
      <c r="E221" s="12"/>
      <c r="F221" s="12"/>
      <c r="G221" s="12"/>
      <c r="H221" s="8"/>
    </row>
    <row r="222" spans="1:8" ht="20.25" x14ac:dyDescent="0.25">
      <c r="A222" s="11"/>
      <c r="B222" s="12"/>
      <c r="C222" s="12"/>
      <c r="D222" s="12"/>
      <c r="E222" s="12"/>
      <c r="F222" s="12"/>
      <c r="G222" s="12"/>
      <c r="H222" s="8"/>
    </row>
    <row r="223" spans="1:8" ht="20.25" x14ac:dyDescent="0.25">
      <c r="A223" s="11"/>
      <c r="B223" s="12"/>
      <c r="C223" s="12"/>
      <c r="D223" s="12"/>
      <c r="E223" s="12"/>
      <c r="F223" s="12"/>
      <c r="G223" s="12"/>
      <c r="H223" s="8"/>
    </row>
    <row r="224" spans="1:8" ht="20.25" x14ac:dyDescent="0.25">
      <c r="A224" s="11"/>
      <c r="B224" s="12"/>
      <c r="C224" s="12"/>
      <c r="D224" s="12"/>
      <c r="E224" s="12"/>
      <c r="F224" s="12"/>
      <c r="G224" s="12"/>
      <c r="H224" s="8"/>
    </row>
    <row r="225" spans="1:8" ht="20.25" x14ac:dyDescent="0.25">
      <c r="A225" s="11"/>
      <c r="B225" s="12"/>
      <c r="C225" s="12"/>
      <c r="D225" s="12"/>
      <c r="E225" s="12"/>
      <c r="F225" s="12"/>
      <c r="G225" s="12"/>
      <c r="H225" s="8"/>
    </row>
    <row r="226" spans="1:8" ht="20.25" x14ac:dyDescent="0.25">
      <c r="A226" s="11"/>
      <c r="B226" s="12"/>
      <c r="C226" s="12"/>
      <c r="D226" s="12"/>
      <c r="E226" s="12"/>
      <c r="F226" s="12"/>
      <c r="G226" s="12"/>
      <c r="H226" s="8"/>
    </row>
    <row r="227" spans="1:8" ht="20.25" x14ac:dyDescent="0.25">
      <c r="A227" s="11"/>
      <c r="B227" s="12"/>
      <c r="C227" s="12"/>
      <c r="D227" s="12"/>
      <c r="E227" s="12"/>
      <c r="F227" s="12"/>
      <c r="G227" s="12"/>
      <c r="H227" s="8"/>
    </row>
    <row r="228" spans="1:8" ht="20.25" x14ac:dyDescent="0.25">
      <c r="A228" s="11"/>
      <c r="B228" s="12"/>
      <c r="C228" s="12"/>
      <c r="D228" s="12"/>
      <c r="E228" s="12"/>
      <c r="F228" s="12"/>
      <c r="G228" s="12"/>
      <c r="H228" s="8"/>
    </row>
    <row r="229" spans="1:8" ht="20.25" x14ac:dyDescent="0.25">
      <c r="A229" s="11"/>
      <c r="B229" s="12"/>
      <c r="C229" s="12"/>
      <c r="D229" s="12"/>
      <c r="E229" s="12"/>
      <c r="F229" s="12"/>
      <c r="G229" s="12"/>
      <c r="H229" s="8"/>
    </row>
    <row r="230" spans="1:8" ht="20.25" x14ac:dyDescent="0.25">
      <c r="A230" s="11"/>
      <c r="B230" s="12"/>
      <c r="C230" s="12"/>
      <c r="D230" s="12"/>
      <c r="E230" s="12"/>
      <c r="F230" s="12"/>
      <c r="G230" s="12"/>
      <c r="H230" s="8"/>
    </row>
    <row r="231" spans="1:8" ht="20.25" x14ac:dyDescent="0.25">
      <c r="A231" s="11"/>
      <c r="B231" s="12"/>
      <c r="C231" s="12"/>
      <c r="D231" s="12"/>
      <c r="E231" s="12"/>
      <c r="F231" s="12"/>
      <c r="G231" s="12"/>
      <c r="H231" s="8"/>
    </row>
    <row r="232" spans="1:8" ht="20.25" x14ac:dyDescent="0.25">
      <c r="A232" s="11"/>
      <c r="B232" s="12"/>
      <c r="C232" s="12"/>
      <c r="D232" s="12"/>
      <c r="E232" s="12"/>
      <c r="F232" s="12"/>
      <c r="G232" s="12"/>
      <c r="H232" s="8"/>
    </row>
    <row r="233" spans="1:8" ht="20.25" x14ac:dyDescent="0.25">
      <c r="A233" s="11"/>
      <c r="B233" s="12"/>
      <c r="C233" s="12"/>
      <c r="D233" s="12"/>
      <c r="E233" s="12"/>
      <c r="F233" s="12"/>
      <c r="G233" s="12"/>
      <c r="H233" s="8"/>
    </row>
    <row r="234" spans="1:8" ht="20.25" x14ac:dyDescent="0.25">
      <c r="A234" s="11"/>
      <c r="B234" s="12"/>
      <c r="C234" s="12"/>
      <c r="D234" s="12"/>
      <c r="E234" s="12"/>
      <c r="F234" s="12"/>
      <c r="G234" s="12"/>
      <c r="H234" s="8"/>
    </row>
    <row r="235" spans="1:8" ht="20.25" x14ac:dyDescent="0.25">
      <c r="A235" s="11"/>
      <c r="B235" s="12"/>
      <c r="C235" s="12"/>
      <c r="D235" s="12"/>
      <c r="E235" s="12"/>
      <c r="F235" s="12"/>
      <c r="G235" s="12"/>
      <c r="H235" s="8"/>
    </row>
    <row r="236" spans="1:8" ht="20.25" x14ac:dyDescent="0.25">
      <c r="A236" s="11"/>
      <c r="B236" s="12"/>
      <c r="C236" s="12"/>
      <c r="D236" s="12"/>
      <c r="E236" s="12"/>
      <c r="F236" s="12"/>
      <c r="G236" s="12"/>
      <c r="H236" s="8"/>
    </row>
    <row r="237" spans="1:8" ht="20.25" x14ac:dyDescent="0.25">
      <c r="A237" s="11"/>
      <c r="B237" s="12"/>
      <c r="C237" s="12"/>
      <c r="D237" s="12"/>
      <c r="E237" s="12"/>
      <c r="F237" s="12"/>
      <c r="G237" s="12"/>
      <c r="H237" s="8"/>
    </row>
    <row r="238" spans="1:8" ht="20.25" x14ac:dyDescent="0.25">
      <c r="A238" s="11"/>
      <c r="B238" s="12"/>
      <c r="C238" s="12"/>
      <c r="D238" s="12"/>
      <c r="E238" s="12"/>
      <c r="F238" s="12"/>
      <c r="G238" s="12"/>
      <c r="H238" s="8"/>
    </row>
    <row r="239" spans="1:8" ht="20.25" x14ac:dyDescent="0.25">
      <c r="A239" s="11"/>
      <c r="B239" s="12"/>
      <c r="C239" s="12"/>
      <c r="D239" s="12"/>
      <c r="E239" s="12"/>
      <c r="F239" s="12"/>
      <c r="G239" s="12"/>
      <c r="H239" s="8"/>
    </row>
    <row r="240" spans="1:8" ht="20.25" x14ac:dyDescent="0.25">
      <c r="A240" s="11"/>
      <c r="B240" s="12"/>
      <c r="C240" s="12"/>
      <c r="D240" s="12"/>
      <c r="E240" s="12"/>
      <c r="F240" s="12"/>
      <c r="G240" s="12"/>
      <c r="H240" s="8"/>
    </row>
    <row r="241" spans="1:8" ht="20.25" x14ac:dyDescent="0.25">
      <c r="A241" s="11"/>
      <c r="B241" s="12"/>
      <c r="C241" s="12"/>
      <c r="D241" s="12"/>
      <c r="E241" s="12"/>
      <c r="F241" s="12"/>
      <c r="G241" s="12"/>
      <c r="H241" s="8"/>
    </row>
    <row r="242" spans="1:8" ht="20.25" x14ac:dyDescent="0.25">
      <c r="A242" s="11"/>
      <c r="B242" s="12"/>
      <c r="C242" s="12"/>
      <c r="D242" s="12"/>
      <c r="E242" s="12"/>
      <c r="F242" s="12"/>
      <c r="G242" s="12"/>
      <c r="H242" s="8"/>
    </row>
    <row r="243" spans="1:8" ht="20.25" x14ac:dyDescent="0.25">
      <c r="A243" s="11"/>
      <c r="B243" s="12"/>
      <c r="C243" s="12"/>
      <c r="D243" s="12"/>
      <c r="E243" s="12"/>
      <c r="F243" s="12"/>
      <c r="G243" s="12"/>
      <c r="H243" s="8"/>
    </row>
    <row r="244" spans="1:8" ht="20.25" x14ac:dyDescent="0.25">
      <c r="A244" s="11"/>
      <c r="B244" s="12"/>
      <c r="C244" s="12"/>
      <c r="D244" s="12"/>
      <c r="E244" s="12"/>
      <c r="F244" s="12"/>
      <c r="G244" s="12"/>
      <c r="H244" s="8"/>
    </row>
    <row r="245" spans="1:8" ht="20.25" x14ac:dyDescent="0.25">
      <c r="A245" s="11"/>
      <c r="B245" s="12"/>
      <c r="C245" s="12"/>
      <c r="D245" s="12"/>
      <c r="E245" s="12"/>
      <c r="F245" s="12"/>
      <c r="G245" s="12"/>
      <c r="H245" s="8"/>
    </row>
    <row r="246" spans="1:8" ht="20.25" x14ac:dyDescent="0.25">
      <c r="A246" s="11"/>
      <c r="B246" s="12"/>
      <c r="C246" s="12"/>
      <c r="D246" s="12"/>
      <c r="E246" s="12"/>
      <c r="F246" s="12"/>
      <c r="G246" s="12"/>
      <c r="H246" s="8"/>
    </row>
    <row r="247" spans="1:8" ht="20.25" x14ac:dyDescent="0.25">
      <c r="A247" s="11"/>
      <c r="B247" s="12"/>
      <c r="C247" s="12"/>
      <c r="D247" s="12"/>
      <c r="E247" s="12"/>
      <c r="F247" s="12"/>
      <c r="G247" s="12"/>
      <c r="H247" s="8"/>
    </row>
    <row r="248" spans="1:8" ht="20.25" x14ac:dyDescent="0.25">
      <c r="A248" s="11"/>
      <c r="B248" s="12"/>
      <c r="C248" s="12"/>
      <c r="D248" s="12"/>
      <c r="E248" s="12"/>
      <c r="F248" s="12"/>
      <c r="G248" s="12"/>
      <c r="H248" s="8"/>
    </row>
    <row r="249" spans="1:8" ht="20.25" x14ac:dyDescent="0.25">
      <c r="A249" s="11"/>
      <c r="B249" s="12"/>
      <c r="C249" s="12"/>
      <c r="D249" s="12"/>
      <c r="E249" s="12"/>
      <c r="F249" s="12"/>
      <c r="G249" s="12"/>
      <c r="H249" s="8"/>
    </row>
    <row r="250" spans="1:8" ht="20.25" x14ac:dyDescent="0.25">
      <c r="A250" s="11"/>
      <c r="B250" s="12"/>
      <c r="C250" s="12"/>
      <c r="D250" s="12"/>
      <c r="E250" s="12"/>
      <c r="F250" s="12"/>
      <c r="G250" s="12"/>
      <c r="H250" s="8"/>
    </row>
    <row r="251" spans="1:8" ht="20.25" x14ac:dyDescent="0.25">
      <c r="A251" s="11"/>
      <c r="B251" s="12"/>
      <c r="C251" s="12"/>
      <c r="D251" s="12"/>
      <c r="E251" s="12"/>
      <c r="F251" s="12"/>
      <c r="G251" s="12"/>
      <c r="H251" s="8"/>
    </row>
    <row r="252" spans="1:8" ht="20.25" x14ac:dyDescent="0.25">
      <c r="A252" s="11"/>
      <c r="B252" s="12"/>
      <c r="C252" s="12"/>
      <c r="D252" s="12"/>
      <c r="E252" s="12"/>
      <c r="F252" s="12"/>
      <c r="G252" s="12"/>
      <c r="H252" s="8"/>
    </row>
    <row r="253" spans="1:8" ht="20.25" x14ac:dyDescent="0.25">
      <c r="A253" s="11"/>
      <c r="B253" s="12"/>
      <c r="C253" s="12"/>
      <c r="D253" s="12"/>
      <c r="E253" s="12"/>
      <c r="F253" s="12"/>
      <c r="G253" s="12"/>
      <c r="H253" s="8"/>
    </row>
    <row r="254" spans="1:8" ht="20.25" x14ac:dyDescent="0.25">
      <c r="A254" s="11"/>
      <c r="B254" s="12"/>
      <c r="C254" s="12"/>
      <c r="D254" s="12"/>
      <c r="E254" s="12"/>
      <c r="F254" s="12"/>
      <c r="G254" s="12"/>
      <c r="H254" s="8"/>
    </row>
    <row r="255" spans="1:8" ht="20.25" x14ac:dyDescent="0.25">
      <c r="A255" s="109" t="s">
        <v>77</v>
      </c>
      <c r="B255" s="110"/>
      <c r="C255" s="110"/>
      <c r="D255" s="110"/>
      <c r="E255" s="110"/>
      <c r="F255" s="110"/>
      <c r="G255" s="110"/>
      <c r="H255" s="111"/>
    </row>
    <row r="256" spans="1:8" ht="20.25" x14ac:dyDescent="0.25">
      <c r="A256" s="11"/>
      <c r="B256" s="12"/>
      <c r="C256" s="12"/>
      <c r="D256" s="12"/>
      <c r="E256" s="12"/>
      <c r="F256" s="12"/>
      <c r="G256" s="12"/>
      <c r="H256" s="8"/>
    </row>
    <row r="257" spans="1:8" ht="20.25" x14ac:dyDescent="0.25">
      <c r="A257" s="11"/>
      <c r="B257" s="12"/>
      <c r="C257" s="12"/>
      <c r="D257" s="12"/>
      <c r="E257" s="12"/>
      <c r="F257" s="12"/>
      <c r="G257" s="12"/>
      <c r="H257" s="8"/>
    </row>
    <row r="258" spans="1:8" ht="20.25" x14ac:dyDescent="0.25">
      <c r="A258" s="11"/>
      <c r="B258" s="12"/>
      <c r="C258" s="12"/>
      <c r="D258" s="12"/>
      <c r="E258" s="12"/>
      <c r="F258" s="12"/>
      <c r="G258" s="12"/>
      <c r="H258" s="8"/>
    </row>
    <row r="259" spans="1:8" ht="20.25" x14ac:dyDescent="0.25">
      <c r="A259" s="11"/>
      <c r="B259" s="12"/>
      <c r="C259" s="12"/>
      <c r="D259" s="12"/>
      <c r="E259" s="12"/>
      <c r="F259" s="12"/>
      <c r="G259" s="12"/>
      <c r="H259" s="8"/>
    </row>
    <row r="260" spans="1:8" ht="20.25" x14ac:dyDescent="0.25">
      <c r="A260" s="11"/>
      <c r="B260" s="12"/>
      <c r="C260" s="12"/>
      <c r="D260" s="12"/>
      <c r="E260" s="12"/>
      <c r="F260" s="12"/>
      <c r="G260" s="12"/>
      <c r="H260" s="8"/>
    </row>
    <row r="261" spans="1:8" ht="20.25" x14ac:dyDescent="0.25">
      <c r="A261" s="11"/>
      <c r="B261" s="12"/>
      <c r="C261" s="12"/>
      <c r="D261" s="12"/>
      <c r="E261" s="12"/>
      <c r="F261" s="12"/>
      <c r="G261" s="12"/>
      <c r="H261" s="8"/>
    </row>
    <row r="262" spans="1:8" ht="20.25" x14ac:dyDescent="0.25">
      <c r="A262" s="11"/>
      <c r="B262" s="12"/>
      <c r="C262" s="12"/>
      <c r="D262" s="12"/>
      <c r="E262" s="12"/>
      <c r="F262" s="12"/>
      <c r="G262" s="12"/>
      <c r="H262" s="8"/>
    </row>
    <row r="263" spans="1:8" ht="20.25" x14ac:dyDescent="0.25">
      <c r="A263" s="11"/>
      <c r="B263" s="12"/>
      <c r="C263" s="12"/>
      <c r="D263" s="12"/>
      <c r="E263" s="12"/>
      <c r="F263" s="12"/>
      <c r="G263" s="12"/>
      <c r="H263" s="8"/>
    </row>
    <row r="264" spans="1:8" ht="20.25" x14ac:dyDescent="0.25">
      <c r="A264" s="11"/>
      <c r="B264" s="12"/>
      <c r="C264" s="12"/>
      <c r="D264" s="12"/>
      <c r="E264" s="12"/>
      <c r="F264" s="12"/>
      <c r="G264" s="12"/>
      <c r="H264" s="8"/>
    </row>
    <row r="265" spans="1:8" ht="20.25" x14ac:dyDescent="0.25">
      <c r="A265" s="11"/>
      <c r="B265" s="12"/>
      <c r="C265" s="12"/>
      <c r="D265" s="12"/>
      <c r="E265" s="12"/>
      <c r="F265" s="12"/>
      <c r="G265" s="12"/>
      <c r="H265" s="8"/>
    </row>
    <row r="266" spans="1:8" ht="20.25" x14ac:dyDescent="0.25">
      <c r="A266" s="11"/>
      <c r="B266" s="12"/>
      <c r="C266" s="12"/>
      <c r="D266" s="12"/>
      <c r="E266" s="12"/>
      <c r="F266" s="12"/>
      <c r="G266" s="12"/>
      <c r="H266" s="8"/>
    </row>
    <row r="267" spans="1:8" ht="20.25" x14ac:dyDescent="0.25">
      <c r="A267" s="11"/>
      <c r="B267" s="12"/>
      <c r="C267" s="12"/>
      <c r="D267" s="12"/>
      <c r="E267" s="12"/>
      <c r="F267" s="12"/>
      <c r="G267" s="12"/>
      <c r="H267" s="8"/>
    </row>
    <row r="268" spans="1:8" ht="20.25" x14ac:dyDescent="0.25">
      <c r="A268" s="11"/>
      <c r="B268" s="12"/>
      <c r="C268" s="12"/>
      <c r="D268" s="12"/>
      <c r="E268" s="12"/>
      <c r="F268" s="12"/>
      <c r="G268" s="12"/>
      <c r="H268" s="8"/>
    </row>
    <row r="269" spans="1:8" ht="20.25" x14ac:dyDescent="0.25">
      <c r="A269" s="11"/>
      <c r="B269" s="12"/>
      <c r="C269" s="12"/>
      <c r="D269" s="12"/>
      <c r="E269" s="12"/>
      <c r="F269" s="12"/>
      <c r="G269" s="12"/>
      <c r="H269" s="8"/>
    </row>
    <row r="270" spans="1:8" ht="20.25" x14ac:dyDescent="0.25">
      <c r="A270" s="11"/>
      <c r="B270" s="12"/>
      <c r="C270" s="12"/>
      <c r="D270" s="12"/>
      <c r="E270" s="12"/>
      <c r="F270" s="12"/>
      <c r="G270" s="12"/>
      <c r="H270" s="8"/>
    </row>
    <row r="271" spans="1:8" ht="20.25" x14ac:dyDescent="0.25">
      <c r="A271" s="11"/>
      <c r="B271" s="12"/>
      <c r="C271" s="12"/>
      <c r="D271" s="12"/>
      <c r="E271" s="12"/>
      <c r="F271" s="12"/>
      <c r="G271" s="12"/>
      <c r="H271" s="8"/>
    </row>
    <row r="272" spans="1:8" ht="20.25" x14ac:dyDescent="0.25">
      <c r="A272" s="11"/>
      <c r="B272" s="12"/>
      <c r="C272" s="12"/>
      <c r="D272" s="12"/>
      <c r="E272" s="12"/>
      <c r="F272" s="12"/>
      <c r="G272" s="12"/>
      <c r="H272" s="8"/>
    </row>
    <row r="273" spans="1:8" ht="20.25" x14ac:dyDescent="0.25">
      <c r="A273" s="11"/>
      <c r="B273" s="12"/>
      <c r="C273" s="12"/>
      <c r="D273" s="12"/>
      <c r="E273" s="12"/>
      <c r="F273" s="12"/>
      <c r="G273" s="12"/>
      <c r="H273" s="8"/>
    </row>
    <row r="274" spans="1:8" ht="20.25" x14ac:dyDescent="0.25">
      <c r="A274" s="11"/>
      <c r="B274" s="12"/>
      <c r="C274" s="12"/>
      <c r="D274" s="12"/>
      <c r="E274" s="12"/>
      <c r="F274" s="12"/>
      <c r="G274" s="12"/>
      <c r="H274" s="8"/>
    </row>
    <row r="275" spans="1:8" ht="20.25" x14ac:dyDescent="0.25">
      <c r="A275" s="11"/>
      <c r="B275" s="12"/>
      <c r="C275" s="12"/>
      <c r="D275" s="12"/>
      <c r="E275" s="12"/>
      <c r="F275" s="12"/>
      <c r="G275" s="12"/>
      <c r="H275" s="8"/>
    </row>
    <row r="276" spans="1:8" ht="20.25" x14ac:dyDescent="0.25">
      <c r="A276" s="11"/>
      <c r="B276" s="12"/>
      <c r="C276" s="12"/>
      <c r="D276" s="12"/>
      <c r="E276" s="12"/>
      <c r="F276" s="12"/>
      <c r="G276" s="12"/>
      <c r="H276" s="8"/>
    </row>
    <row r="277" spans="1:8" ht="20.25" x14ac:dyDescent="0.25">
      <c r="A277" s="11"/>
      <c r="B277" s="12"/>
      <c r="C277" s="12"/>
      <c r="D277" s="12"/>
      <c r="E277" s="12"/>
      <c r="F277" s="12"/>
      <c r="G277" s="12"/>
      <c r="H277" s="8"/>
    </row>
    <row r="278" spans="1:8" ht="20.25" x14ac:dyDescent="0.25">
      <c r="A278" s="11"/>
      <c r="B278" s="12"/>
      <c r="C278" s="12"/>
      <c r="D278" s="12"/>
      <c r="E278" s="12"/>
      <c r="F278" s="12"/>
      <c r="G278" s="12"/>
      <c r="H278" s="8"/>
    </row>
    <row r="279" spans="1:8" ht="20.25" x14ac:dyDescent="0.25">
      <c r="A279" s="11"/>
      <c r="B279" s="12"/>
      <c r="C279" s="12"/>
      <c r="D279" s="12"/>
      <c r="E279" s="12"/>
      <c r="F279" s="12"/>
      <c r="G279" s="12"/>
      <c r="H279" s="8"/>
    </row>
    <row r="280" spans="1:8" ht="20.25" x14ac:dyDescent="0.25">
      <c r="A280" s="113" t="s">
        <v>24</v>
      </c>
      <c r="B280" s="113"/>
      <c r="C280" s="113"/>
      <c r="D280" s="113"/>
      <c r="E280" s="113"/>
      <c r="F280" s="113"/>
      <c r="G280" s="113"/>
      <c r="H280" s="113"/>
    </row>
    <row r="281" spans="1:8" ht="20.25" x14ac:dyDescent="0.25">
      <c r="A281" s="139" t="s">
        <v>78</v>
      </c>
      <c r="B281" s="140"/>
      <c r="C281" s="140"/>
      <c r="D281" s="140"/>
      <c r="E281" s="140"/>
      <c r="F281" s="140"/>
      <c r="G281" s="140"/>
      <c r="H281" s="141"/>
    </row>
    <row r="282" spans="1:8" ht="20.25" x14ac:dyDescent="0.25">
      <c r="A282" s="142" t="s">
        <v>79</v>
      </c>
      <c r="B282" s="143"/>
      <c r="C282" s="143"/>
      <c r="D282" s="143"/>
      <c r="E282" s="143"/>
      <c r="F282" s="143"/>
      <c r="G282" s="143"/>
      <c r="H282" s="144"/>
    </row>
    <row r="283" spans="1:8" ht="45" customHeight="1" x14ac:dyDescent="0.25">
      <c r="A283" s="142" t="s">
        <v>80</v>
      </c>
      <c r="B283" s="143"/>
      <c r="C283" s="143"/>
      <c r="D283" s="143"/>
      <c r="E283" s="143"/>
      <c r="F283" s="143"/>
      <c r="G283" s="143"/>
      <c r="H283" s="144"/>
    </row>
    <row r="284" spans="1:8" ht="42.75" customHeight="1" x14ac:dyDescent="0.25">
      <c r="A284" s="142" t="s">
        <v>81</v>
      </c>
      <c r="B284" s="143"/>
      <c r="C284" s="143"/>
      <c r="D284" s="143"/>
      <c r="E284" s="143"/>
      <c r="F284" s="143"/>
      <c r="G284" s="143"/>
      <c r="H284" s="144"/>
    </row>
    <row r="285" spans="1:8" ht="40.9" customHeight="1" x14ac:dyDescent="0.25">
      <c r="A285" s="142" t="s">
        <v>82</v>
      </c>
      <c r="B285" s="143"/>
      <c r="C285" s="143"/>
      <c r="D285" s="143"/>
      <c r="E285" s="143"/>
      <c r="F285" s="143"/>
      <c r="G285" s="143"/>
      <c r="H285" s="144"/>
    </row>
    <row r="286" spans="1:8" ht="20.25" x14ac:dyDescent="0.25">
      <c r="A286" s="142" t="s">
        <v>83</v>
      </c>
      <c r="B286" s="143"/>
      <c r="C286" s="143"/>
      <c r="D286" s="143"/>
      <c r="E286" s="143"/>
      <c r="F286" s="143"/>
      <c r="G286" s="143"/>
      <c r="H286" s="144"/>
    </row>
    <row r="287" spans="1:8" ht="69" customHeight="1" x14ac:dyDescent="0.25">
      <c r="A287" s="142" t="s">
        <v>84</v>
      </c>
      <c r="B287" s="143"/>
      <c r="C287" s="143"/>
      <c r="D287" s="143"/>
      <c r="E287" s="143"/>
      <c r="F287" s="143"/>
      <c r="G287" s="143"/>
      <c r="H287" s="144"/>
    </row>
    <row r="288" spans="1:8" ht="20.25" x14ac:dyDescent="0.25">
      <c r="A288" s="142" t="s">
        <v>85</v>
      </c>
      <c r="B288" s="143"/>
      <c r="C288" s="143"/>
      <c r="D288" s="143"/>
      <c r="E288" s="143"/>
      <c r="F288" s="143"/>
      <c r="G288" s="143"/>
      <c r="H288" s="144"/>
    </row>
    <row r="289" spans="1:8" ht="20.25" x14ac:dyDescent="0.25">
      <c r="A289" s="145" t="s">
        <v>86</v>
      </c>
      <c r="B289" s="146"/>
      <c r="C289" s="146"/>
      <c r="D289" s="146"/>
      <c r="E289" s="146"/>
      <c r="F289" s="146"/>
      <c r="G289" s="146"/>
      <c r="H289" s="147"/>
    </row>
    <row r="290" spans="1:8" ht="75.599999999999994" customHeight="1" x14ac:dyDescent="0.25">
      <c r="A290" s="149" t="s">
        <v>30</v>
      </c>
      <c r="B290" s="150"/>
      <c r="C290" s="151" t="s">
        <v>345</v>
      </c>
      <c r="D290" s="152"/>
      <c r="E290" s="149" t="s">
        <v>9</v>
      </c>
      <c r="F290" s="150"/>
      <c r="G290" s="137"/>
      <c r="H290" s="137"/>
    </row>
  </sheetData>
  <mergeCells count="340">
    <mergeCell ref="G64:H75"/>
    <mergeCell ref="A60:H60"/>
    <mergeCell ref="I4:J4"/>
    <mergeCell ref="A76:F76"/>
    <mergeCell ref="A94:H94"/>
    <mergeCell ref="E86:F86"/>
    <mergeCell ref="E87:F87"/>
    <mergeCell ref="E88:F88"/>
    <mergeCell ref="A86:B86"/>
    <mergeCell ref="A87:B87"/>
    <mergeCell ref="C86:D86"/>
    <mergeCell ref="A88:B88"/>
    <mergeCell ref="C87:D87"/>
    <mergeCell ref="G86:H86"/>
    <mergeCell ref="G87:H87"/>
    <mergeCell ref="G88:H88"/>
    <mergeCell ref="C88:D88"/>
    <mergeCell ref="G90:H90"/>
    <mergeCell ref="A91:B91"/>
    <mergeCell ref="G91:H91"/>
    <mergeCell ref="G76:H76"/>
    <mergeCell ref="A63:B63"/>
    <mergeCell ref="A64:B64"/>
    <mergeCell ref="E63:F63"/>
    <mergeCell ref="E61:F61"/>
    <mergeCell ref="E62:F62"/>
    <mergeCell ref="A61:C62"/>
    <mergeCell ref="A70:B70"/>
    <mergeCell ref="A68:B68"/>
    <mergeCell ref="A71:B71"/>
    <mergeCell ref="A59:B59"/>
    <mergeCell ref="C53:F53"/>
    <mergeCell ref="C56:F56"/>
    <mergeCell ref="C58:F58"/>
    <mergeCell ref="C59:F59"/>
    <mergeCell ref="A98:B98"/>
    <mergeCell ref="A99:B99"/>
    <mergeCell ref="A100:B100"/>
    <mergeCell ref="A101:B101"/>
    <mergeCell ref="A92:B92"/>
    <mergeCell ref="A81:H81"/>
    <mergeCell ref="E78:F78"/>
    <mergeCell ref="A80:B80"/>
    <mergeCell ref="E79:F79"/>
    <mergeCell ref="G79:H79"/>
    <mergeCell ref="A57:B58"/>
    <mergeCell ref="A54:B55"/>
    <mergeCell ref="C54:F54"/>
    <mergeCell ref="C55:H55"/>
    <mergeCell ref="A56:B56"/>
    <mergeCell ref="A78:B78"/>
    <mergeCell ref="C78:D78"/>
    <mergeCell ref="C79:D79"/>
    <mergeCell ref="C80:D80"/>
    <mergeCell ref="G92:H92"/>
    <mergeCell ref="A126:B126"/>
    <mergeCell ref="D126:H126"/>
    <mergeCell ref="A110:B110"/>
    <mergeCell ref="A111:B111"/>
    <mergeCell ref="A112:B112"/>
    <mergeCell ref="A113:B113"/>
    <mergeCell ref="A114:B114"/>
    <mergeCell ref="A115:B115"/>
    <mergeCell ref="A116:B116"/>
    <mergeCell ref="A117:B117"/>
    <mergeCell ref="A118:B118"/>
    <mergeCell ref="A119:H119"/>
    <mergeCell ref="A1:H1"/>
    <mergeCell ref="A165:C165"/>
    <mergeCell ref="G27:H27"/>
    <mergeCell ref="G28:H28"/>
    <mergeCell ref="A37:H37"/>
    <mergeCell ref="A44:H44"/>
    <mergeCell ref="A47:H47"/>
    <mergeCell ref="A85:H85"/>
    <mergeCell ref="G83:H83"/>
    <mergeCell ref="G7:H7"/>
    <mergeCell ref="G45:H45"/>
    <mergeCell ref="A25:H25"/>
    <mergeCell ref="G26:H26"/>
    <mergeCell ref="G20:H20"/>
    <mergeCell ref="G21:H21"/>
    <mergeCell ref="A9:A11"/>
    <mergeCell ref="A134:B134"/>
    <mergeCell ref="A135:B135"/>
    <mergeCell ref="G14:H14"/>
    <mergeCell ref="G16:H16"/>
    <mergeCell ref="G17:H17"/>
    <mergeCell ref="G15:H15"/>
    <mergeCell ref="G18:H18"/>
    <mergeCell ref="G19:H19"/>
    <mergeCell ref="G290:H290"/>
    <mergeCell ref="A164:H164"/>
    <mergeCell ref="D166:H166"/>
    <mergeCell ref="A281:H281"/>
    <mergeCell ref="A287:H287"/>
    <mergeCell ref="A288:H288"/>
    <mergeCell ref="A289:H289"/>
    <mergeCell ref="A282:H282"/>
    <mergeCell ref="A283:H283"/>
    <mergeCell ref="A284:H284"/>
    <mergeCell ref="A285:H285"/>
    <mergeCell ref="A166:C166"/>
    <mergeCell ref="A280:H280"/>
    <mergeCell ref="A286:H286"/>
    <mergeCell ref="A255:H255"/>
    <mergeCell ref="D165:H165"/>
    <mergeCell ref="A167:C167"/>
    <mergeCell ref="D167:H167"/>
    <mergeCell ref="A209:H209"/>
    <mergeCell ref="E290:F290"/>
    <mergeCell ref="A290:B290"/>
    <mergeCell ref="C290:D290"/>
    <mergeCell ref="G31:H31"/>
    <mergeCell ref="G22:H22"/>
    <mergeCell ref="G36:H36"/>
    <mergeCell ref="G35:H35"/>
    <mergeCell ref="E64:F75"/>
    <mergeCell ref="A136:B136"/>
    <mergeCell ref="A130:B130"/>
    <mergeCell ref="A128:B128"/>
    <mergeCell ref="E92:F92"/>
    <mergeCell ref="E91:F91"/>
    <mergeCell ref="C90:D90"/>
    <mergeCell ref="A24:B24"/>
    <mergeCell ref="A22:B22"/>
    <mergeCell ref="E34:F34"/>
    <mergeCell ref="E35:F35"/>
    <mergeCell ref="E36:F36"/>
    <mergeCell ref="A34:B34"/>
    <mergeCell ref="A35:B35"/>
    <mergeCell ref="A36:B36"/>
    <mergeCell ref="C34:D34"/>
    <mergeCell ref="C35:D35"/>
    <mergeCell ref="C36:D36"/>
    <mergeCell ref="C57:F57"/>
    <mergeCell ref="G82:H82"/>
    <mergeCell ref="B163:H163"/>
    <mergeCell ref="B159:H159"/>
    <mergeCell ref="B158:H158"/>
    <mergeCell ref="B162:H162"/>
    <mergeCell ref="B161:H161"/>
    <mergeCell ref="B160:H160"/>
    <mergeCell ref="A137:B137"/>
    <mergeCell ref="A138:B138"/>
    <mergeCell ref="A139:B139"/>
    <mergeCell ref="A148:H148"/>
    <mergeCell ref="A149:B149"/>
    <mergeCell ref="A150:B150"/>
    <mergeCell ref="A151:B151"/>
    <mergeCell ref="A152:B152"/>
    <mergeCell ref="A153:B153"/>
    <mergeCell ref="A154:B154"/>
    <mergeCell ref="A155:B155"/>
    <mergeCell ref="D153:H155"/>
    <mergeCell ref="A156:H156"/>
    <mergeCell ref="A157:H157"/>
    <mergeCell ref="E3:F3"/>
    <mergeCell ref="E4:F4"/>
    <mergeCell ref="A65:B65"/>
    <mergeCell ref="C27:D27"/>
    <mergeCell ref="A72:B72"/>
    <mergeCell ref="A73:B73"/>
    <mergeCell ref="A74:B74"/>
    <mergeCell ref="A75:B75"/>
    <mergeCell ref="A124:B124"/>
    <mergeCell ref="E93:F93"/>
    <mergeCell ref="C92:D92"/>
    <mergeCell ref="A77:H77"/>
    <mergeCell ref="G78:H78"/>
    <mergeCell ref="G6:H6"/>
    <mergeCell ref="A5:H5"/>
    <mergeCell ref="A33:H33"/>
    <mergeCell ref="G30:H30"/>
    <mergeCell ref="G29:H29"/>
    <mergeCell ref="A13:H13"/>
    <mergeCell ref="C26:D26"/>
    <mergeCell ref="G80:H80"/>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C18:D18"/>
    <mergeCell ref="C19:D19"/>
    <mergeCell ref="A23:B23"/>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C20:D20"/>
    <mergeCell ref="C21:D21"/>
    <mergeCell ref="C22:D22"/>
    <mergeCell ref="C24:H24"/>
    <mergeCell ref="C23:H23"/>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A48:B48"/>
    <mergeCell ref="A50:B50"/>
    <mergeCell ref="A53:B53"/>
    <mergeCell ref="A49:B49"/>
    <mergeCell ref="C48:H48"/>
    <mergeCell ref="C49:F49"/>
    <mergeCell ref="C50:F50"/>
    <mergeCell ref="C51:F51"/>
    <mergeCell ref="A51:B52"/>
    <mergeCell ref="C52:H52"/>
    <mergeCell ref="G46:H46"/>
    <mergeCell ref="A45:B45"/>
    <mergeCell ref="A46:B46"/>
    <mergeCell ref="D46:F46"/>
    <mergeCell ref="D45:F45"/>
    <mergeCell ref="E80:F80"/>
    <mergeCell ref="A82:F82"/>
    <mergeCell ref="A83:F83"/>
    <mergeCell ref="A84:F84"/>
    <mergeCell ref="A79:B79"/>
    <mergeCell ref="A105:B105"/>
    <mergeCell ref="A106:B106"/>
    <mergeCell ref="A108:H108"/>
    <mergeCell ref="A109:B109"/>
    <mergeCell ref="A107:H107"/>
    <mergeCell ref="D109:H109"/>
    <mergeCell ref="A96:H96"/>
    <mergeCell ref="A93:B93"/>
    <mergeCell ref="G93:H93"/>
    <mergeCell ref="A89:H89"/>
    <mergeCell ref="A90:B90"/>
    <mergeCell ref="E90:F90"/>
    <mergeCell ref="A102:B102"/>
    <mergeCell ref="A103:B103"/>
    <mergeCell ref="G84:H84"/>
    <mergeCell ref="A104:B104"/>
    <mergeCell ref="A97:B97"/>
    <mergeCell ref="C91:D91"/>
    <mergeCell ref="C93:D93"/>
    <mergeCell ref="A120:H120"/>
    <mergeCell ref="A121:H121"/>
    <mergeCell ref="A147:B147"/>
    <mergeCell ref="A122:H122"/>
    <mergeCell ref="D130:H130"/>
    <mergeCell ref="A140:H140"/>
    <mergeCell ref="A141:B141"/>
    <mergeCell ref="A142:B142"/>
    <mergeCell ref="A143:B143"/>
    <mergeCell ref="A144:B144"/>
    <mergeCell ref="A145:B145"/>
    <mergeCell ref="A146:B146"/>
    <mergeCell ref="D146:H146"/>
    <mergeCell ref="A129:B129"/>
    <mergeCell ref="A131:B131"/>
    <mergeCell ref="A127:B127"/>
    <mergeCell ref="A132:H132"/>
    <mergeCell ref="A133:B133"/>
    <mergeCell ref="A125:B125"/>
    <mergeCell ref="A123:H123"/>
    <mergeCell ref="D110:H110"/>
    <mergeCell ref="D111:H111"/>
    <mergeCell ref="D112:H112"/>
    <mergeCell ref="D113:H113"/>
    <mergeCell ref="D114:H114"/>
    <mergeCell ref="D115:H115"/>
    <mergeCell ref="D116:H116"/>
    <mergeCell ref="D117:H117"/>
    <mergeCell ref="D118:H118"/>
  </mergeCells>
  <dataValidations count="7">
    <dataValidation type="list" allowBlank="1" showInputMessage="1" showErrorMessage="1" sqref="G6:H6" xr:uid="{00000000-0002-0000-0000-000000000000}">
      <formula1>"Mr. Suraj Khare,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80" xr:uid="{00000000-0002-0000-0000-000002000000}">
      <formula1>"300000,350000,400000,500000,600000,700000,800000,900000,1000000,1200000,1400000,1500000,1600000"</formula1>
    </dataValidation>
    <dataValidation type="list" allowBlank="1" showInputMessage="1" showErrorMessage="1" sqref="F95"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95" xr:uid="{00000000-0002-0000-0000-000006000000}">
      <formula1>"Sale /         Rehab /           PAP,Sale / Mhada,Sale / Landowner"</formula1>
    </dataValidation>
  </dataValidations>
  <hyperlinks>
    <hyperlink ref="C23" r:id="rId1" xr:uid="{00000000-0004-0000-0000-000000000000}"/>
    <hyperlink ref="I24" r:id="rId2" xr:uid="{00000000-0004-0000-0000-000001000000}"/>
    <hyperlink ref="I46" display="https://www.99acres.com/ellora-rainbow-life-rohinjan-navi-mumbai-npxid-r440681?nn_source=Performance&amp;nn_account=Google_99acres-NPGoogle-Account&amp;nn_campaign=22427354284_176440245103_744923251372&amp;nn_medium=22427354284_176440245103_744923251372&amp;nn_adtype=g_&amp;" xr:uid="{00000000-0004-0000-0000-000002000000}"/>
    <hyperlink ref="I45" r:id="rId3" xr:uid="{00000000-0004-0000-0000-000003000000}"/>
  </hyperlinks>
  <printOptions horizontalCentered="1"/>
  <pageMargins left="0.27559055118110237" right="0.27559055118110237" top="0.70866141732283472" bottom="0.47244094488188981" header="0.15748031496062992" footer="0.15748031496062992"/>
  <pageSetup scale="72" fitToHeight="0" orientation="portrait" r:id="rId4"/>
  <headerFooter>
    <oddHeader>&amp;C&amp;25&amp;G</oddHeader>
    <oddFooter>&amp;L&amp;"Times New Roman,Bold"&amp;16Ref No: &amp;F&amp;R&amp;"Times New Roman,Bold"&amp;16&amp;P</oddFooter>
  </headerFooter>
  <rowBreaks count="5" manualBreakCount="5">
    <brk id="52" max="7" man="1"/>
    <brk id="93" max="7" man="1"/>
    <brk id="163" max="8" man="1"/>
    <brk id="208" max="16383" man="1"/>
    <brk id="254"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3" t="s">
        <v>69</v>
      </c>
      <c r="B3" s="113"/>
      <c r="C3" s="113"/>
      <c r="D3" s="113"/>
      <c r="E3" s="113"/>
      <c r="F3" s="113"/>
      <c r="G3" s="113"/>
      <c r="H3" s="113"/>
      <c r="I3" s="113"/>
    </row>
    <row r="4" spans="1:11" s="1" customFormat="1" ht="20.25" customHeight="1" x14ac:dyDescent="0.3">
      <c r="A4" s="171">
        <v>1</v>
      </c>
      <c r="B4" s="171"/>
      <c r="C4" s="171"/>
      <c r="D4" s="172" t="s">
        <v>4</v>
      </c>
      <c r="E4" s="27" t="s">
        <v>116</v>
      </c>
      <c r="F4" s="162" t="s">
        <v>103</v>
      </c>
      <c r="G4" s="162"/>
      <c r="H4" s="27" t="s">
        <v>117</v>
      </c>
      <c r="I4" s="27" t="s">
        <v>118</v>
      </c>
      <c r="J4" s="13"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5"/>
    </row>
    <row r="5" spans="1:11" s="1" customFormat="1" ht="20.25" x14ac:dyDescent="0.3">
      <c r="A5" s="171"/>
      <c r="B5" s="171"/>
      <c r="C5" s="171"/>
      <c r="D5" s="172"/>
      <c r="E5" s="27">
        <v>3</v>
      </c>
      <c r="F5" s="162">
        <v>1</v>
      </c>
      <c r="G5" s="162"/>
      <c r="H5" s="27">
        <v>0</v>
      </c>
      <c r="I5" s="27">
        <f ca="1">--TRIM(RIGHT(SUBSTITUTE(LEFT(A4,_xlfn.AGGREGATE(16,6,FIND({0,1,2,3,4,5,6,7,8,9},A4,ROW(INDIRECT("1:"&amp;LEN(A4)))),1))," ",REPT(" ",LEN(A4))),LEN(A4)))</f>
        <v>1</v>
      </c>
      <c r="J5" s="14" t="s">
        <v>122</v>
      </c>
      <c r="K5" s="15"/>
    </row>
    <row r="6" spans="1:11" s="1" customFormat="1" ht="20.25" customHeight="1" x14ac:dyDescent="0.3">
      <c r="A6" s="161" t="s">
        <v>120</v>
      </c>
      <c r="B6" s="161"/>
      <c r="C6" s="161" t="s">
        <v>130</v>
      </c>
      <c r="D6" s="161"/>
      <c r="E6" s="25" t="s">
        <v>131</v>
      </c>
      <c r="F6" s="161" t="s">
        <v>121</v>
      </c>
      <c r="G6" s="161"/>
      <c r="H6" s="26" t="s">
        <v>119</v>
      </c>
      <c r="I6" s="26"/>
      <c r="J6" s="17" t="s">
        <v>132</v>
      </c>
      <c r="K6" s="16">
        <f ca="1">I5*25%</f>
        <v>0.25</v>
      </c>
    </row>
    <row r="7" spans="1:11" s="1" customFormat="1" ht="20.25" customHeight="1" x14ac:dyDescent="0.3">
      <c r="A7" s="106" t="s">
        <v>133</v>
      </c>
      <c r="B7" s="106"/>
      <c r="C7" s="162">
        <f ca="1">K8</f>
        <v>1</v>
      </c>
      <c r="D7" s="162"/>
      <c r="E7" s="5">
        <f ca="1">((100/I5)*C7)/100</f>
        <v>1</v>
      </c>
      <c r="F7" s="106">
        <f ca="1">(((C7/I5*5)+(C8/I5*20)+(25/(F5+H5+I5)*C9)+(5/(I5)*C10)+(2.5/(I5)*C11)+(2.5/(I5)*C12)+(5/I5*C13)+(10/I5*C14)+(2.5/I5*C15)+(2.5/I5*C16)+(10/I5*C17)+(10/I5*C18))/100)</f>
        <v>0.25</v>
      </c>
      <c r="G7" s="106"/>
      <c r="H7" s="106" t="str">
        <f ca="1">J4</f>
        <v>Excavation work Completed. Plinth work completed</v>
      </c>
      <c r="I7" s="106"/>
      <c r="J7" s="17" t="s">
        <v>123</v>
      </c>
      <c r="K7" s="21">
        <f ca="1">I5*50%</f>
        <v>0.5</v>
      </c>
    </row>
    <row r="8" spans="1:11" s="1" customFormat="1" ht="20.25" x14ac:dyDescent="0.3">
      <c r="A8" s="106" t="s">
        <v>104</v>
      </c>
      <c r="B8" s="106"/>
      <c r="C8" s="173">
        <f ca="1">K16</f>
        <v>1</v>
      </c>
      <c r="D8" s="162"/>
      <c r="E8" s="5">
        <f ca="1">((100/I5)*C8)/100</f>
        <v>1</v>
      </c>
      <c r="F8" s="106"/>
      <c r="G8" s="106"/>
      <c r="H8" s="106"/>
      <c r="I8" s="106"/>
      <c r="J8" s="17" t="s">
        <v>124</v>
      </c>
      <c r="K8" s="21">
        <f ca="1">I5</f>
        <v>1</v>
      </c>
    </row>
    <row r="9" spans="1:11" s="1" customFormat="1" ht="21" customHeight="1" x14ac:dyDescent="0.35">
      <c r="A9" s="106" t="s">
        <v>134</v>
      </c>
      <c r="B9" s="106"/>
      <c r="C9" s="162">
        <v>0</v>
      </c>
      <c r="D9" s="162"/>
      <c r="E9" s="5">
        <f ca="1">((100/(F5+H5+I5))*C9)/100</f>
        <v>0</v>
      </c>
      <c r="F9" s="106"/>
      <c r="G9" s="106"/>
      <c r="H9" s="106"/>
      <c r="I9" s="106"/>
      <c r="J9" s="17" t="s">
        <v>125</v>
      </c>
      <c r="K9" s="22">
        <f ca="1">(IF(E5&gt;1,(I5/(E5+2)),I5*0.2))</f>
        <v>0.2</v>
      </c>
    </row>
    <row r="10" spans="1:11" s="1" customFormat="1" ht="21" customHeight="1" x14ac:dyDescent="0.35">
      <c r="A10" s="106" t="s">
        <v>135</v>
      </c>
      <c r="B10" s="106"/>
      <c r="C10" s="162">
        <v>0</v>
      </c>
      <c r="D10" s="162"/>
      <c r="E10" s="5">
        <f ca="1">((100/I5)*C10)/100</f>
        <v>0</v>
      </c>
      <c r="F10" s="106"/>
      <c r="G10" s="106"/>
      <c r="H10" s="106"/>
      <c r="I10" s="106"/>
      <c r="J10" s="17" t="s">
        <v>126</v>
      </c>
      <c r="K10" s="22">
        <f ca="1">(IF(E5&gt;1,(I5/(E5+2)+K9),I5*0.2+K9))</f>
        <v>0.4</v>
      </c>
    </row>
    <row r="11" spans="1:11" s="1" customFormat="1" ht="21" customHeight="1" x14ac:dyDescent="0.35">
      <c r="A11" s="117" t="s">
        <v>136</v>
      </c>
      <c r="B11" s="118"/>
      <c r="C11" s="162">
        <v>0</v>
      </c>
      <c r="D11" s="162"/>
      <c r="E11" s="5">
        <f ca="1">((100/I5)*C11)/100</f>
        <v>0</v>
      </c>
      <c r="F11" s="106"/>
      <c r="G11" s="106"/>
      <c r="H11" s="106"/>
      <c r="I11" s="106"/>
      <c r="J11" s="17" t="s">
        <v>137</v>
      </c>
      <c r="K11" s="22">
        <f ca="1">(IF(E5&gt;1,(I5/(E5+2)+K10),0))</f>
        <v>0.60000000000000009</v>
      </c>
    </row>
    <row r="12" spans="1:11" s="1" customFormat="1" ht="21" customHeight="1" x14ac:dyDescent="0.35">
      <c r="A12" s="117" t="s">
        <v>168</v>
      </c>
      <c r="B12" s="118"/>
      <c r="C12" s="162">
        <v>0</v>
      </c>
      <c r="D12" s="162"/>
      <c r="E12" s="5">
        <f ca="1">((100/I5)*C12)/100</f>
        <v>0</v>
      </c>
      <c r="F12" s="106"/>
      <c r="G12" s="106"/>
      <c r="H12" s="106"/>
      <c r="I12" s="106"/>
      <c r="J12" s="17" t="s">
        <v>138</v>
      </c>
      <c r="K12" s="22">
        <f ca="1">(IF(E5&gt;2,(I5/(E5+2)+K11),0))</f>
        <v>0.8</v>
      </c>
    </row>
    <row r="13" spans="1:11" s="1" customFormat="1" ht="57.75" customHeight="1" x14ac:dyDescent="0.35">
      <c r="A13" s="117" t="s">
        <v>165</v>
      </c>
      <c r="B13" s="118"/>
      <c r="C13" s="162">
        <v>0</v>
      </c>
      <c r="D13" s="162"/>
      <c r="E13" s="5">
        <f ca="1">((100/(I5))*C13)/100</f>
        <v>0</v>
      </c>
      <c r="F13" s="106"/>
      <c r="G13" s="106"/>
      <c r="H13" s="106"/>
      <c r="I13" s="106"/>
      <c r="J13" s="17" t="s">
        <v>140</v>
      </c>
      <c r="K13" s="23">
        <f>(IF(E5&gt;3,(I5/(E5+2)+K12),0))</f>
        <v>0</v>
      </c>
    </row>
    <row r="14" spans="1:11" s="1" customFormat="1" ht="21" x14ac:dyDescent="0.35">
      <c r="A14" s="106" t="s">
        <v>139</v>
      </c>
      <c r="B14" s="106"/>
      <c r="C14" s="162">
        <v>0</v>
      </c>
      <c r="D14" s="162"/>
      <c r="E14" s="5">
        <f ca="1">((100/(I5))*C14)/100</f>
        <v>0</v>
      </c>
      <c r="F14" s="106"/>
      <c r="G14" s="106"/>
      <c r="H14" s="106"/>
      <c r="I14" s="106"/>
      <c r="J14" s="17" t="s">
        <v>141</v>
      </c>
      <c r="K14" s="22">
        <f>(IF(E5&gt;4,(I5/(E5+2)+K13),0))</f>
        <v>0</v>
      </c>
    </row>
    <row r="15" spans="1:11" s="1" customFormat="1" ht="21" customHeight="1" x14ac:dyDescent="0.35">
      <c r="A15" s="106" t="s">
        <v>167</v>
      </c>
      <c r="B15" s="106"/>
      <c r="C15" s="162">
        <v>0</v>
      </c>
      <c r="D15" s="162"/>
      <c r="E15" s="5">
        <f ca="1">((100/I5)*C15)/100</f>
        <v>0</v>
      </c>
      <c r="F15" s="106"/>
      <c r="G15" s="106"/>
      <c r="H15" s="106"/>
      <c r="I15" s="106"/>
      <c r="J15" s="17" t="s">
        <v>127</v>
      </c>
      <c r="K15" s="22">
        <f>(IF(E5=1,(I5/(E5+3)+K10),IF(E5=0,(I5*0.3+K10),IF(E5&gt;1,0))))</f>
        <v>0</v>
      </c>
    </row>
    <row r="16" spans="1:11" s="1" customFormat="1" ht="21.75" thickBot="1" x14ac:dyDescent="0.4">
      <c r="A16" s="106" t="s">
        <v>166</v>
      </c>
      <c r="B16" s="106"/>
      <c r="C16" s="162">
        <v>0</v>
      </c>
      <c r="D16" s="162"/>
      <c r="E16" s="5">
        <f ca="1">((100/I5)*C16)/100</f>
        <v>0</v>
      </c>
      <c r="F16" s="106"/>
      <c r="G16" s="106"/>
      <c r="H16" s="106"/>
      <c r="I16" s="106"/>
      <c r="J16" s="19" t="s">
        <v>128</v>
      </c>
      <c r="K16" s="24">
        <f ca="1">(IF(E5&gt;1.5,(I5/(E5+2)+K10+MAX(0,K11-K10)+MAX(0,K12-K11)+MAX(0,K13-K12)+MAX(0,K14-K13)+MAX(0,K15-K14)),IF(E5=1,(I5/(E5+3)+K15),IF(E5=0,I5*0.3+K15))))</f>
        <v>1</v>
      </c>
    </row>
    <row r="17" spans="1:9" s="1" customFormat="1" ht="20.25" x14ac:dyDescent="0.25">
      <c r="A17" s="106" t="s">
        <v>142</v>
      </c>
      <c r="B17" s="106"/>
      <c r="C17" s="162">
        <v>0</v>
      </c>
      <c r="D17" s="162"/>
      <c r="E17" s="5">
        <f ca="1">((100/(I5))*C17)/100</f>
        <v>0</v>
      </c>
      <c r="F17" s="106"/>
      <c r="G17" s="106"/>
      <c r="H17" s="106"/>
      <c r="I17" s="106"/>
    </row>
    <row r="18" spans="1:9" s="1" customFormat="1" ht="20.25" x14ac:dyDescent="0.25">
      <c r="A18" s="106" t="s">
        <v>143</v>
      </c>
      <c r="B18" s="106"/>
      <c r="C18" s="162">
        <v>0</v>
      </c>
      <c r="D18" s="162"/>
      <c r="E18" s="5">
        <f ca="1">((100/(I5))*C18)/100</f>
        <v>0</v>
      </c>
      <c r="F18" s="106"/>
      <c r="G18" s="106"/>
      <c r="H18" s="106"/>
      <c r="I18" s="106"/>
    </row>
    <row r="23" spans="1:9" x14ac:dyDescent="0.25">
      <c r="B23" s="174" t="s">
        <v>169</v>
      </c>
      <c r="C23" s="174"/>
      <c r="D23" s="174"/>
      <c r="E23" s="174"/>
      <c r="F23" s="174"/>
      <c r="G23" s="174"/>
    </row>
    <row r="24" spans="1:9" ht="14.45" customHeight="1" x14ac:dyDescent="0.25">
      <c r="B24" s="177" t="s">
        <v>170</v>
      </c>
      <c r="C24" s="177" t="s">
        <v>171</v>
      </c>
      <c r="D24" s="180" t="s">
        <v>172</v>
      </c>
      <c r="E24" s="181" t="s">
        <v>173</v>
      </c>
      <c r="F24" s="178" t="s">
        <v>174</v>
      </c>
      <c r="G24" s="177" t="s">
        <v>175</v>
      </c>
    </row>
    <row r="25" spans="1:9" x14ac:dyDescent="0.25">
      <c r="B25" s="177"/>
      <c r="C25" s="177"/>
      <c r="D25" s="180"/>
      <c r="E25" s="181"/>
      <c r="F25" s="178"/>
      <c r="G25" s="177"/>
    </row>
    <row r="26" spans="1:9" x14ac:dyDescent="0.25">
      <c r="B26" s="34" t="s">
        <v>176</v>
      </c>
      <c r="C26" s="35">
        <v>10</v>
      </c>
      <c r="D26" s="35">
        <v>1</v>
      </c>
      <c r="E26" s="36"/>
      <c r="F26" s="37">
        <f>((E26/D26)*0.05)*100</f>
        <v>0</v>
      </c>
      <c r="G26" s="37">
        <f t="shared" ref="G26:G37" si="0">((E26/D26)*(C26/100))*100</f>
        <v>0</v>
      </c>
    </row>
    <row r="27" spans="1:9" x14ac:dyDescent="0.25">
      <c r="B27" s="34" t="s">
        <v>177</v>
      </c>
      <c r="C27" s="36">
        <v>10</v>
      </c>
      <c r="D27" s="36">
        <v>1</v>
      </c>
      <c r="E27" s="36"/>
      <c r="F27" s="37">
        <f>((E27/D27)*0.05)*100</f>
        <v>0</v>
      </c>
      <c r="G27" s="37">
        <f t="shared" si="0"/>
        <v>0</v>
      </c>
    </row>
    <row r="28" spans="1:9" x14ac:dyDescent="0.25">
      <c r="B28" s="34" t="s">
        <v>178</v>
      </c>
      <c r="C28" s="36">
        <v>15</v>
      </c>
      <c r="D28" s="36">
        <v>1</v>
      </c>
      <c r="E28" s="36"/>
      <c r="F28" s="37">
        <f>((E28/D28)*0.15)*100</f>
        <v>0</v>
      </c>
      <c r="G28" s="37">
        <f t="shared" si="0"/>
        <v>0</v>
      </c>
    </row>
    <row r="29" spans="1:9" x14ac:dyDescent="0.25">
      <c r="B29" s="38" t="s">
        <v>179</v>
      </c>
      <c r="C29" s="36">
        <v>25</v>
      </c>
      <c r="D29" s="36">
        <v>40</v>
      </c>
      <c r="E29" s="36"/>
      <c r="F29" s="37">
        <f>((E29/D29)*0.25)*100</f>
        <v>0</v>
      </c>
      <c r="G29" s="37">
        <f t="shared" si="0"/>
        <v>0</v>
      </c>
    </row>
    <row r="30" spans="1:9" x14ac:dyDescent="0.25">
      <c r="B30" s="38" t="s">
        <v>180</v>
      </c>
      <c r="C30" s="36">
        <v>5</v>
      </c>
      <c r="D30" s="36">
        <v>39</v>
      </c>
      <c r="E30" s="36"/>
      <c r="F30" s="37">
        <f>((E30/D30)*0.05)*100</f>
        <v>0</v>
      </c>
      <c r="G30" s="37">
        <f t="shared" si="0"/>
        <v>0</v>
      </c>
    </row>
    <row r="31" spans="1:9" ht="30" x14ac:dyDescent="0.25">
      <c r="B31" s="38" t="s">
        <v>181</v>
      </c>
      <c r="C31" s="36">
        <v>2.5</v>
      </c>
      <c r="D31" s="36">
        <v>39</v>
      </c>
      <c r="E31" s="36"/>
      <c r="F31" s="37">
        <f>((E31/D31)*0.025)*100</f>
        <v>0</v>
      </c>
      <c r="G31" s="37">
        <f t="shared" si="0"/>
        <v>0</v>
      </c>
    </row>
    <row r="32" spans="1:9" ht="30" x14ac:dyDescent="0.25">
      <c r="B32" s="38" t="s">
        <v>182</v>
      </c>
      <c r="C32" s="36">
        <v>2.5</v>
      </c>
      <c r="D32" s="36">
        <v>39</v>
      </c>
      <c r="E32" s="36"/>
      <c r="F32" s="37">
        <f>((E32/D32)*0.025)*100</f>
        <v>0</v>
      </c>
      <c r="G32" s="37">
        <f t="shared" si="0"/>
        <v>0</v>
      </c>
    </row>
    <row r="33" spans="1:7" ht="45" x14ac:dyDescent="0.25">
      <c r="B33" s="39" t="s">
        <v>183</v>
      </c>
      <c r="C33" s="36">
        <v>5</v>
      </c>
      <c r="D33" s="36">
        <v>39</v>
      </c>
      <c r="E33" s="36"/>
      <c r="F33" s="37">
        <f>((E33/D33)*0.05)*100</f>
        <v>0</v>
      </c>
      <c r="G33" s="37">
        <f t="shared" si="0"/>
        <v>0</v>
      </c>
    </row>
    <row r="34" spans="1:7" ht="30" x14ac:dyDescent="0.25">
      <c r="B34" s="39" t="s">
        <v>184</v>
      </c>
      <c r="C34" s="36">
        <v>5</v>
      </c>
      <c r="D34" s="36">
        <v>39</v>
      </c>
      <c r="E34" s="36"/>
      <c r="F34" s="37">
        <f>((E34/D34)*0.1)*100</f>
        <v>0</v>
      </c>
      <c r="G34" s="37">
        <f t="shared" si="0"/>
        <v>0</v>
      </c>
    </row>
    <row r="35" spans="1:7" ht="30" x14ac:dyDescent="0.25">
      <c r="B35" s="39" t="s">
        <v>185</v>
      </c>
      <c r="C35" s="36">
        <v>5</v>
      </c>
      <c r="D35" s="36">
        <v>39</v>
      </c>
      <c r="E35" s="36"/>
      <c r="F35" s="37">
        <f>((E35/D35)*0.05)*100</f>
        <v>0</v>
      </c>
      <c r="G35" s="37">
        <f t="shared" si="0"/>
        <v>0</v>
      </c>
    </row>
    <row r="36" spans="1:7" ht="60" x14ac:dyDescent="0.25">
      <c r="B36" s="39" t="s">
        <v>186</v>
      </c>
      <c r="C36" s="36">
        <v>10</v>
      </c>
      <c r="D36" s="36">
        <v>39</v>
      </c>
      <c r="E36" s="36"/>
      <c r="F36" s="37">
        <f>((E36/D36)*0.1)*100</f>
        <v>0</v>
      </c>
      <c r="G36" s="37">
        <f t="shared" si="0"/>
        <v>0</v>
      </c>
    </row>
    <row r="37" spans="1:7" ht="45" x14ac:dyDescent="0.25">
      <c r="B37" s="39" t="s">
        <v>187</v>
      </c>
      <c r="C37" s="36">
        <v>5</v>
      </c>
      <c r="D37" s="36">
        <v>39</v>
      </c>
      <c r="E37" s="36"/>
      <c r="F37" s="37">
        <f>((E37/D37)*0.1)*100</f>
        <v>0</v>
      </c>
      <c r="G37" s="37">
        <f t="shared" si="0"/>
        <v>0</v>
      </c>
    </row>
    <row r="38" spans="1:7" ht="15.75" x14ac:dyDescent="0.25">
      <c r="B38" s="40" t="s">
        <v>188</v>
      </c>
      <c r="C38" s="41">
        <f>SUM(C26:C37)</f>
        <v>100</v>
      </c>
      <c r="D38" s="40"/>
      <c r="E38" s="40"/>
      <c r="F38" s="41">
        <f>SUM(F26:F37)</f>
        <v>0</v>
      </c>
      <c r="G38" s="41">
        <f>SUM(G26:G37)</f>
        <v>0</v>
      </c>
    </row>
    <row r="39" spans="1:7" x14ac:dyDescent="0.25">
      <c r="B39" s="178" t="s">
        <v>189</v>
      </c>
      <c r="C39" s="178"/>
      <c r="D39" s="178"/>
      <c r="E39" s="178"/>
      <c r="F39" s="178"/>
      <c r="G39" s="178"/>
    </row>
    <row r="40" spans="1:7" x14ac:dyDescent="0.25">
      <c r="B40" s="179" t="s">
        <v>190</v>
      </c>
      <c r="C40" s="179"/>
      <c r="D40" s="179"/>
      <c r="E40" s="179" t="s">
        <v>191</v>
      </c>
      <c r="F40" s="179"/>
      <c r="G40" s="179"/>
    </row>
    <row r="41" spans="1:7" x14ac:dyDescent="0.25">
      <c r="B41" s="175" t="s">
        <v>192</v>
      </c>
      <c r="C41" s="175"/>
      <c r="D41" s="175"/>
      <c r="E41" s="175" t="s">
        <v>193</v>
      </c>
      <c r="F41" s="175"/>
      <c r="G41" s="175"/>
    </row>
    <row r="42" spans="1:7" x14ac:dyDescent="0.25">
      <c r="B42" s="175" t="s">
        <v>194</v>
      </c>
      <c r="C42" s="175"/>
      <c r="D42" s="175"/>
      <c r="E42" s="175" t="s">
        <v>195</v>
      </c>
      <c r="F42" s="175"/>
      <c r="G42" s="175"/>
    </row>
    <row r="43" spans="1:7" x14ac:dyDescent="0.25">
      <c r="B43" s="176" t="s">
        <v>196</v>
      </c>
      <c r="C43" s="176"/>
      <c r="D43" s="176"/>
      <c r="E43" s="176" t="s">
        <v>197</v>
      </c>
      <c r="F43" s="176"/>
      <c r="G43" s="176"/>
    </row>
    <row r="45" spans="1:7" ht="15.75" thickBot="1" x14ac:dyDescent="0.3"/>
    <row r="46" spans="1:7" ht="17.25" thickTop="1" thickBot="1" x14ac:dyDescent="0.3">
      <c r="A46" s="42" t="s">
        <v>198</v>
      </c>
      <c r="B46" s="42" t="s">
        <v>170</v>
      </c>
      <c r="C46" s="43" t="s">
        <v>199</v>
      </c>
      <c r="D46" s="43" t="s">
        <v>200</v>
      </c>
      <c r="E46" s="43" t="s">
        <v>201</v>
      </c>
    </row>
    <row r="47" spans="1:7" ht="31.5" thickTop="1" thickBot="1" x14ac:dyDescent="0.3">
      <c r="A47" s="44">
        <v>1</v>
      </c>
      <c r="B47" s="45" t="s">
        <v>202</v>
      </c>
      <c r="C47" s="46">
        <v>0</v>
      </c>
      <c r="D47" s="47">
        <v>0.1</v>
      </c>
      <c r="E47" s="46">
        <v>0.1</v>
      </c>
    </row>
    <row r="48" spans="1:7" ht="31.5" thickTop="1" thickBot="1" x14ac:dyDescent="0.3">
      <c r="A48" s="44">
        <v>2</v>
      </c>
      <c r="B48" s="45" t="s">
        <v>203</v>
      </c>
      <c r="C48" s="46" t="s">
        <v>204</v>
      </c>
      <c r="D48" s="47" t="s">
        <v>205</v>
      </c>
      <c r="E48" s="46">
        <v>0.3</v>
      </c>
    </row>
    <row r="49" spans="1:5" ht="61.5" thickTop="1" thickBot="1" x14ac:dyDescent="0.3">
      <c r="A49" s="44">
        <v>3</v>
      </c>
      <c r="B49" s="45" t="s">
        <v>206</v>
      </c>
      <c r="C49" s="46" t="s">
        <v>207</v>
      </c>
      <c r="D49" s="47" t="s">
        <v>208</v>
      </c>
      <c r="E49" s="46">
        <v>0.45</v>
      </c>
    </row>
    <row r="50" spans="1:5" ht="76.5" thickTop="1" thickBot="1" x14ac:dyDescent="0.3">
      <c r="A50" s="44">
        <v>4</v>
      </c>
      <c r="B50" s="45" t="s">
        <v>209</v>
      </c>
      <c r="C50" s="46" t="s">
        <v>210</v>
      </c>
      <c r="D50" s="47" t="s">
        <v>211</v>
      </c>
      <c r="E50" s="46">
        <v>0.7</v>
      </c>
    </row>
    <row r="51" spans="1:5" ht="76.5" thickTop="1" thickBot="1" x14ac:dyDescent="0.3">
      <c r="A51" s="44">
        <v>5</v>
      </c>
      <c r="B51" s="45" t="s">
        <v>212</v>
      </c>
      <c r="C51" s="46" t="s">
        <v>213</v>
      </c>
      <c r="D51" s="47" t="s">
        <v>214</v>
      </c>
      <c r="E51" s="46">
        <v>0.75</v>
      </c>
    </row>
    <row r="52" spans="1:5" ht="76.5" thickTop="1" thickBot="1" x14ac:dyDescent="0.3">
      <c r="A52" s="44">
        <v>6</v>
      </c>
      <c r="B52" s="45" t="s">
        <v>215</v>
      </c>
      <c r="C52" s="46" t="s">
        <v>216</v>
      </c>
      <c r="D52" s="47" t="s">
        <v>217</v>
      </c>
      <c r="E52" s="46">
        <v>0.8</v>
      </c>
    </row>
    <row r="53" spans="1:5" ht="121.5" thickTop="1" thickBot="1" x14ac:dyDescent="0.3">
      <c r="A53" s="44">
        <v>7</v>
      </c>
      <c r="B53" s="45" t="s">
        <v>218</v>
      </c>
      <c r="C53" s="46" t="s">
        <v>219</v>
      </c>
      <c r="D53" s="47" t="s">
        <v>220</v>
      </c>
      <c r="E53" s="46">
        <v>0.85</v>
      </c>
    </row>
    <row r="54" spans="1:5" ht="211.5" thickTop="1" thickBot="1" x14ac:dyDescent="0.3">
      <c r="A54" s="44">
        <v>8</v>
      </c>
      <c r="B54" s="45" t="s">
        <v>221</v>
      </c>
      <c r="C54" s="46" t="s">
        <v>222</v>
      </c>
      <c r="D54" s="47" t="s">
        <v>223</v>
      </c>
      <c r="E54" s="46">
        <v>0.95</v>
      </c>
    </row>
    <row r="55" spans="1:5" ht="91.5" thickTop="1" thickBot="1" x14ac:dyDescent="0.3">
      <c r="A55" s="44">
        <v>9</v>
      </c>
      <c r="B55" s="45" t="s">
        <v>224</v>
      </c>
      <c r="C55" s="46" t="s">
        <v>225</v>
      </c>
      <c r="D55" s="47" t="s">
        <v>226</v>
      </c>
      <c r="E55" s="46">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6">
        <v>1</v>
      </c>
      <c r="C2" s="53" t="s">
        <v>242</v>
      </c>
    </row>
    <row r="3" spans="2:3" x14ac:dyDescent="0.25">
      <c r="B3" s="36">
        <v>2</v>
      </c>
      <c r="C3" s="54" t="s">
        <v>243</v>
      </c>
    </row>
    <row r="4" spans="2:3" x14ac:dyDescent="0.25">
      <c r="B4" s="36">
        <v>3</v>
      </c>
      <c r="C4" s="36" t="s">
        <v>244</v>
      </c>
    </row>
    <row r="5" spans="2:3" x14ac:dyDescent="0.25">
      <c r="B5" s="36">
        <v>4</v>
      </c>
      <c r="C5" s="54" t="s">
        <v>245</v>
      </c>
    </row>
    <row r="6" spans="2:3" x14ac:dyDescent="0.25">
      <c r="B6" s="36">
        <v>5</v>
      </c>
      <c r="C6" s="36" t="s">
        <v>246</v>
      </c>
    </row>
    <row r="7" spans="2:3" ht="30" x14ac:dyDescent="0.25">
      <c r="B7" s="36">
        <v>6</v>
      </c>
      <c r="C7" s="54" t="s">
        <v>247</v>
      </c>
    </row>
    <row r="8" spans="2:3" ht="75" x14ac:dyDescent="0.25">
      <c r="B8" s="36">
        <v>7</v>
      </c>
      <c r="C8" s="54" t="s">
        <v>248</v>
      </c>
    </row>
    <row r="9" spans="2:3" x14ac:dyDescent="0.25">
      <c r="B9" s="36">
        <v>8</v>
      </c>
      <c r="C9" s="36" t="s">
        <v>249</v>
      </c>
    </row>
    <row r="10" spans="2:3" x14ac:dyDescent="0.25">
      <c r="B10" s="36">
        <v>9</v>
      </c>
      <c r="C10" s="36" t="s">
        <v>250</v>
      </c>
    </row>
    <row r="11" spans="2:3" x14ac:dyDescent="0.25">
      <c r="B11" s="36">
        <v>10</v>
      </c>
      <c r="C11" s="36" t="s">
        <v>251</v>
      </c>
    </row>
    <row r="12" spans="2:3" x14ac:dyDescent="0.25">
      <c r="B12" s="36">
        <v>11</v>
      </c>
      <c r="C12" s="36" t="s">
        <v>252</v>
      </c>
    </row>
    <row r="13" spans="2:3" x14ac:dyDescent="0.25">
      <c r="B13" s="36">
        <v>12</v>
      </c>
      <c r="C13" s="36" t="s">
        <v>253</v>
      </c>
    </row>
    <row r="14" spans="2:3" x14ac:dyDescent="0.25">
      <c r="B14" s="36">
        <v>13</v>
      </c>
      <c r="C14" s="36" t="s">
        <v>254</v>
      </c>
    </row>
    <row r="15" spans="2:3" x14ac:dyDescent="0.25">
      <c r="B15" s="36">
        <v>14</v>
      </c>
      <c r="C15" s="36" t="s">
        <v>244</v>
      </c>
    </row>
    <row r="16" spans="2:3" x14ac:dyDescent="0.25">
      <c r="B16" s="36">
        <v>15</v>
      </c>
      <c r="C16" s="36" t="s">
        <v>238</v>
      </c>
    </row>
    <row r="17" spans="2:3" x14ac:dyDescent="0.25">
      <c r="B17" s="55">
        <v>16</v>
      </c>
      <c r="C17" s="56" t="s">
        <v>255</v>
      </c>
    </row>
    <row r="18" spans="2:3" x14ac:dyDescent="0.25">
      <c r="B18" s="57">
        <v>17</v>
      </c>
      <c r="C18" s="56" t="s">
        <v>256</v>
      </c>
    </row>
    <row r="19" spans="2:3" x14ac:dyDescent="0.25">
      <c r="B19" s="58">
        <v>18</v>
      </c>
      <c r="C19" s="36" t="s">
        <v>257</v>
      </c>
    </row>
    <row r="20" spans="2:3" x14ac:dyDescent="0.25">
      <c r="B20" s="57">
        <v>19</v>
      </c>
      <c r="C20" s="36" t="s">
        <v>258</v>
      </c>
    </row>
    <row r="21" spans="2:3" x14ac:dyDescent="0.25">
      <c r="B21" s="36">
        <v>20</v>
      </c>
      <c r="C21" s="36" t="s">
        <v>259</v>
      </c>
    </row>
    <row r="22" spans="2:3" x14ac:dyDescent="0.25">
      <c r="B22" s="57">
        <v>21</v>
      </c>
      <c r="C22" s="36" t="s">
        <v>257</v>
      </c>
    </row>
    <row r="23" spans="2:3" s="60" customFormat="1" ht="30" x14ac:dyDescent="0.25">
      <c r="B23" s="59">
        <v>22</v>
      </c>
      <c r="C23" s="53" t="s">
        <v>260</v>
      </c>
    </row>
    <row r="24" spans="2:3" s="60" customFormat="1" ht="30" x14ac:dyDescent="0.25">
      <c r="B24" s="61">
        <v>23</v>
      </c>
      <c r="C24" s="53" t="s">
        <v>261</v>
      </c>
    </row>
    <row r="25" spans="2:3" x14ac:dyDescent="0.25">
      <c r="B25" s="36">
        <v>24</v>
      </c>
      <c r="C25" s="36" t="s">
        <v>262</v>
      </c>
    </row>
    <row r="26" spans="2:3" x14ac:dyDescent="0.25">
      <c r="B26" s="57">
        <v>25</v>
      </c>
      <c r="C26" s="36" t="s">
        <v>263</v>
      </c>
    </row>
    <row r="27" spans="2:3" x14ac:dyDescent="0.25">
      <c r="B27" s="61">
        <v>26</v>
      </c>
      <c r="C27" s="36" t="s">
        <v>264</v>
      </c>
    </row>
    <row r="28" spans="2:3" x14ac:dyDescent="0.25">
      <c r="B28" s="57">
        <v>27</v>
      </c>
      <c r="C28" s="36" t="s">
        <v>265</v>
      </c>
    </row>
    <row r="29" spans="2:3" ht="60" x14ac:dyDescent="0.25">
      <c r="B29" s="62">
        <v>28</v>
      </c>
      <c r="C29" s="54" t="s">
        <v>266</v>
      </c>
    </row>
    <row r="30" spans="2:3" x14ac:dyDescent="0.25">
      <c r="B30" s="61">
        <v>29</v>
      </c>
      <c r="C30" s="36" t="s">
        <v>267</v>
      </c>
    </row>
    <row r="31" spans="2:3" ht="30" x14ac:dyDescent="0.25">
      <c r="B31" s="61">
        <v>30</v>
      </c>
      <c r="C31" s="54" t="s">
        <v>295</v>
      </c>
    </row>
    <row r="32" spans="2:3" x14ac:dyDescent="0.25">
      <c r="B32" s="61">
        <v>31</v>
      </c>
      <c r="C32" s="36" t="s">
        <v>296</v>
      </c>
    </row>
    <row r="33" spans="2:3" x14ac:dyDescent="0.25">
      <c r="B33" s="61">
        <v>32</v>
      </c>
      <c r="C33" s="36" t="s">
        <v>297</v>
      </c>
    </row>
    <row r="34" spans="2:3" ht="30" x14ac:dyDescent="0.25">
      <c r="B34" s="61">
        <v>33</v>
      </c>
      <c r="C34" s="56" t="s">
        <v>298</v>
      </c>
    </row>
    <row r="35" spans="2:3" x14ac:dyDescent="0.25">
      <c r="B35" s="61">
        <v>34</v>
      </c>
      <c r="C35" s="36"/>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40625" defaultRowHeight="15" x14ac:dyDescent="0.25"/>
  <cols>
    <col min="1" max="1" width="9.140625" style="63"/>
    <col min="2" max="2" width="12.28515625" style="63" customWidth="1"/>
    <col min="3" max="16384" width="9.140625" style="63"/>
  </cols>
  <sheetData>
    <row r="2" spans="1:12" x14ac:dyDescent="0.25">
      <c r="B2" s="64" t="s">
        <v>268</v>
      </c>
      <c r="C2" s="182"/>
      <c r="D2" s="182"/>
    </row>
    <row r="3" spans="1:12" x14ac:dyDescent="0.25">
      <c r="D3" s="65"/>
      <c r="E3" s="65"/>
      <c r="F3" s="65"/>
      <c r="G3" s="65"/>
      <c r="H3" s="65"/>
      <c r="I3" s="65"/>
    </row>
    <row r="4" spans="1:12" x14ac:dyDescent="0.25">
      <c r="A4" s="64" t="s">
        <v>269</v>
      </c>
      <c r="B4" s="52" t="s">
        <v>270</v>
      </c>
      <c r="C4" s="183" t="s">
        <v>271</v>
      </c>
      <c r="D4" s="183"/>
      <c r="E4" s="183"/>
      <c r="F4" s="52"/>
      <c r="G4" s="184" t="s">
        <v>272</v>
      </c>
      <c r="H4" s="184"/>
      <c r="I4" s="184"/>
      <c r="J4" s="185" t="s">
        <v>273</v>
      </c>
      <c r="K4" s="185"/>
      <c r="L4" s="185"/>
    </row>
    <row r="5" spans="1:12" x14ac:dyDescent="0.25">
      <c r="A5" s="64"/>
      <c r="B5" s="52"/>
      <c r="C5" s="52" t="s">
        <v>274</v>
      </c>
      <c r="D5" s="52" t="s">
        <v>275</v>
      </c>
      <c r="E5" s="52" t="s">
        <v>276</v>
      </c>
      <c r="F5" s="52"/>
      <c r="G5" s="52" t="s">
        <v>274</v>
      </c>
      <c r="H5" s="52" t="s">
        <v>275</v>
      </c>
      <c r="I5" s="52" t="s">
        <v>276</v>
      </c>
      <c r="J5" s="52" t="s">
        <v>274</v>
      </c>
      <c r="K5" s="52" t="s">
        <v>275</v>
      </c>
      <c r="L5" s="52" t="s">
        <v>276</v>
      </c>
    </row>
    <row r="6" spans="1:12" x14ac:dyDescent="0.25">
      <c r="B6" s="51" t="s">
        <v>277</v>
      </c>
      <c r="C6" s="51"/>
      <c r="D6" s="51"/>
      <c r="E6" s="51">
        <f>C6*D6</f>
        <v>0</v>
      </c>
      <c r="F6" s="51" t="s">
        <v>278</v>
      </c>
      <c r="G6" s="51"/>
      <c r="H6" s="51"/>
      <c r="I6" s="51">
        <f>G6*H6</f>
        <v>0</v>
      </c>
      <c r="J6" s="51"/>
      <c r="K6" s="51"/>
      <c r="L6" s="51">
        <f>J6*K6</f>
        <v>0</v>
      </c>
    </row>
    <row r="7" spans="1:12" x14ac:dyDescent="0.25">
      <c r="B7" s="51"/>
      <c r="C7" s="51"/>
      <c r="D7" s="51"/>
      <c r="E7" s="51">
        <f t="shared" ref="E7:E41" si="0">C7*D7</f>
        <v>0</v>
      </c>
      <c r="F7" s="51" t="s">
        <v>278</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279</v>
      </c>
      <c r="G9" s="51"/>
      <c r="H9" s="51"/>
      <c r="I9" s="51">
        <f t="shared" si="1"/>
        <v>0</v>
      </c>
      <c r="J9" s="51"/>
      <c r="K9" s="51"/>
      <c r="L9" s="51">
        <f t="shared" si="2"/>
        <v>0</v>
      </c>
    </row>
    <row r="10" spans="1:12" x14ac:dyDescent="0.25">
      <c r="B10" s="51" t="s">
        <v>280</v>
      </c>
      <c r="C10" s="51"/>
      <c r="D10" s="51"/>
      <c r="E10" s="51">
        <f t="shared" si="0"/>
        <v>0</v>
      </c>
      <c r="F10" s="51" t="s">
        <v>279</v>
      </c>
      <c r="G10" s="51"/>
      <c r="H10" s="51"/>
      <c r="I10" s="51">
        <f t="shared" si="1"/>
        <v>0</v>
      </c>
      <c r="J10" s="51"/>
      <c r="K10" s="51"/>
      <c r="L10" s="51">
        <f t="shared" si="2"/>
        <v>0</v>
      </c>
    </row>
    <row r="11" spans="1:12" x14ac:dyDescent="0.25">
      <c r="B11" s="51"/>
      <c r="C11" s="51"/>
      <c r="D11" s="51"/>
      <c r="E11" s="51">
        <f t="shared" si="0"/>
        <v>0</v>
      </c>
      <c r="F11" s="51" t="s">
        <v>281</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282</v>
      </c>
      <c r="C14" s="51"/>
      <c r="D14" s="51"/>
      <c r="E14" s="51">
        <f t="shared" si="0"/>
        <v>0</v>
      </c>
      <c r="F14" s="51" t="s">
        <v>279</v>
      </c>
      <c r="G14" s="51"/>
      <c r="H14" s="51"/>
      <c r="I14" s="51">
        <f t="shared" si="1"/>
        <v>0</v>
      </c>
      <c r="J14" s="51"/>
      <c r="K14" s="51"/>
      <c r="L14" s="51">
        <f t="shared" si="2"/>
        <v>0</v>
      </c>
    </row>
    <row r="15" spans="1:12" x14ac:dyDescent="0.25">
      <c r="B15" s="51"/>
      <c r="C15" s="51"/>
      <c r="D15" s="51"/>
      <c r="E15" s="51">
        <f t="shared" si="0"/>
        <v>0</v>
      </c>
      <c r="F15" s="51" t="s">
        <v>281</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283</v>
      </c>
      <c r="C18" s="51"/>
      <c r="D18" s="51"/>
      <c r="E18" s="51">
        <f t="shared" si="0"/>
        <v>0</v>
      </c>
      <c r="F18" s="51" t="s">
        <v>279</v>
      </c>
      <c r="G18" s="51"/>
      <c r="H18" s="51"/>
      <c r="I18" s="51">
        <f t="shared" si="1"/>
        <v>0</v>
      </c>
      <c r="J18" s="51"/>
      <c r="K18" s="51"/>
      <c r="L18" s="51">
        <f t="shared" si="2"/>
        <v>0</v>
      </c>
    </row>
    <row r="19" spans="2:12" x14ac:dyDescent="0.25">
      <c r="B19" s="51"/>
      <c r="C19" s="51"/>
      <c r="D19" s="51"/>
      <c r="E19" s="51">
        <f t="shared" si="0"/>
        <v>0</v>
      </c>
      <c r="F19" s="51" t="s">
        <v>281</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284</v>
      </c>
      <c r="C21" s="51"/>
      <c r="D21" s="51"/>
      <c r="E21" s="51">
        <f t="shared" si="0"/>
        <v>0</v>
      </c>
      <c r="F21" s="51" t="s">
        <v>279</v>
      </c>
      <c r="G21" s="51"/>
      <c r="H21" s="51"/>
      <c r="I21" s="51">
        <f t="shared" si="1"/>
        <v>0</v>
      </c>
      <c r="J21" s="51"/>
      <c r="K21" s="51"/>
      <c r="L21" s="51">
        <f t="shared" si="2"/>
        <v>0</v>
      </c>
    </row>
    <row r="22" spans="2:12" x14ac:dyDescent="0.25">
      <c r="B22" s="51"/>
      <c r="C22" s="51"/>
      <c r="D22" s="51"/>
      <c r="E22" s="51">
        <f t="shared" si="0"/>
        <v>0</v>
      </c>
      <c r="F22" s="51" t="s">
        <v>281</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285</v>
      </c>
      <c r="C24" s="51"/>
      <c r="D24" s="51"/>
      <c r="E24" s="51">
        <f t="shared" si="0"/>
        <v>0</v>
      </c>
      <c r="F24" s="51" t="s">
        <v>286</v>
      </c>
      <c r="G24" s="51"/>
      <c r="H24" s="51"/>
      <c r="I24" s="51">
        <f t="shared" si="1"/>
        <v>0</v>
      </c>
      <c r="J24" s="51"/>
      <c r="K24" s="51"/>
      <c r="L24" s="51">
        <f t="shared" si="2"/>
        <v>0</v>
      </c>
    </row>
    <row r="25" spans="2:12" x14ac:dyDescent="0.25">
      <c r="B25" s="51"/>
      <c r="C25" s="51"/>
      <c r="D25" s="51"/>
      <c r="E25" s="51">
        <f t="shared" si="0"/>
        <v>0</v>
      </c>
      <c r="F25" s="51" t="s">
        <v>286</v>
      </c>
      <c r="G25" s="51"/>
      <c r="H25" s="51"/>
      <c r="I25" s="51">
        <f t="shared" si="1"/>
        <v>0</v>
      </c>
      <c r="J25" s="51"/>
      <c r="K25" s="51"/>
      <c r="L25" s="51">
        <f t="shared" si="2"/>
        <v>0</v>
      </c>
    </row>
    <row r="26" spans="2:12" x14ac:dyDescent="0.25">
      <c r="B26" s="51"/>
      <c r="C26" s="51"/>
      <c r="D26" s="51"/>
      <c r="E26" s="51">
        <f t="shared" si="0"/>
        <v>0</v>
      </c>
      <c r="F26" s="51" t="s">
        <v>286</v>
      </c>
      <c r="G26" s="51"/>
      <c r="H26" s="51"/>
      <c r="I26" s="51">
        <f t="shared" si="1"/>
        <v>0</v>
      </c>
      <c r="J26" s="51"/>
      <c r="K26" s="51"/>
      <c r="L26" s="51">
        <f t="shared" si="2"/>
        <v>0</v>
      </c>
    </row>
    <row r="27" spans="2:12" x14ac:dyDescent="0.25">
      <c r="B27" s="51"/>
      <c r="C27" s="51"/>
      <c r="D27" s="51"/>
      <c r="E27" s="51">
        <f t="shared" si="0"/>
        <v>0</v>
      </c>
      <c r="F27" s="51" t="s">
        <v>286</v>
      </c>
      <c r="G27" s="51"/>
      <c r="H27" s="51"/>
      <c r="I27" s="51">
        <f t="shared" si="1"/>
        <v>0</v>
      </c>
      <c r="J27" s="51"/>
      <c r="K27" s="51"/>
      <c r="L27" s="51">
        <f t="shared" si="2"/>
        <v>0</v>
      </c>
    </row>
    <row r="28" spans="2:12" x14ac:dyDescent="0.25">
      <c r="B28" s="51" t="s">
        <v>287</v>
      </c>
      <c r="C28" s="51"/>
      <c r="D28" s="51"/>
      <c r="E28" s="51">
        <f t="shared" si="0"/>
        <v>0</v>
      </c>
      <c r="F28" s="51" t="s">
        <v>286</v>
      </c>
      <c r="G28" s="51"/>
      <c r="H28" s="51"/>
      <c r="I28" s="51">
        <f t="shared" si="1"/>
        <v>0</v>
      </c>
      <c r="J28" s="51"/>
      <c r="K28" s="51"/>
      <c r="L28" s="51">
        <f t="shared" si="2"/>
        <v>0</v>
      </c>
    </row>
    <row r="29" spans="2:12" x14ac:dyDescent="0.25">
      <c r="B29" s="51" t="s">
        <v>288</v>
      </c>
      <c r="C29" s="51"/>
      <c r="D29" s="51"/>
      <c r="E29" s="51">
        <f t="shared" si="0"/>
        <v>0</v>
      </c>
      <c r="F29" s="51" t="s">
        <v>286</v>
      </c>
      <c r="G29" s="51"/>
      <c r="H29" s="51"/>
      <c r="I29" s="51">
        <f t="shared" si="1"/>
        <v>0</v>
      </c>
      <c r="J29" s="51"/>
      <c r="K29" s="51"/>
      <c r="L29" s="51">
        <f t="shared" si="2"/>
        <v>0</v>
      </c>
    </row>
    <row r="30" spans="2:12" x14ac:dyDescent="0.25">
      <c r="B30" s="51" t="s">
        <v>289</v>
      </c>
      <c r="C30" s="51"/>
      <c r="D30" s="51"/>
      <c r="E30" s="51">
        <f t="shared" si="0"/>
        <v>0</v>
      </c>
      <c r="F30" s="51"/>
      <c r="G30" s="51"/>
      <c r="H30" s="51"/>
      <c r="I30" s="51">
        <f t="shared" si="1"/>
        <v>0</v>
      </c>
      <c r="J30" s="51"/>
      <c r="K30" s="51"/>
      <c r="L30" s="51">
        <f t="shared" si="2"/>
        <v>0</v>
      </c>
    </row>
    <row r="31" spans="2:12" x14ac:dyDescent="0.25">
      <c r="B31" s="51"/>
      <c r="C31" s="51"/>
      <c r="D31" s="51"/>
      <c r="E31" s="51">
        <f t="shared" si="0"/>
        <v>0</v>
      </c>
      <c r="F31" s="51"/>
      <c r="G31" s="51"/>
      <c r="H31" s="51"/>
      <c r="I31" s="51">
        <f t="shared" si="1"/>
        <v>0</v>
      </c>
      <c r="J31" s="51"/>
      <c r="K31" s="51"/>
      <c r="L31" s="51">
        <f t="shared" si="2"/>
        <v>0</v>
      </c>
    </row>
    <row r="32" spans="2:12" x14ac:dyDescent="0.25">
      <c r="B32" s="51"/>
      <c r="C32" s="51"/>
      <c r="D32" s="51"/>
      <c r="E32" s="51">
        <f t="shared" si="0"/>
        <v>0</v>
      </c>
      <c r="F32" s="51"/>
      <c r="G32" s="51"/>
      <c r="H32" s="51"/>
      <c r="I32" s="51">
        <f t="shared" si="1"/>
        <v>0</v>
      </c>
      <c r="J32" s="51"/>
      <c r="K32" s="51"/>
      <c r="L32" s="51">
        <f t="shared" si="2"/>
        <v>0</v>
      </c>
    </row>
    <row r="33" spans="2:12" x14ac:dyDescent="0.25">
      <c r="B33" s="51" t="s">
        <v>290</v>
      </c>
      <c r="C33" s="51"/>
      <c r="D33" s="51"/>
      <c r="E33" s="51">
        <f t="shared" si="0"/>
        <v>0</v>
      </c>
      <c r="F33" s="51"/>
      <c r="G33" s="51"/>
      <c r="H33" s="51"/>
      <c r="I33" s="51">
        <f t="shared" si="1"/>
        <v>0</v>
      </c>
      <c r="J33" s="51"/>
      <c r="K33" s="51"/>
      <c r="L33" s="51">
        <f t="shared" si="2"/>
        <v>0</v>
      </c>
    </row>
    <row r="34" spans="2:12" x14ac:dyDescent="0.25">
      <c r="B34" s="51" t="s">
        <v>291</v>
      </c>
      <c r="C34" s="51"/>
      <c r="D34" s="51"/>
      <c r="E34" s="51">
        <f t="shared" si="0"/>
        <v>0</v>
      </c>
      <c r="F34" s="51"/>
      <c r="G34" s="51"/>
      <c r="H34" s="51"/>
      <c r="I34" s="51">
        <f t="shared" si="1"/>
        <v>0</v>
      </c>
      <c r="J34" s="51"/>
      <c r="K34" s="51"/>
      <c r="L34" s="51">
        <f t="shared" si="2"/>
        <v>0</v>
      </c>
    </row>
    <row r="35" spans="2:12" x14ac:dyDescent="0.25">
      <c r="B35" s="51" t="s">
        <v>292</v>
      </c>
      <c r="C35" s="51"/>
      <c r="D35" s="51"/>
      <c r="E35" s="51">
        <f t="shared" si="0"/>
        <v>0</v>
      </c>
      <c r="F35" s="51"/>
      <c r="G35" s="51"/>
      <c r="H35" s="51"/>
      <c r="I35" s="51">
        <f t="shared" si="1"/>
        <v>0</v>
      </c>
      <c r="J35" s="51"/>
      <c r="K35" s="51"/>
      <c r="L35" s="51">
        <f t="shared" si="2"/>
        <v>0</v>
      </c>
    </row>
    <row r="36" spans="2:12" x14ac:dyDescent="0.25">
      <c r="B36" s="51" t="s">
        <v>293</v>
      </c>
      <c r="C36" s="51"/>
      <c r="D36" s="51"/>
      <c r="E36" s="51">
        <f t="shared" si="0"/>
        <v>0</v>
      </c>
      <c r="F36" s="51"/>
      <c r="G36" s="51"/>
      <c r="H36" s="51"/>
      <c r="I36" s="51">
        <f>G36*H36</f>
        <v>0</v>
      </c>
      <c r="J36" s="51"/>
      <c r="K36" s="51"/>
      <c r="L36" s="51">
        <f>J36*K36</f>
        <v>0</v>
      </c>
    </row>
    <row r="37" spans="2:12" x14ac:dyDescent="0.25">
      <c r="B37" s="51"/>
      <c r="C37" s="51"/>
      <c r="D37" s="51"/>
      <c r="E37" s="51">
        <f t="shared" si="0"/>
        <v>0</v>
      </c>
      <c r="F37" s="51"/>
      <c r="G37" s="51"/>
      <c r="H37" s="51"/>
      <c r="I37" s="51">
        <f t="shared" ref="I37:I38" si="3">G37*H37</f>
        <v>0</v>
      </c>
      <c r="J37" s="51"/>
      <c r="K37" s="51"/>
      <c r="L37" s="51">
        <f t="shared" ref="L37:L38" si="4">J37*K37</f>
        <v>0</v>
      </c>
    </row>
    <row r="38" spans="2:12" x14ac:dyDescent="0.25">
      <c r="B38" s="51" t="s">
        <v>294</v>
      </c>
      <c r="C38" s="51"/>
      <c r="D38" s="51"/>
      <c r="E38" s="51">
        <f t="shared" si="0"/>
        <v>0</v>
      </c>
      <c r="F38" s="51"/>
      <c r="G38" s="51"/>
      <c r="H38" s="51"/>
      <c r="I38" s="51">
        <f t="shared" si="3"/>
        <v>0</v>
      </c>
      <c r="J38" s="51"/>
      <c r="K38" s="51"/>
      <c r="L38" s="51">
        <f t="shared" si="4"/>
        <v>0</v>
      </c>
    </row>
    <row r="39" spans="2:12" x14ac:dyDescent="0.25">
      <c r="B39" s="51"/>
      <c r="C39" s="51"/>
      <c r="D39" s="51"/>
      <c r="E39" s="51">
        <f t="shared" si="0"/>
        <v>0</v>
      </c>
      <c r="F39" s="51"/>
      <c r="G39" s="51"/>
      <c r="H39" s="51"/>
      <c r="I39" s="51">
        <f>G39*H39</f>
        <v>0</v>
      </c>
      <c r="J39" s="51"/>
      <c r="K39" s="51"/>
      <c r="L39" s="51">
        <f>J39*K39</f>
        <v>0</v>
      </c>
    </row>
    <row r="40" spans="2:12" x14ac:dyDescent="0.25">
      <c r="B40" s="51"/>
      <c r="C40" s="51"/>
      <c r="D40" s="51"/>
      <c r="E40" s="51">
        <f t="shared" si="0"/>
        <v>0</v>
      </c>
      <c r="F40" s="51"/>
      <c r="G40" s="51"/>
      <c r="H40" s="51"/>
      <c r="I40" s="51">
        <f>G40*H40</f>
        <v>0</v>
      </c>
      <c r="J40" s="51"/>
      <c r="K40" s="51"/>
      <c r="L40" s="51">
        <f>J40*K40</f>
        <v>0</v>
      </c>
    </row>
    <row r="41" spans="2:12" x14ac:dyDescent="0.25">
      <c r="B41" s="51"/>
      <c r="C41" s="51"/>
      <c r="D41" s="51"/>
      <c r="E41" s="51">
        <f t="shared" si="0"/>
        <v>0</v>
      </c>
      <c r="F41" s="51"/>
      <c r="G41" s="51"/>
      <c r="H41" s="51"/>
      <c r="I41" s="51">
        <f>G41*H41</f>
        <v>0</v>
      </c>
      <c r="J41" s="51"/>
      <c r="K41" s="51"/>
      <c r="L41" s="51">
        <f>J41*K41</f>
        <v>0</v>
      </c>
    </row>
    <row r="42" spans="2:12" x14ac:dyDescent="0.25">
      <c r="B42" s="51" t="s">
        <v>153</v>
      </c>
      <c r="C42" s="51"/>
      <c r="D42" s="51">
        <f>E42*10.764</f>
        <v>0</v>
      </c>
      <c r="E42" s="66">
        <f>SUM(E6:E41)</f>
        <v>0</v>
      </c>
      <c r="F42" s="51"/>
      <c r="G42" s="51"/>
      <c r="H42" s="51">
        <f>I42*10.764</f>
        <v>0</v>
      </c>
      <c r="I42" s="67">
        <f>SUM(I6:I41)</f>
        <v>0</v>
      </c>
      <c r="J42" s="51"/>
      <c r="K42" s="51">
        <f>L42*10.764</f>
        <v>0</v>
      </c>
      <c r="L42" s="68">
        <f>SUM(L6:L41)</f>
        <v>0</v>
      </c>
    </row>
    <row r="44" spans="2:12" x14ac:dyDescent="0.25">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2025-08-06T11:15:36Z</cp:lastPrinted>
  <dcterms:created xsi:type="dcterms:W3CDTF">2010-11-23T11:42:48Z</dcterms:created>
  <dcterms:modified xsi:type="dcterms:W3CDTF">2025-08-06T11:22:22Z</dcterms:modified>
</cp:coreProperties>
</file>